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pivotTables/pivotTable4.xml" ContentType="application/vnd.openxmlformats-officedocument.spreadsheetml.pivotTable+xml"/>
  <Override PartName="/xl/comments8.xml" ContentType="application/vnd.openxmlformats-officedocument.spreadsheetml.comment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pivotTables/pivotTable2.xml" ContentType="application/vnd.openxmlformats-officedocument.spreadsheetml.pivotTable+xml"/>
  <Override PartName="/xl/charts/chart2.xml" ContentType="application/vnd.openxmlformats-officedocument.drawingml.chart+xml"/>
  <Override PartName="/xl/comments6.xml" ContentType="application/vnd.openxmlformats-officedocument.spreadsheetml.comments+xml"/>
  <Default Extension="rels" ContentType="application/vnd.openxmlformats-package.relationships+xml"/>
  <Default Extension="xml" ContentType="application/xml"/>
  <Override PartName="/xl/worksheets/sheet5.xml" ContentType="application/vnd.openxmlformats-officedocument.spreadsheetml.worksheet+xml"/>
  <Override PartName="/xl/pivotCache/pivotCacheDefinition4.xml" ContentType="application/vnd.openxmlformats-officedocument.spreadsheetml.pivotCacheDefinition+xml"/>
  <Override PartName="/xl/comments4.xml" ContentType="application/vnd.openxmlformats-officedocument.spreadsheetml.comments+xml"/>
  <Override PartName="/xl/worksheets/sheet3.xml" ContentType="application/vnd.openxmlformats-officedocument.spreadsheetml.worksheet+xml"/>
  <Override PartName="/xl/externalLinks/externalLink3.xml" ContentType="application/vnd.openxmlformats-officedocument.spreadsheetml.externalLink+xml"/>
  <Override PartName="/xl/pivotCache/pivotCacheDefinition2.xml" ContentType="application/vnd.openxmlformats-officedocument.spreadsheetml.pivotCacheDefinition+xml"/>
  <Override PartName="/xl/comments2.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5.xml" ContentType="application/vnd.openxmlformats-officedocument.spreadsheetml.pivotCacheRecords+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pivotCache/pivotCacheRecords3.xml" ContentType="application/vnd.openxmlformats-officedocument.spreadsheetml.pivotCacheRecords+xml"/>
  <Override PartName="/xl/pivotCache/pivotCacheRecords4.xml" ContentType="application/vnd.openxmlformats-officedocument.spreadsheetml.pivotCacheRecords+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pivotTables/pivotTable5.xml" ContentType="application/vnd.openxmlformats-officedocument.spreadsheetml.pivotTable+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pivotTables/pivotTable3.xml" ContentType="application/vnd.openxmlformats-officedocument.spreadsheetml.pivotTable+xml"/>
  <Override PartName="/xl/comments9.xml" ContentType="application/vnd.openxmlformats-officedocument.spreadsheetml.comments+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pivotTables/pivotTable1.xml" ContentType="application/vnd.openxmlformats-officedocument.spreadsheetml.pivotTable+xml"/>
  <Override PartName="/xl/comments7.xml" ContentType="application/vnd.openxmlformats-officedocument.spreadsheetml.comments+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pivotCache/pivotCacheDefinition5.xml" ContentType="application/vnd.openxmlformats-officedocument.spreadsheetml.pivotCacheDefinition+xml"/>
  <Override PartName="/xl/charts/chart1.xml" ContentType="application/vnd.openxmlformats-officedocument.drawingml.chart+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externalLinks/externalLink2.xml" ContentType="application/vnd.openxmlformats-officedocument.spreadsheetml.externalLink+xml"/>
  <Override PartName="/xl/pivotCache/pivotCacheDefinition3.xml" ContentType="application/vnd.openxmlformats-officedocument.spreadsheetml.pivotCacheDefinition+xml"/>
  <Override PartName="/xl/comments3.xml" ContentType="application/vnd.openxmlformats-officedocument.spreadsheetml.comments+xml"/>
  <Override PartName="/xl/drawings/drawing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hidePivotFieldList="1" defaultThemeVersion="124226"/>
  <bookViews>
    <workbookView xWindow="-15" yWindow="15" windowWidth="19260" windowHeight="5955" tabRatio="884" firstSheet="4" activeTab="5"/>
  </bookViews>
  <sheets>
    <sheet name="员工流失率" sheetId="28" r:id="rId1"/>
    <sheet name="犹豫期内电话回访成功率" sheetId="29" r:id="rId2"/>
    <sheet name="新契约回访完成率" sheetId="30" r:id="rId3"/>
    <sheet name="续期收费率" sheetId="32" r:id="rId4"/>
    <sheet name="退撤保率" sheetId="33" r:id="rId5"/>
    <sheet name="总公司绩效-II" sheetId="27" r:id="rId6"/>
    <sheet name="总公司绩效-I" sheetId="26" r:id="rId7"/>
    <sheet name="分公司绩效" sheetId="25" r:id="rId8"/>
    <sheet name="目录" sheetId="9" r:id="rId9"/>
    <sheet name="FM02-分支机构封面页" sheetId="21" r:id="rId10"/>
    <sheet name="权重" sheetId="24" r:id="rId11"/>
    <sheet name="OR04-分公司销售、承保、保全" sheetId="18" r:id="rId12"/>
    <sheet name="OR08-分公司理赔" sheetId="19" r:id="rId13"/>
    <sheet name="单证遗失情况" sheetId="22" state="hidden" r:id="rId14"/>
    <sheet name="绩效评分汇总页" sheetId="23" state="hidden" r:id="rId15"/>
    <sheet name="OR13-分公司财务管理" sheetId="20" r:id="rId16"/>
    <sheet name="OR02-销售承保" sheetId="2" r:id="rId17"/>
    <sheet name="OR06-理赔保全" sheetId="3" r:id="rId18"/>
    <sheet name="OR10-资金运用" sheetId="4" r:id="rId19"/>
    <sheet name="OR12-财务管理" sheetId="5" r:id="rId20"/>
    <sheet name="OR15-准备金再保险" sheetId="6" r:id="rId21"/>
    <sheet name="OR18-合规风险" sheetId="7" r:id="rId22"/>
    <sheet name="信息系统" sheetId="12" r:id="rId23"/>
    <sheet name="案件管理" sheetId="16" r:id="rId24"/>
    <sheet name="流动性风险" sheetId="10" r:id="rId25"/>
    <sheet name="公司治理" sheetId="11" r:id="rId26"/>
    <sheet name="战略风险" sheetId="15" r:id="rId27"/>
    <sheet name="事件登记" sheetId="34" r:id="rId28"/>
  </sheets>
  <externalReferences>
    <externalReference r:id="rId29"/>
    <externalReference r:id="rId30"/>
    <externalReference r:id="rId31"/>
  </externalReferences>
  <definedNames>
    <definedName name="_xlnm._FilterDatabase" localSheetId="16" hidden="1">'OR02-销售承保'!$A$3:$AA$45</definedName>
    <definedName name="_xlnm._FilterDatabase" localSheetId="11" hidden="1">'OR04-分公司销售、承保、保全'!$A$3:$CK$84</definedName>
    <definedName name="_xlnm._FilterDatabase" localSheetId="17" hidden="1">'OR06-理赔保全'!$A$3:$U$28</definedName>
    <definedName name="_xlnm._FilterDatabase" localSheetId="12" hidden="1">'OR08-分公司理赔'!$A$3:$CA$49</definedName>
    <definedName name="_xlnm._FilterDatabase" localSheetId="18" hidden="1">'OR10-资金运用'!$A$3:$AA$66</definedName>
    <definedName name="_xlnm._FilterDatabase" localSheetId="19" hidden="1">'OR12-财务管理'!$A$3:$X$3</definedName>
    <definedName name="_xlnm._FilterDatabase" localSheetId="15" hidden="1">'OR13-分公司财务管理'!$A$3:$CC$65</definedName>
    <definedName name="_xlnm._FilterDatabase" localSheetId="20" hidden="1">'OR15-准备金再保险'!$C$3:$V$19</definedName>
    <definedName name="_xlnm._FilterDatabase" localSheetId="21" hidden="1">'OR18-合规风险'!$A$1:$W$26</definedName>
    <definedName name="_xlnm._FilterDatabase" localSheetId="23" hidden="1">案件管理!$F$2:$M$21</definedName>
    <definedName name="_xlnm._FilterDatabase" localSheetId="25" hidden="1">公司治理!$A$3:$M$96</definedName>
    <definedName name="_xlnm._FilterDatabase" localSheetId="27" hidden="1">事件登记!$A$1:$Q$55</definedName>
    <definedName name="_xlnm._FilterDatabase" localSheetId="22" hidden="1">信息系统!$A$2:$L$137</definedName>
    <definedName name="_xlnm._FilterDatabase" localSheetId="3" hidden="1">续期收费率!$A$1:$P$121</definedName>
    <definedName name="_xlnm._FilterDatabase" localSheetId="26" hidden="1">战略风险!$A$2:$F$32</definedName>
    <definedName name="_xlnm._FilterDatabase" localSheetId="6" hidden="1">'总公司绩效-I'!$D$133:$D$137</definedName>
    <definedName name="_xlnm._FilterDatabase" localSheetId="5" hidden="1">'总公司绩效-II'!$A$1:$M$84</definedName>
    <definedName name="boolean" localSheetId="23">'[1]Database-下拉框'!$B$2:$B$3</definedName>
    <definedName name="boolean" localSheetId="26">'[1]Database-下拉框'!$B$2:$B$3</definedName>
    <definedName name="LR01_D1.1.1_报告期的实际净现金流" localSheetId="23">'[2]Database-分值计算'!$B$917:$C$918</definedName>
    <definedName name="LR01_D1.1.1_报告期的实际净现金流" localSheetId="26">'[2]Database-分值计算'!$B$917:$C$918</definedName>
    <definedName name="LR01_D1.1.2.1_在基本情景下未来预计净现金流_财产险和再保险公司" localSheetId="23">'[2]Database-分值计算'!$B$919:$C$920</definedName>
    <definedName name="LR01_D1.1.2.1_在基本情景下未来预计净现金流_财产险和再保险公司" localSheetId="26">'[2]Database-分值计算'!$B$919:$C$920</definedName>
    <definedName name="LR01_D1.1.2.3_在基本情景下未来预计净现金流_人身险公司_报告日后第1年" localSheetId="23">'[2]Database-分值计算'!$B$921:$C$922</definedName>
    <definedName name="LR01_D1.1.2.3_在基本情景下未来预计净现金流_人身险公司_报告日后第1年" localSheetId="26">'[2]Database-分值计算'!$B$921:$C$922</definedName>
    <definedName name="LR01_D1.1.2.4_在基本情景下未来预计净现金流_人身险公司_报告日后第2年和第3年" localSheetId="23">'[2]Database-分值计算'!$B$923:$C$924</definedName>
    <definedName name="LR01_D1.1.2.4_在基本情景下未来预计净现金流_人身险公司_报告日后第2年和第3年" localSheetId="26">'[2]Database-分值计算'!$B$923:$C$924</definedName>
    <definedName name="LR01_D1.1.3.1_在压力情景下未来预计净现金流_财产险和再保险公司" localSheetId="23">'[2]Database-分值计算'!$B$925:$C$926</definedName>
    <definedName name="LR01_D1.1.3.1_在压力情景下未来预计净现金流_财产险和再保险公司" localSheetId="26">'[2]Database-分值计算'!$B$925:$C$926</definedName>
    <definedName name="LR01_D1.1.3.3_在压力情景下未来预计净现金流_人身险公司_报告日后第1年" localSheetId="23">'[2]Database-分值计算'!$B$927:$C$928</definedName>
    <definedName name="LR01_D1.1.3.3_在压力情景下未来预计净现金流_人身险公司_报告日后第1年" localSheetId="26">'[2]Database-分值计算'!$B$927:$C$928</definedName>
    <definedName name="LR01_D1.1.3.4_在压力情景下未来预计净现金流_人身险公司_报告日后第2年和第3年" localSheetId="23">'[2]Database-分值计算'!$B$929:$C$930</definedName>
    <definedName name="LR01_D1.1.3.4_在压力情景下未来预计净现金流_人身险公司_报告日后第2年和第3年" localSheetId="26">'[2]Database-分值计算'!$B$929:$C$930</definedName>
    <definedName name="LR01_D1.2.2_综合流动比率_财产险和再保险公司" localSheetId="23">'[2]Database-分值计算'!$B$931:$C$932</definedName>
    <definedName name="LR01_D1.2.2_综合流动比率_财产险和再保险公司" localSheetId="26">'[2]Database-分值计算'!$B$931:$C$932</definedName>
    <definedName name="LR01_D1.2.4_综合流动比率_人身险公司" localSheetId="23">'[2]Database-分值计算'!$B$933:$C$934</definedName>
    <definedName name="LR01_D1.2.4_综合流动比率_人身险公司" localSheetId="26">'[2]Database-分值计算'!$B$933:$C$934</definedName>
    <definedName name="LR01_D1.3_流动性覆盖率" localSheetId="23">'[2]Database-分值计算'!$B$935:$C$939</definedName>
    <definedName name="LR01_D1.3_流动性覆盖率" localSheetId="26">'[2]Database-分值计算'!$B$935:$C$939</definedName>
    <definedName name="OR01_D1.1.1_销售人员管理情况" localSheetId="23">'[2]Database-分值计算'!$B$2:$C$4</definedName>
    <definedName name="OR01_D1.1.1_销售人员管理情况" localSheetId="26">'[2]Database-分值计算'!$B$2:$C$4</definedName>
    <definedName name="OR01_D1.1.2_核保人员管理情况" localSheetId="23">'[2]Database-分值计算'!$B$5:$C$7</definedName>
    <definedName name="OR01_D1.1.2_核保人员管理情况" localSheetId="26">'[2]Database-分值计算'!$B$5:$C$7</definedName>
    <definedName name="OR01_D1.2.1_核保授权管理建设情况" localSheetId="23">'[2]Database-分值计算'!$B$8:$C$10</definedName>
    <definedName name="OR01_D1.2.1_核保授权管理建设情况" localSheetId="26">'[2]Database-分值计算'!$B$8:$C$10</definedName>
    <definedName name="OR01_D2.1.1_合作中介机构资质完备率" localSheetId="23">'[2]Database-分值计算'!$B$11:$C$14</definedName>
    <definedName name="OR01_D2.1.1_合作中介机构资质完备率" localSheetId="26">'[2]Database-分值计算'!$B$11:$C$14</definedName>
    <definedName name="OR01_D2.1.2_中介代理协议签订合格率" localSheetId="23">'[2]Database-分值计算'!$B$15:$C$18</definedName>
    <definedName name="OR01_D2.1.2_中介代理协议签订合格率" localSheetId="26">'[2]Database-分值计算'!$B$15:$C$18</definedName>
    <definedName name="OR01_D2.1.3_手续费跟单率" localSheetId="23">'[2]Database-分值计算'!$B$19:$C$22</definedName>
    <definedName name="OR01_D2.1.3_手续费跟单率" localSheetId="26">'[2]Database-分值计算'!$B$19:$C$22</definedName>
    <definedName name="OR01_D2.2.1.1_对需审批的保险条款和费率执行情况" localSheetId="23">'[2]Database-分值计算'!$B$23:$C$24</definedName>
    <definedName name="OR01_D2.2.1.1_对需审批的保险条款和费率执行情况" localSheetId="26">'[2]Database-分值计算'!$B$23:$C$24</definedName>
    <definedName name="OR01_D2.2.1.2_对不需审批的保险条款和费率执行情况" localSheetId="23">'[2]Database-分值计算'!$B$25:$C$26</definedName>
    <definedName name="OR01_D2.2.1.2_对不需审批的保险条款和费率执行情况" localSheetId="26">'[2]Database-分值计算'!$B$25:$C$26</definedName>
    <definedName name="OR01_D2.2.1.3_经保监会批准或备案的保险条款和费率的执行情况" localSheetId="23">'[2]Database-分值计算'!$B$27:$C$28</definedName>
    <definedName name="OR01_D2.2.1.3_经保监会批准或备案的保险条款和费率的执行情况" localSheetId="26">'[2]Database-分值计算'!$B$27:$C$28</definedName>
    <definedName name="OR01_D2.2.4_签单日期晚于起保日期的保费_当期总保费" localSheetId="23">'[2]Database-分值计算'!$B$29:$C$32</definedName>
    <definedName name="OR01_D2.2.4_签单日期晚于起保日期的保费_当期总保费" localSheetId="26">'[2]Database-分值计算'!$B$29:$C$32</definedName>
    <definedName name="OR01_D2.3_承保档案管理情况" localSheetId="23">'[2]Database-分值计算'!$B$33:$C$35</definedName>
    <definedName name="OR01_D2.3_承保档案管理情况" localSheetId="26">'[2]Database-分值计算'!$B$33:$C$35</definedName>
    <definedName name="OR01_D2.4.1_符合产品特点的应收保费管理细则制定情况" localSheetId="23">'[2]Database-分值计算'!$B$36:$C$37</definedName>
    <definedName name="OR01_D2.4.1_符合产品特点的应收保费管理细则制定情况" localSheetId="26">'[2]Database-分值计算'!$B$36:$C$37</definedName>
    <definedName name="OR01_D2.4.2_根据应收保费管理细则实施应收保费的日常管理情况" localSheetId="23">'[2]Database-分值计算'!$B$38:$C$39</definedName>
    <definedName name="OR01_D2.4.2_根据应收保费管理细则实施应收保费的日常管理情况" localSheetId="26">'[2]Database-分值计算'!$B$38:$C$39</definedName>
    <definedName name="OR01_D2.4.3_对应收账龄超过3个月的应收保费开展催收情况" localSheetId="23">'[2]Database-分值计算'!$B$40:$C$41</definedName>
    <definedName name="OR01_D2.4.3_对应收账龄超过3个月的应收保费开展催收情况" localSheetId="26">'[2]Database-分值计算'!$B$40:$C$41</definedName>
    <definedName name="OR01_D2.4.4_总公司应收保费考核开展情况" localSheetId="23">'[2]Database-分值计算'!$B$42:$C$43</definedName>
    <definedName name="OR01_D2.4.4_总公司应收保费考核开展情况" localSheetId="26">'[2]Database-分值计算'!$B$42:$C$43</definedName>
    <definedName name="OR01_D2.5.1_利用广告后其他宣传方式对保险条款内容和服务质量等做引人误解的宣传情况" localSheetId="23">'[2]Database-分值计算'!$B$44:$C$45</definedName>
    <definedName name="OR01_D2.5.1_利用广告后其他宣传方式对保险条款内容和服务质量等做引人误解的宣传情况" localSheetId="26">'[2]Database-分值计算'!$B$44:$C$45</definedName>
    <definedName name="OR01_D2.5.2_在销售活动中阻碍消费者履行如实告知义务或诱导其不履行如实告知义务情况" localSheetId="23">'[2]Database-分值计算'!$B$46:$C$47</definedName>
    <definedName name="OR01_D2.5.2_在销售活动中阻碍消费者履行如实告知义务或诱导其不履行如实告知义务情况" localSheetId="26">'[2]Database-分值计算'!$B$46:$C$47</definedName>
    <definedName name="OR01_D2.5.3_夸大保险产品保障情况" localSheetId="23">'[2]Database-分值计算'!$B$48:$C$49</definedName>
    <definedName name="OR01_D2.5.3_夸大保险产品保障情况" localSheetId="26">'[2]Database-分值计算'!$B$48:$C$49</definedName>
    <definedName name="OR01_D2.5.4_隐瞒合同重要内容如免责退保等内容情况" localSheetId="23">'[2]Database-分值计算'!$B$50:$C$51</definedName>
    <definedName name="OR01_D2.5.4_隐瞒合同重要内容如免责退保等内容情况" localSheetId="26">'[2]Database-分值计算'!$B$50:$C$51</definedName>
    <definedName name="OR01_D2.5.5_提供虚假产品信息情况" localSheetId="23">'[2]Database-分值计算'!$B$52:$C$53</definedName>
    <definedName name="OR01_D2.5.5_提供虚假产品信息情况" localSheetId="26">'[2]Database-分值计算'!$B$52:$C$53</definedName>
    <definedName name="OR01_D3.1.1.1_业务信息系统管理完整性得分" localSheetId="23">'[2]Database-分值计算'!$B$54:$C$55</definedName>
    <definedName name="OR01_D3.1.1.1_业务信息系统管理完整性得分" localSheetId="26">'[2]Database-分值计算'!$B$54:$C$55</definedName>
    <definedName name="OR01_D3.1.1.2_业务统计分析系统管理完整性得分" localSheetId="23">'[2]Database-分值计算'!$B$56:$C$57</definedName>
    <definedName name="OR01_D3.1.1.2_业务统计分析系统管理完整性得分" localSheetId="26">'[2]Database-分值计算'!$B$56:$C$57</definedName>
    <definedName name="OR01_D3.1.1.3_承保业务系统与再保、财务系统对接情况得分" localSheetId="23">'[2]Database-分值计算'!$B$58:$C$59</definedName>
    <definedName name="OR01_D3.1.1.3_承保业务系统与再保、财务系统对接情况得分" localSheetId="26">'[2]Database-分值计算'!$B$58:$C$59</definedName>
    <definedName name="OR01_D3.1.2_销售管理系统建设情况" localSheetId="23">'[2]Database-分值计算'!$B$60:$C$62</definedName>
    <definedName name="OR01_D3.1.2_销售管理系统建设情况" localSheetId="26">'[2]Database-分值计算'!$B$60:$C$62</definedName>
    <definedName name="OR01_D3.2.1_关键承保信息质量及一致性情况" localSheetId="23">'[2]Database-分值计算'!$B$63:$C$65</definedName>
    <definedName name="OR01_D3.2.1_关键承保信息质量及一致性情况" localSheetId="26">'[2]Database-分值计算'!$B$63:$C$65</definedName>
    <definedName name="OR01_D5.1_行业人员水平调整" localSheetId="23">'[2]Database-分值计算'!$B$71:$C$73</definedName>
    <definedName name="OR01_D5.1_行业人员水平调整" localSheetId="26">'[2]Database-分值计算'!$B$71:$C$73</definedName>
    <definedName name="OR01_D5.2_行业内控水平调整" localSheetId="23">'[2]Database-分值计算'!$B$74:$C$76</definedName>
    <definedName name="OR01_D5.2_行业内控水平调整" localSheetId="26">'[2]Database-分值计算'!$B$74:$C$76</definedName>
    <definedName name="OR01_D5.3_行业系统水平调整" localSheetId="23">'[2]Database-分值计算'!$B$77:$C$79</definedName>
    <definedName name="OR01_D5.3_行业系统水平调整" localSheetId="26">'[2]Database-分值计算'!$B$77:$C$79</definedName>
    <definedName name="OR01_D6.1_农业保险核验标的率" localSheetId="23">'[2]Database-分值计算'!$B$66:$C$68</definedName>
    <definedName name="OR01_D6.1_农业保险核验标的率" localSheetId="26">'[2]Database-分值计算'!$B$66:$C$68</definedName>
    <definedName name="OR01_D6.2_农业保险承保到户情况" localSheetId="23">'[2]Database-分值计算'!$B$69:$C$70</definedName>
    <definedName name="OR01_D6.2_农业保险承保到户情况" localSheetId="26">'[2]Database-分值计算'!$B$69:$C$70</definedName>
    <definedName name="OR01_X1.1.1_销售人员管理情况" localSheetId="23">'[2]Database-下拉框'!$B$4:$B$6</definedName>
    <definedName name="OR01_X1.1.1_销售人员管理情况" localSheetId="26">'[2]Database-下拉框'!$B$4:$B$6</definedName>
    <definedName name="OR01_X1.1.2_核保人员管理情况" localSheetId="23">'[2]Database-下拉框'!$B$7:$B$9</definedName>
    <definedName name="OR01_X1.1.2_核保人员管理情况" localSheetId="26">'[2]Database-下拉框'!$B$7:$B$9</definedName>
    <definedName name="OR01_X1.2.1_核保授权管理建设情况" localSheetId="23">'[2]Database-下拉框'!$B$10:$B$12</definedName>
    <definedName name="OR01_X1.2.1_核保授权管理建设情况" localSheetId="26">'[2]Database-下拉框'!$B$10:$B$12</definedName>
    <definedName name="OR01_X2.2.1.1_对需审批的保险条款和费率执行情况" localSheetId="23">'[2]Database-下拉框'!$B$13:$B$14</definedName>
    <definedName name="OR01_X2.2.1.1_对需审批的保险条款和费率执行情况" localSheetId="26">'[2]Database-下拉框'!$B$13:$B$14</definedName>
    <definedName name="OR01_X2.2.1.2_对不需审批的保险条款和费率执行情况" localSheetId="23">'[2]Database-下拉框'!$B$15:$B$16</definedName>
    <definedName name="OR01_X2.2.1.2_对不需审批的保险条款和费率执行情况" localSheetId="26">'[2]Database-下拉框'!$B$15:$B$16</definedName>
    <definedName name="OR01_X2.2.1.3_经保监会批准或备案的保险条款和费率的执行情况" localSheetId="23">'[2]Database-下拉框'!$B$17:$B$18</definedName>
    <definedName name="OR01_X2.2.1.3_经保监会批准或备案的保险条款和费率的执行情况" localSheetId="26">'[2]Database-下拉框'!$B$17:$B$18</definedName>
    <definedName name="OR01_X2.3_承保档案管理情况" localSheetId="23">'[2]Database-下拉框'!$B$37:$B$39</definedName>
    <definedName name="OR01_X2.3_承保档案管理情况" localSheetId="26">'[2]Database-下拉框'!$B$37:$B$39</definedName>
    <definedName name="OR01_X2.4.1_符合产品特点的应收保费管理细则制定情况" localSheetId="23">'[2]Database-下拉框'!$B$19:$B$20</definedName>
    <definedName name="OR01_X2.4.1_符合产品特点的应收保费管理细则制定情况" localSheetId="26">'[2]Database-下拉框'!$B$19:$B$20</definedName>
    <definedName name="OR01_X2.4.2_根据应收保费管理细则实施应收保费的日常管理情况" localSheetId="23">'[2]Database-下拉框'!$B$21:$B$22</definedName>
    <definedName name="OR01_X2.4.2_根据应收保费管理细则实施应收保费的日常管理情况" localSheetId="26">'[2]Database-下拉框'!$B$21:$B$22</definedName>
    <definedName name="OR01_X2.4.3_对应收账龄超过3个月的应收保费开展催收情况" localSheetId="23">'[2]Database-下拉框'!$B$23:$B$24</definedName>
    <definedName name="OR01_X2.4.3_对应收账龄超过3个月的应收保费开展催收情况" localSheetId="26">'[2]Database-下拉框'!$B$23:$B$24</definedName>
    <definedName name="OR01_X2.4.4_总公司应收保费考核开展情况" localSheetId="23">'[2]Database-下拉框'!$B$25:$B$26</definedName>
    <definedName name="OR01_X2.4.4_总公司应收保费考核开展情况" localSheetId="26">'[2]Database-下拉框'!$B$25:$B$26</definedName>
    <definedName name="OR01_X2.5.1_利用广告后其他宣传方式对保险条款内容和服务质量等做引人误解的宣传情况" localSheetId="23">'[2]Database-下拉框'!$B$27:$B$28</definedName>
    <definedName name="OR01_X2.5.1_利用广告后其他宣传方式对保险条款内容和服务质量等做引人误解的宣传情况" localSheetId="26">'[2]Database-下拉框'!$B$27:$B$28</definedName>
    <definedName name="OR01_X2.5.2_在销售活动中阻碍消费者履行如实告知义务或诱导其不履行如实告知义务情况" localSheetId="23">'[2]Database-下拉框'!$B$29:$B$30</definedName>
    <definedName name="OR01_X2.5.2_在销售活动中阻碍消费者履行如实告知义务或诱导其不履行如实告知义务情况" localSheetId="26">'[2]Database-下拉框'!$B$29:$B$30</definedName>
    <definedName name="OR01_X2.5.3_夸大保险产品保障情况" localSheetId="23">'[2]Database-下拉框'!$B$31:$B$32</definedName>
    <definedName name="OR01_X2.5.3_夸大保险产品保障情况" localSheetId="26">'[2]Database-下拉框'!$B$31:$B$32</definedName>
    <definedName name="OR01_X2.5.4_隐瞒合同重要内容如免责退保等内容情况" localSheetId="23">'[2]Database-下拉框'!$B$33:$B$34</definedName>
    <definedName name="OR01_X2.5.4_隐瞒合同重要内容如免责退保等内容情况" localSheetId="26">'[2]Database-下拉框'!$B$33:$B$34</definedName>
    <definedName name="OR01_X2.5.5_提供虚假产品信息情况" localSheetId="23">'[2]Database-下拉框'!$B$35:$B$36</definedName>
    <definedName name="OR01_X2.5.5_提供虚假产品信息情况" localSheetId="26">'[2]Database-下拉框'!$B$35:$B$36</definedName>
    <definedName name="OR01_X3.1.1.1_业务信息系统管理完整性" localSheetId="23">'[2]Database-下拉框'!$B$40:$B$41</definedName>
    <definedName name="OR01_X3.1.1.1_业务信息系统管理完整性" localSheetId="26">'[2]Database-下拉框'!$B$40:$B$41</definedName>
    <definedName name="OR01_X3.1.1.2_业务统计分析系统管理完整性" localSheetId="23">'[2]Database-下拉框'!$B$42:$B$43</definedName>
    <definedName name="OR01_X3.1.1.2_业务统计分析系统管理完整性" localSheetId="26">'[2]Database-下拉框'!$B$42:$B$43</definedName>
    <definedName name="OR01_X3.1.1.3_承保业务系统与再保、财务系统对接情况" localSheetId="23">'[2]Database-下拉框'!$B$44:$B$45</definedName>
    <definedName name="OR01_X3.1.1.3_承保业务系统与再保、财务系统对接情况" localSheetId="26">'[2]Database-下拉框'!$B$44:$B$45</definedName>
    <definedName name="OR01_X3.1.2_销售管理系统建设情况" localSheetId="23">'[2]Database-下拉框'!$B$46:$B$48</definedName>
    <definedName name="OR01_X3.1.2_销售管理系统建设情况" localSheetId="26">'[2]Database-下拉框'!$B$46:$B$48</definedName>
    <definedName name="OR01_X3.2.1_关键承保信息质量及一致性情况" localSheetId="23">'[2]Database-下拉框'!$B$49:$B$51</definedName>
    <definedName name="OR01_X3.2.1_关键承保信息质量及一致性情况" localSheetId="26">'[2]Database-下拉框'!$B$49:$B$51</definedName>
    <definedName name="OR01_X6.2_农业保险承保到户情况" localSheetId="23">'[2]Database-下拉框'!$B$52:$B$53</definedName>
    <definedName name="OR01_X6.2_农业保险承保到户情况" localSheetId="26">'[2]Database-下拉框'!$B$52:$B$53</definedName>
    <definedName name="OR02_D1.1_销售人员离职率" localSheetId="23">'[2]Database-分值计算'!$B$80:$C$83</definedName>
    <definedName name="OR02_D1.1_销售人员离职率" localSheetId="26">'[2]Database-分值计算'!$B$80:$C$83</definedName>
    <definedName name="OR02_D1.2_电话回访人员数量" localSheetId="23">'[2]Database-分值计算'!$B$84:$C$87</definedName>
    <definedName name="OR02_D1.2_电话回访人员数量" localSheetId="26">'[2]Database-分值计算'!$B$84:$C$87</definedName>
    <definedName name="OR02_D1.3_核保人员人均核保保单数量" localSheetId="23">'[2]Database-分值计算'!$B$88:$C$91</definedName>
    <definedName name="OR02_D1.3_核保人员人均核保保单数量" localSheetId="26">'[2]Database-分值计算'!$B$88:$C$91</definedName>
    <definedName name="OR02_D1.4_核保人员工作经验" localSheetId="23">'[2]Database-分值计算'!$B$92:$C$95</definedName>
    <definedName name="OR02_D1.4_核保人员工作经验" localSheetId="26">'[2]Database-分值计算'!$B$92:$C$95</definedName>
    <definedName name="OR02_D1.5_销售人员学历水平" localSheetId="23">'[2]Database-分值计算'!$B$96:$C$99</definedName>
    <definedName name="OR02_D1.5_销售人员学历水平" localSheetId="26">'[2]Database-分值计算'!$B$96:$C$99</definedName>
    <definedName name="OR02_D1.6_销售人员责任追究" localSheetId="23">'[2]Database-分值计算'!$B$100:$C$103</definedName>
    <definedName name="OR02_D1.6_销售人员责任追究" localSheetId="26">'[2]Database-分值计算'!$B$100:$C$103</definedName>
    <definedName name="OR02_D2.1_电话回访成功率" localSheetId="23">'[2]Database-分值计算'!$B$104:$C$106</definedName>
    <definedName name="OR02_D2.1_电话回访成功率" localSheetId="26">'[2]Database-分值计算'!$B$104:$C$106</definedName>
    <definedName name="OR02_D2.2_电客户信息真实性" localSheetId="23">'[2]Database-分值计算'!$B$106:$C$109</definedName>
    <definedName name="OR02_D2.2_电客户信息真实性" localSheetId="26">'[2]Database-分值计算'!$B$106:$C$109</definedName>
    <definedName name="OR02_D2.5_电话营销销售误导问题" localSheetId="23">'[2]Database-分值计算'!$B$110:$C$113</definedName>
    <definedName name="OR02_D2.5_电话营销销售误导问题" localSheetId="26">'[2]Database-分值计算'!$B$110:$C$113</definedName>
    <definedName name="OR02_D3.1_银保通系统得分" localSheetId="23">'[2]Database-分值计算'!$B$114:$C$115</definedName>
    <definedName name="OR02_D3.1_银保通系统得分" localSheetId="26">'[2]Database-分值计算'!$B$114:$C$115</definedName>
    <definedName name="OR02_D3.2.1_与核心业务系统实时对接" localSheetId="23">'[2]Database-分值计算'!$B$116:$C$117</definedName>
    <definedName name="OR02_D3.2.1_与核心业务系统实时对接" localSheetId="26">'[2]Database-分值计算'!$B$116:$C$117</definedName>
    <definedName name="OR02_D3.2.2_意外险保单信息记录的完整性" localSheetId="23">'[2]Database-分值计算'!$B$118:$C$119</definedName>
    <definedName name="OR02_D3.2.2_意外险保单信息记录的完整性" localSheetId="26">'[2]Database-分值计算'!$B$118:$C$119</definedName>
    <definedName name="OR02_D3.3.1_系统完整性控制功能得分" localSheetId="23">'[2]Database-分值计算'!$B$120:$C$122</definedName>
    <definedName name="OR02_D3.3.1_系统完整性控制功能得分" localSheetId="26">'[2]Database-分值计算'!$B$120:$C$122</definedName>
    <definedName name="OR02_D3.3.2_系统逻辑准确性功能得分" localSheetId="23">'[2]Database-分值计算'!$B$123:$C$125</definedName>
    <definedName name="OR02_D3.3.2_系统逻辑准确性功能得分" localSheetId="26">'[2]Database-分值计算'!$B$123:$C$125</definedName>
    <definedName name="OR02_D4.1_监管部门接到的关于承保、销售业务线的投诉得分" localSheetId="23">'[2]Database-分值计算'!$B$126:$C$130</definedName>
    <definedName name="OR02_D4.1_监管部门接到的关于承保、销售业务线的投诉得分" localSheetId="26">'[2]Database-分值计算'!$B$126:$C$130</definedName>
    <definedName name="OR02_D4.2_保险公司接到的关于承保、销售业务线的投诉得分" localSheetId="23">'[2]Database-分值计算'!$B$131:$C$135</definedName>
    <definedName name="OR02_D4.2_保险公司接到的关于承保、销售业务线的投诉得分" localSheetId="26">'[2]Database-分值计算'!$B$131:$C$135</definedName>
    <definedName name="OR02_X3.1_银邮保通系统" localSheetId="23">'[2]Database-下拉框'!$B$54:$B$55</definedName>
    <definedName name="OR02_X3.1_银邮保通系统" localSheetId="26">'[2]Database-下拉框'!$B$54:$B$55</definedName>
    <definedName name="OR02_X3.2.1_与核心业务系统实时对接" localSheetId="23">'[2]Database-下拉框'!$B$56:$B$57</definedName>
    <definedName name="OR02_X3.2.1_与核心业务系统实时对接" localSheetId="26">'[2]Database-下拉框'!$B$56:$B$57</definedName>
    <definedName name="OR02_X3.2.2_意外险保单信息记录的完整性" localSheetId="23">'[2]Database-下拉框'!$B$58:$B$59</definedName>
    <definedName name="OR02_X3.2.2_意外险保单信息记录的完整性" localSheetId="26">'[2]Database-下拉框'!$B$58:$B$59</definedName>
    <definedName name="OR02_X3.3.1_系统完整性控制功能得分" localSheetId="23">'[2]Database-下拉框'!$B$60:$B$62</definedName>
    <definedName name="OR02_X3.3.1_系统完整性控制功能得分" localSheetId="26">'[2]Database-下拉框'!$B$60:$B$62</definedName>
    <definedName name="OR02_X3.3.2_系统逻辑准确性功能得分" localSheetId="23">'[2]Database-下拉框'!$B$63:$B$65</definedName>
    <definedName name="OR02_X3.3.2_系统逻辑准确性功能得分" localSheetId="26">'[2]Database-下拉框'!$B$63:$B$65</definedName>
    <definedName name="OR03_D1.1.1_管理层离职率得分" localSheetId="23">'[2]Database-分值计算'!$B$136:$C$138</definedName>
    <definedName name="OR03_D1.1.1_管理层离职率得分" localSheetId="26">'[2]Database-分值计算'!$B$136:$C$138</definedName>
    <definedName name="OR03_D1.1.2_部门管理层从业经验得分" localSheetId="23">'[2]Database-分值计算'!$B$139:$C$141</definedName>
    <definedName name="OR03_D1.1.2_部门管理层从业经验得分" localSheetId="26">'[2]Database-分值计算'!$B$139:$C$141</definedName>
    <definedName name="OR03_D1.2_招聘、解雇得分" localSheetId="23">'[2]Database-分值计算'!$B$142:$C$144</definedName>
    <definedName name="OR03_D1.2_招聘、解雇得分" localSheetId="26">'[2]Database-分值计算'!$B$142:$C$144</definedName>
    <definedName name="OR03_D1.3_培训得分" localSheetId="23">'[2]Database-分值计算'!$B$145:$C$147</definedName>
    <definedName name="OR03_D1.3_培训得分" localSheetId="26">'[2]Database-分值计算'!$B$145:$C$147</definedName>
    <definedName name="OR03_D1.4_业绩管理、薪酬得分" localSheetId="23">'[2]Database-分值计算'!$B$148:$C$149</definedName>
    <definedName name="OR03_D1.4_业绩管理、薪酬得分" localSheetId="26">'[2]Database-分值计算'!$B$148:$C$149</definedName>
    <definedName name="OR03_D2.1.1_中介协议签订率得分" localSheetId="23">'[2]Database-分值计算'!$B$150:$C$151</definedName>
    <definedName name="OR03_D2.1.1_中介协议签订率得分" localSheetId="26">'[2]Database-分值计算'!$B$150:$C$151</definedName>
    <definedName name="OR03_D2.1.2_销售人员协议签订率得分" localSheetId="23">'[2]Database-分值计算'!$B$152:$C$153</definedName>
    <definedName name="OR03_D2.1.2_销售人员协议签订率得分" localSheetId="26">'[2]Database-分值计算'!$B$152:$C$153</definedName>
    <definedName name="OR03_D2.1.3_佣金支付方式得分" localSheetId="23">'[2]Database-分值计算'!$B$154:$C$156</definedName>
    <definedName name="OR03_D2.1.3_佣金支付方式得分" localSheetId="26">'[2]Database-分值计算'!$B$154:$C$156</definedName>
    <definedName name="OR03_D2.2.1_核保权限集中度得分" localSheetId="23">'[2]Database-分值计算'!$B$157:$C$159</definedName>
    <definedName name="OR03_D2.2.1_核保权限集中度得分" localSheetId="26">'[2]Database-分值计算'!$B$157:$C$159</definedName>
    <definedName name="OR03_D2.2.2_承保标的风险评估得分" localSheetId="23">'[2]Database-分值计算'!$B$160:$C$161</definedName>
    <definedName name="OR03_D2.2.2_承保标的风险评估得分" localSheetId="26">'[2]Database-分值计算'!$B$160:$C$161</definedName>
    <definedName name="OR03_D2.2.3_应收保费率得分" localSheetId="23">'[2]Database-分值计算'!$B$162:$C$164</definedName>
    <definedName name="OR03_D2.2.3_应收保费率得分" localSheetId="26">'[2]Database-分值计算'!$B$162:$C$164</definedName>
    <definedName name="OR03_D2.3.1_保费批退率得分" localSheetId="23">'[2]Database-分值计算'!$B$168:$C$170</definedName>
    <definedName name="OR03_D2.3.1_保费批退率得分" localSheetId="26">'[2]Database-分值计算'!$B$168:$C$170</definedName>
    <definedName name="OR03_D2.3.2_保全差错率得分" localSheetId="23">'[2]Database-分值计算'!$B$171:$C$173</definedName>
    <definedName name="OR03_D2.3.2_保全差错率得分" localSheetId="26">'[2]Database-分值计算'!$B$171:$C$173</definedName>
    <definedName name="OR03_D2.3.3_批减资金支付方式得分" localSheetId="23">'[2]Database-分值计算'!$B$174:$C$175</definedName>
    <definedName name="OR03_D2.3.3_批减资金支付方式得分" localSheetId="26">'[2]Database-分值计算'!$B$174:$C$175</definedName>
    <definedName name="OR03_D3.2_佣金系统计提得分" localSheetId="23">'[2]Database-分值计算'!$B$176:$C$177</definedName>
    <definedName name="OR03_D3.2_佣金系统计提得分" localSheetId="26">'[2]Database-分值计算'!$B$176:$C$177</definedName>
    <definedName name="OR03_D5_亿元保费销售、承保、保全操作风险事件数" localSheetId="23">'[2]Database-分值计算'!$B$178:$C$181</definedName>
    <definedName name="OR03_D5_亿元保费销售、承保、保全操作风险事件数" localSheetId="26">'[2]Database-分值计算'!$B$178:$C$181</definedName>
    <definedName name="OR03_X1.4_业绩考核" localSheetId="23">'[2]Database-下拉框'!$B$72:$B$73</definedName>
    <definedName name="OR03_X1.4_业绩考核" localSheetId="26">'[2]Database-下拉框'!$B$72:$B$73</definedName>
    <definedName name="OR03_X2.1.3_佣金支付方式得分" localSheetId="23">'[2]Database-下拉框'!$B$66:$B$68</definedName>
    <definedName name="OR03_X2.1.3_佣金支付方式得分" localSheetId="26">'[2]Database-下拉框'!$B$66:$B$68</definedName>
    <definedName name="OR03_X2.2.1_核保权限集中度得分" localSheetId="23">'[2]Database-下拉框'!$B$69:$B$71</definedName>
    <definedName name="OR03_X2.2.1_核保权限集中度得分" localSheetId="26">'[2]Database-下拉框'!$B$69:$B$71</definedName>
    <definedName name="OR03_X2.2.2_承保标的风险评估" localSheetId="23">'[2]Database-下拉框'!$B$74:$B$75</definedName>
    <definedName name="OR03_X2.2.2_承保标的风险评估" localSheetId="26">'[2]Database-下拉框'!$B$74:$B$75</definedName>
    <definedName name="OR03_X2.3.3_批减资金支付方式" localSheetId="23">'[2]Database-下拉框'!$B$76:$B$77</definedName>
    <definedName name="OR03_X2.3.3_批减资金支付方式" localSheetId="26">'[2]Database-下拉框'!$B$76:$B$77</definedName>
    <definedName name="OR03_X3.2_佣金系统计提" localSheetId="23">'[2]Database-下拉框'!$B$78:$B$79</definedName>
    <definedName name="OR03_X3.2_佣金系统计提" localSheetId="26">'[2]Database-下拉框'!$B$78:$B$79</definedName>
    <definedName name="OR04_D1.1.1_管理层离职率得分" localSheetId="23">'[2]Database-分值计算'!$B$182:$C$184</definedName>
    <definedName name="OR04_D1.1.1_管理层离职率得分" localSheetId="26">'[2]Database-分值计算'!$B$182:$C$184</definedName>
    <definedName name="OR04_D1.1.2_部门管理层从业经验得分" localSheetId="23">'[2]Database-分值计算'!$B$185:$C$187</definedName>
    <definedName name="OR04_D1.1.2_部门管理层从业经验得分" localSheetId="26">'[2]Database-分值计算'!$B$185:$C$187</definedName>
    <definedName name="OR04_D1.2_招聘、解雇得分" localSheetId="23">'[2]Database-分值计算'!$B$188:$C$190</definedName>
    <definedName name="OR04_D1.2_招聘、解雇得分" localSheetId="26">'[2]Database-分值计算'!$B$188:$C$190</definedName>
    <definedName name="OR04_D1.3_培训得分" localSheetId="23">'[2]Database-分值计算'!$B$191:$C$193</definedName>
    <definedName name="OR04_D1.3_培训得分" localSheetId="26">'[2]Database-分值计算'!$B$191:$C$193</definedName>
    <definedName name="OR04_D1.4_业绩管理、薪酬得分" localSheetId="23">'[2]Database-分值计算'!$B$194:$C$195</definedName>
    <definedName name="OR04_D1.4_业绩管理、薪酬得分" localSheetId="26">'[2]Database-分值计算'!$B$194:$C$195</definedName>
    <definedName name="OR04_D2.1.1_中介协议签订率得分" localSheetId="23">'[2]Database-分值计算'!$B$196:$C$197</definedName>
    <definedName name="OR04_D2.1.1_中介协议签订率得分" localSheetId="26">'[2]Database-分值计算'!$B$196:$C$197</definedName>
    <definedName name="OR04_D2.1.2_销售人员协议签订率得分" localSheetId="23">'[2]Database-分值计算'!$B$198:$C$199</definedName>
    <definedName name="OR04_D2.1.2_销售人员协议签订率得分" localSheetId="26">'[2]Database-分值计算'!$B$198:$C$199</definedName>
    <definedName name="OR04_D2.1.3_千张保单投诉量得分" localSheetId="23">'[2]Database-分值计算'!$B$200:$C$202</definedName>
    <definedName name="OR04_D2.1.3_千张保单投诉量得分" localSheetId="26">'[2]Database-分值计算'!$B$200:$C$202</definedName>
    <definedName name="OR04_D2.2.1_承保标的风险评估得分" localSheetId="23">'[2]Database-分值计算'!$B$203:$C$204</definedName>
    <definedName name="OR04_D2.2.1_承保标的风险评估得分" localSheetId="26">'[2]Database-分值计算'!$B$203:$C$204</definedName>
    <definedName name="OR04_D2.2.2_犹豫期内电话回访成功率得分" localSheetId="23">'[2]Database-分值计算'!$B$205:$C$208</definedName>
    <definedName name="OR04_D2.2.2_犹豫期内电话回访成功率得分" localSheetId="26">'[2]Database-分值计算'!$B$205:$C$208</definedName>
    <definedName name="OR04_D2.3.1_续期收费率得分" localSheetId="23">'[2]Database-分值计算'!$B$212:$C$214</definedName>
    <definedName name="OR04_D2.3.1_续期收费率得分" localSheetId="26">'[2]Database-分值计算'!$B$212:$C$214</definedName>
    <definedName name="OR04_D2.3.2_保全变更完成率得分" localSheetId="23">'[2]Database-分值计算'!$B$215:$C$217</definedName>
    <definedName name="OR04_D2.3.2_保全变更完成率得分" localSheetId="26">'[2]Database-分值计算'!$B$215:$C$217</definedName>
    <definedName name="OR04_D2.3.3_退撤保率得分" localSheetId="23">'[2]Database-分值计算'!$B$218:$C$220</definedName>
    <definedName name="OR04_D2.3.3_退撤保率得分" localSheetId="26">'[2]Database-分值计算'!$B$218:$C$220</definedName>
    <definedName name="OR04_D2.3.4_保单失效率得分" localSheetId="23">'[2]Database-分值计算'!$B$221:$C$223</definedName>
    <definedName name="OR04_D2.3.4_保单失效率得分" localSheetId="26">'[2]Database-分值计算'!$B$221:$C$223</definedName>
    <definedName name="OR04_D2.3.5_保全差错率得分" localSheetId="23">'[2]Database-分值计算'!$B$224:$C$226</definedName>
    <definedName name="OR04_D2.3.5_保全差错率得分" localSheetId="26">'[2]Database-分值计算'!$B$224:$C$226</definedName>
    <definedName name="OR04_D2.3.6_保单质押贷款支付方式得分" localSheetId="23">'[2]Database-分值计算'!$B$227:$C$228</definedName>
    <definedName name="OR04_D2.3.6_保单质押贷款支付方式得分" localSheetId="26">'[2]Database-分值计算'!$B$227:$C$228</definedName>
    <definedName name="OR04_D3.2_佣金系统计提得分" localSheetId="23">'[2]Database-分值计算'!$B$229:$C$230</definedName>
    <definedName name="OR04_D3.2_佣金系统计提得分" localSheetId="26">'[2]Database-分值计算'!$B$229:$C$230</definedName>
    <definedName name="OR04_D5_亿元保费销售、承保、保全操作风险事件数" localSheetId="23">'[2]Database-分值计算'!$B$231:$C$234</definedName>
    <definedName name="OR04_D5_亿元保费销售、承保、保全操作风险事件数" localSheetId="26">'[2]Database-分值计算'!$B$231:$C$234</definedName>
    <definedName name="OR04_X1.4_业绩考核" localSheetId="23">'[2]Database-下拉框'!$B$80:$B$81</definedName>
    <definedName name="OR04_X1.4_业绩考核" localSheetId="26">'[2]Database-下拉框'!$B$80:$B$81</definedName>
    <definedName name="OR04_X2.2.1_承保标的风险评估" localSheetId="23">'[2]Database-下拉框'!$B$82:$B$83</definedName>
    <definedName name="OR04_X2.2.1_承保标的风险评估" localSheetId="26">'[2]Database-下拉框'!$B$82:$B$83</definedName>
    <definedName name="OR04_X2.3.6_保单质押贷款支付方式" localSheetId="23">'[2]Database-下拉框'!$B$84:$B$85</definedName>
    <definedName name="OR04_X2.3.6_保单质押贷款支付方式" localSheetId="26">'[2]Database-下拉框'!$B$84:$B$85</definedName>
    <definedName name="OR04_X3.2_佣金系统计提" localSheetId="23">'[2]Database-下拉框'!$B$86:$B$87</definedName>
    <definedName name="OR04_X3.2_佣金系统计提" localSheetId="26">'[2]Database-下拉框'!$B$86:$B$87</definedName>
    <definedName name="OR05_D1_不相容职务分离得分" localSheetId="23">'[2]Database-分值计算'!$B$235:$C$237</definedName>
    <definedName name="OR05_D1_不相容职务分离得分" localSheetId="26">'[2]Database-分值计算'!$B$235:$C$237</definedName>
    <definedName name="OR05_D2.1_特殊环节集中度得分" localSheetId="23">'[2]Database-分值计算'!$B$238:$C$239</definedName>
    <definedName name="OR05_D2.1_特殊环节集中度得分" localSheetId="26">'[2]Database-分值计算'!$B$238:$C$239</definedName>
    <definedName name="OR05_D2.2.1限时立案率得分" localSheetId="23">'[2]Database-分值计算'!$B$240:$C$242</definedName>
    <definedName name="OR05_D2.2.1限时立案率得分" localSheetId="26">'[2]Database-分值计算'!$B$240:$C$242</definedName>
    <definedName name="OR05_D2.3立案注销率得分" localSheetId="23">'[2]Database-分值计算'!$B$243:$C$245</definedName>
    <definedName name="OR05_D2.3立案注销率得分" localSheetId="26">'[2]Database-分值计算'!$B$243:$C$245</definedName>
    <definedName name="OR05_D2.4立案注销恢复率得分" localSheetId="23">'[2]Database-分值计算'!$B$246:$C$248</definedName>
    <definedName name="OR05_D2.4立案注销恢复率得分" localSheetId="26">'[2]Database-分值计算'!$B$246:$C$248</definedName>
    <definedName name="OR05_D2.5_已发生已报告未决赔款准备金发展偏差率_II类公司" localSheetId="23">'[2]Database-分值计算'!$B$256:$C$260</definedName>
    <definedName name="OR05_D2.5_已发生已报告未决赔款准备金发展偏差率_II类公司" localSheetId="26">'[2]Database-分值计算'!$B$256:$C$260</definedName>
    <definedName name="OR05_D2.5_已发生已报告未决赔款准备金发展偏差率_I类公司" localSheetId="23">'[2]Database-分值计算'!$B$251:$C$255</definedName>
    <definedName name="OR05_D2.5_已发生已报告未决赔款准备金发展偏差率_I类公司" localSheetId="26">'[2]Database-分值计算'!$B$251:$C$255</definedName>
    <definedName name="OR05_D2.5_已发生已报告未决赔款准备金发展偏差率得分" localSheetId="23">'[2]Database-分值计算'!$B$249:$C$250</definedName>
    <definedName name="OR05_D2.5_已发生已报告未决赔款准备金发展偏差率得分" localSheetId="26">'[2]Database-分值计算'!$B$249:$C$250</definedName>
    <definedName name="OR05_D2.6注销恢复及案件重开率得分" localSheetId="23">'[2]Database-分值计算'!$B$261:$C$263</definedName>
    <definedName name="OR05_D2.6注销恢复及案件重开率得分" localSheetId="26">'[2]Database-分值计算'!$B$261:$C$263</definedName>
    <definedName name="OR05_D2.7.1车险报案结案率得分" localSheetId="23">'[2]Database-分值计算'!$B$264:$C$266</definedName>
    <definedName name="OR05_D2.7.1车险报案结案率得分" localSheetId="26">'[2]Database-分值计算'!$B$264:$C$266</definedName>
    <definedName name="OR05_D2.7.2非车险报案结案率得分" localSheetId="23">'[2]Database-分值计算'!$B$267:$C$269</definedName>
    <definedName name="OR05_D2.7.2非车险报案结案率得分" localSheetId="26">'[2]Database-分值计算'!$B$267:$C$269</definedName>
    <definedName name="OR05_D4_理赔反欺诈模块" localSheetId="23">'[2]Database-分值计算'!$B$270:$C$272</definedName>
    <definedName name="OR05_D4_理赔反欺诈模块" localSheetId="26">'[2]Database-分值计算'!$B$270:$C$272</definedName>
    <definedName name="OR05_D5.1_行业人员水平调整得分" localSheetId="23">'[2]Database-分值计算'!$B$273:$C$275</definedName>
    <definedName name="OR05_D5.1_行业人员水平调整得分" localSheetId="26">'[2]Database-分值计算'!$B$273:$C$275</definedName>
    <definedName name="OR05_D5.2_行业内控水平调整得分" localSheetId="23">'[2]Database-分值计算'!$B$276:$C$278</definedName>
    <definedName name="OR05_D5.2_行业内控水平调整得分" localSheetId="26">'[2]Database-分值计算'!$B$276:$C$278</definedName>
    <definedName name="OR05_D5.3_行业系统水平调整得分" localSheetId="23">'[2]Database-分值计算'!$B$279:$C$281</definedName>
    <definedName name="OR05_D5.3_行业系统水平调整得分" localSheetId="26">'[2]Database-分值计算'!$B$279:$C$281</definedName>
    <definedName name="OR05_D6.1_内部稽核" localSheetId="23">'[2]Database-分值计算'!$B$282:$C$285</definedName>
    <definedName name="OR05_D6.1_内部稽核" localSheetId="26">'[2]Database-分值计算'!$B$282:$C$285</definedName>
    <definedName name="OR05_D6.2_赔付后回访率得分" localSheetId="23">'[2]Database-分值计算'!$B$286:$C$288</definedName>
    <definedName name="OR05_D6.2_赔付后回访率得分" localSheetId="26">'[2]Database-分值计算'!$B$286:$C$288</definedName>
    <definedName name="OR05_X1_不相容职务分离" localSheetId="23">'[2]Database-下拉框'!$B$88:$B$90</definedName>
    <definedName name="OR05_X1_不相容职务分离" localSheetId="26">'[2]Database-下拉框'!$B$88:$B$90</definedName>
    <definedName name="OR05_X2.1_特殊环节集中度" localSheetId="23">'[2]Database-下拉框'!$B$91:$B$92</definedName>
    <definedName name="OR05_X2.1_特殊环节集中度" localSheetId="26">'[2]Database-下拉框'!$B$91:$B$92</definedName>
    <definedName name="OR05_X4_理赔反欺诈模块" localSheetId="23">'[2]Database-下拉框'!$B$93:$B$95</definedName>
    <definedName name="OR05_X4_理赔反欺诈模块" localSheetId="26">'[2]Database-下拉框'!$B$93:$B$95</definedName>
    <definedName name="OR05_X6.1_内部稽核" localSheetId="23">'[2]Database-下拉框'!$B$96:$B$99</definedName>
    <definedName name="OR05_X6.1_内部稽核" localSheetId="26">'[2]Database-下拉框'!$B$96:$B$99</definedName>
    <definedName name="OR06_D1.1_理赔人员人均办理理赔案件数量得分" localSheetId="23">'[2]Database-分值计算'!$B$289:$C$292</definedName>
    <definedName name="OR06_D1.1_理赔人员人均办理理赔案件数量得分" localSheetId="26">'[2]Database-分值计算'!$B$289:$C$292</definedName>
    <definedName name="OR06_D1.2_理赔人员人均办理理赔案件数量得分" localSheetId="23">'[2]Database-分值计算'!$B$293:$C$296</definedName>
    <definedName name="OR06_D1.2_理赔人员人均办理理赔案件数量得分" localSheetId="26">'[2]Database-分值计算'!$B$293:$C$296</definedName>
    <definedName name="OR06_D1.3_理赔工作经验得分" localSheetId="23">'[2]Database-分值计算'!$B$297:$C$300</definedName>
    <definedName name="OR06_D1.3_理赔工作经验得分" localSheetId="26">'[2]Database-分值计算'!$B$297:$C$300</definedName>
    <definedName name="OR06_D1.4_保全工作经验得分" localSheetId="23">'[2]Database-分值计算'!$B$301:$C$304</definedName>
    <definedName name="OR06_D1.4_保全工作经验得分" localSheetId="26">'[2]Database-分值计算'!$B$301:$C$304</definedName>
    <definedName name="OR06_D2.1_索赔核定平均时长得分" localSheetId="23">'[2]Database-分值计算'!$B$305:$C$306</definedName>
    <definedName name="OR06_D2.1_索赔核定平均时长得分" localSheetId="26">'[2]Database-分值计算'!$B$305:$C$306</definedName>
    <definedName name="OR06_D2.1_索赔核定平均时长行业均值大于8" localSheetId="23">'[2]Database-分值计算'!$B$307:$C$309</definedName>
    <definedName name="OR06_D2.1_索赔核定平均时长行业均值大于8" localSheetId="26">'[2]Database-分值计算'!$B$307:$C$309</definedName>
    <definedName name="OR06_D2.1_索赔核定平均时长行业均值小于8" localSheetId="23">'[2]Database-分值计算'!$B$310:$C$313</definedName>
    <definedName name="OR06_D2.1_索赔核定平均时长行业均值小于8" localSheetId="26">'[2]Database-分值计算'!$B$310:$C$313</definedName>
    <definedName name="OR06_D2.2_赔款支付平均时长得分" localSheetId="23">'[2]Database-分值计算'!$B$314:$C$315</definedName>
    <definedName name="OR06_D2.2_赔款支付平均时长得分" localSheetId="26">'[2]Database-分值计算'!$B$314:$C$315</definedName>
    <definedName name="OR06_D2.2_赔款支付平均时长行业均值大于10" localSheetId="23">'[2]Database-分值计算'!$B$316:$C$318</definedName>
    <definedName name="OR06_D2.2_赔款支付平均时长行业均值大于10" localSheetId="26">'[2]Database-分值计算'!$B$316:$C$318</definedName>
    <definedName name="OR06_D2.2_赔款支付平均时长行业均值小于10" localSheetId="23">'[2]Database-分值计算'!$B$319:$C$322</definedName>
    <definedName name="OR06_D2.2_赔款支付平均时长行业均值小于10" localSheetId="26">'[2]Database-分值计算'!$B$319:$C$322</definedName>
    <definedName name="OR06_D2.3保全受理平均时长得分" localSheetId="23">'[2]Database-分值计算'!$B$323:$C$324</definedName>
    <definedName name="OR06_D2.3保全受理平均时长得分" localSheetId="26">'[2]Database-分值计算'!$B$323:$C$324</definedName>
    <definedName name="OR06_D2.3保全受理平均时长行业均值大于2" localSheetId="23">'[2]Database-分值计算'!$B$325:$C$327</definedName>
    <definedName name="OR06_D2.3保全受理平均时长行业均值大于2" localSheetId="26">'[2]Database-分值计算'!$B$325:$C$327</definedName>
    <definedName name="OR06_D2.3保全受理平均时长行业均值小于2" localSheetId="23">'[2]Database-分值计算'!$B$328:$C$331</definedName>
    <definedName name="OR06_D2.3保全受理平均时长行业均值小于2" localSheetId="26">'[2]Database-分值计算'!$B$328:$C$331</definedName>
    <definedName name="OR06_D2.4保全处理平均时长得分" localSheetId="23">'[2]Database-分值计算'!$B$332:$C$333</definedName>
    <definedName name="OR06_D2.4保全处理平均时长得分" localSheetId="26">'[2]Database-分值计算'!$B$332:$C$333</definedName>
    <definedName name="OR06_D2.4保全处理平均时长得分行业均值大于5" localSheetId="23">'[2]Database-分值计算'!$B$334:$C$336</definedName>
    <definedName name="OR06_D2.4保全处理平均时长得分行业均值大于5" localSheetId="26">'[2]Database-分值计算'!$B$334:$C$336</definedName>
    <definedName name="OR06_D2.4保全处理平均时长得分行业均值小于5" localSheetId="23">'[2]Database-分值计算'!$B$337:$C$340</definedName>
    <definedName name="OR06_D2.4保全处理平均时长得分行业均值小于5" localSheetId="26">'[2]Database-分值计算'!$B$337:$C$340</definedName>
    <definedName name="OR06_D2.5投诉处理平均时长得分" localSheetId="23">'[2]Database-分值计算'!$B$341:$C$342</definedName>
    <definedName name="OR06_D2.5投诉处理平均时长得分" localSheetId="26">'[2]Database-分值计算'!$B$341:$C$342</definedName>
    <definedName name="OR06_D2.5投诉处理平均时长得分行业均值大于10" localSheetId="23">'[2]Database-分值计算'!$B$343:$C$345</definedName>
    <definedName name="OR06_D2.5投诉处理平均时长得分行业均值大于10" localSheetId="26">'[2]Database-分值计算'!$B$343:$C$345</definedName>
    <definedName name="OR06_D2.5投诉处理平均时长得分行业均值小于10" localSheetId="23">'[2]Database-分值计算'!$B$346:$C$349</definedName>
    <definedName name="OR06_D2.5投诉处理平均时长得分行业均值小于10" localSheetId="26">'[2]Database-分值计算'!$B$346:$C$349</definedName>
    <definedName name="OR06_D4.1_监管部门接到的关于理赔、保全业务线的投诉得分" localSheetId="23">'[2]Database-分值计算'!$B$350:$C$354</definedName>
    <definedName name="OR06_D4.1_监管部门接到的关于理赔、保全业务线的投诉得分" localSheetId="26">'[2]Database-分值计算'!$B$350:$C$354</definedName>
    <definedName name="OR06_D4.2_保险公司接到的关于理赔、保全业务线的投诉得分" localSheetId="23">'[2]Database-分值计算'!$B$355:$C$359</definedName>
    <definedName name="OR06_D4.2_保险公司接到的关于理赔、保全业务线的投诉得分" localSheetId="26">'[2]Database-分值计算'!$B$355:$C$359</definedName>
    <definedName name="OR07_D1.1_领导能力" localSheetId="23">'[2]Database-分值计算'!$B$360:$C$362</definedName>
    <definedName name="OR07_D1.1_领导能力" localSheetId="26">'[2]Database-分值计算'!$B$360:$C$362</definedName>
    <definedName name="OR07_D1.2_招聘、解雇" localSheetId="23">'[2]Database-分值计算'!$B$363:$C$365</definedName>
    <definedName name="OR07_D1.2_招聘、解雇" localSheetId="26">'[2]Database-分值计算'!$B$363:$C$365</definedName>
    <definedName name="OR07_D1.4_业绩管理、薪酬" localSheetId="23">'[2]Database-分值计算'!$B$369:$C$370</definedName>
    <definedName name="OR07_D1.4_业绩管理、薪酬" localSheetId="26">'[2]Database-分值计算'!$B$369:$C$370</definedName>
    <definedName name="OR07_D2.1_理赔权限管理" localSheetId="23">'[2]Database-分值计算'!$B$371:$C$372</definedName>
    <definedName name="OR07_D2.1_理赔权限管理" localSheetId="26">'[2]Database-分值计算'!$B$371:$C$372</definedName>
    <definedName name="OR07_D2.2_报案立案率" localSheetId="23">'[2]Database-分值计算'!$B$373:$C$374</definedName>
    <definedName name="OR07_D2.2_报案立案率" localSheetId="26">'[2]Database-分值计算'!$B$373:$C$374</definedName>
    <definedName name="OR07_D2.3_部门负责人培训" localSheetId="23">'[2]Database-分值计算'!$B$375:$C$377</definedName>
    <definedName name="OR07_D2.3_部门负责人培训" localSheetId="26">'[2]Database-分值计算'!$B$375:$C$377</definedName>
    <definedName name="OR07_D2.4_案均核赔支付时效" localSheetId="23">'[2]Database-分值计算'!$B$378:$C$380</definedName>
    <definedName name="OR07_D2.4_案均核赔支付时效" localSheetId="26">'[2]Database-分值计算'!$B$378:$C$380</definedName>
    <definedName name="OR07_D2.5_赔款转账直付比例" localSheetId="23">'[2]Database-分值计算'!$B$381:$C$383</definedName>
    <definedName name="OR07_D2.5_赔款转账直付比例" localSheetId="26">'[2]Database-分值计算'!$B$381:$C$383</definedName>
    <definedName name="OR07_D2.6_已发生已报告未决赔款准备金发展偏差率" localSheetId="23">'[2]Database-分值计算'!$B$384:$C$386</definedName>
    <definedName name="OR07_D2.6_已发生已报告未决赔款准备金发展偏差率" localSheetId="26">'[2]Database-分值计算'!$B$384:$C$386</definedName>
    <definedName name="OR07_D2.7_千张保单投诉量" localSheetId="23">'[2]Database-分值计算'!$B$387:$C$389</definedName>
    <definedName name="OR07_D2.7_千张保单投诉量" localSheetId="26">'[2]Database-分值计算'!$B$387:$C$389</definedName>
    <definedName name="OR07_D3.2_反欺诈识别" localSheetId="23">'[2]Database-分值计算'!$B$390:$C$391</definedName>
    <definedName name="OR07_D3.2_反欺诈识别" localSheetId="26">'[2]Database-分值计算'!$B$390:$C$391</definedName>
    <definedName name="OR07_D3.3_系统对接" localSheetId="23">'[2]Database-分值计算'!$B$392:$C$393</definedName>
    <definedName name="OR07_D3.3_系统对接" localSheetId="26">'[2]Database-分值计算'!$B$392:$C$393</definedName>
    <definedName name="OR07_D5_基于行业总体水平的调整" localSheetId="23">'[2]Database-分值计算'!$B$394:$C$397</definedName>
    <definedName name="OR07_D5_基于行业总体水平的调整" localSheetId="26">'[2]Database-分值计算'!$B$394:$C$397</definedName>
    <definedName name="OR07_X1.3_部门负责人培训" localSheetId="23">'[2]Database-下拉框'!#REF!</definedName>
    <definedName name="OR07_X1.3_部门负责人培训" localSheetId="26">'[2]Database-下拉框'!#REF!</definedName>
    <definedName name="OR07_X1.4_业绩管理、薪酬" localSheetId="23">'[2]Database-下拉框'!$B$100:$B$101</definedName>
    <definedName name="OR07_X1.4_业绩管理、薪酬" localSheetId="26">'[2]Database-下拉框'!$B$100:$B$101</definedName>
    <definedName name="OR07_X2.1_理赔权限管理" localSheetId="23">'[2]Database-下拉框'!$B$102:$B$103</definedName>
    <definedName name="OR07_X2.1_理赔权限管理" localSheetId="26">'[2]Database-下拉框'!$B$102:$B$103</definedName>
    <definedName name="OR07_X3.2_反欺诈识别" localSheetId="23">'[2]Database-下拉框'!$B$104:$B$105</definedName>
    <definedName name="OR07_X3.2_反欺诈识别" localSheetId="26">'[2]Database-下拉框'!$B$104:$B$105</definedName>
    <definedName name="OR07_X3.3_系统对接" localSheetId="23">'[2]Database-下拉框'!$B$106:$B$107</definedName>
    <definedName name="OR07_X3.3_系统对接" localSheetId="26">'[2]Database-下拉框'!$B$106:$B$107</definedName>
    <definedName name="OR08_D1.1_领导能力" localSheetId="23">'[2]Database-分值计算'!$B$398:$C$400</definedName>
    <definedName name="OR08_D1.1_领导能力" localSheetId="26">'[2]Database-分值计算'!$B$398:$C$400</definedName>
    <definedName name="OR08_D1.2_招聘、解雇" localSheetId="23">'[2]Database-分值计算'!$B$401:$C$403</definedName>
    <definedName name="OR08_D1.2_招聘、解雇" localSheetId="26">'[2]Database-分值计算'!$B$401:$C$403</definedName>
    <definedName name="OR08_D1.4_业绩管理、薪酬" localSheetId="23">'[2]Database-分值计算'!$B$407:$C$408</definedName>
    <definedName name="OR08_D1.4_业绩管理、薪酬" localSheetId="26">'[2]Database-分值计算'!$B$407:$C$408</definedName>
    <definedName name="OR08_D2.1_案均核赔支付时效" localSheetId="23">'[2]Database-分值计算'!$B$409:$C$411</definedName>
    <definedName name="OR08_D2.1_案均核赔支付时效" localSheetId="26">'[2]Database-分值计算'!$B$409:$C$411</definedName>
    <definedName name="OR08_D2.2_理赔服务时效得分" localSheetId="23">'[2]Database-分值计算'!$B$412:$C$415</definedName>
    <definedName name="OR08_D2.2_理赔服务时效得分" localSheetId="26">'[2]Database-分值计算'!$B$412:$C$415</definedName>
    <definedName name="OR08_D2.3_赔款转账直付比例" localSheetId="23">'[2]Database-分值计算'!$B$416:$C$418</definedName>
    <definedName name="OR08_D2.3_赔款转账直付比例" localSheetId="26">'[2]Database-分值计算'!$B$416:$C$418</definedName>
    <definedName name="OR08_D2.4_非寿险业务估损代数偏差率" localSheetId="23">'[2]Database-分值计算'!$B$419:$C$420</definedName>
    <definedName name="OR08_D2.4_非寿险业务估损代数偏差率" localSheetId="26">'[2]Database-分值计算'!$B$419:$C$420</definedName>
    <definedName name="OR08_D3.2_反欺诈识别" localSheetId="23">'[2]Database-分值计算'!$B$421:$C$422</definedName>
    <definedName name="OR08_D3.2_反欺诈识别" localSheetId="26">'[2]Database-分值计算'!$B$421:$C$422</definedName>
    <definedName name="OR08_D3.3_系统对接" localSheetId="23">'[2]Database-分值计算'!$B$423:$C$424</definedName>
    <definedName name="OR08_D3.3_系统对接" localSheetId="26">'[2]Database-分值计算'!$B$423:$C$424</definedName>
    <definedName name="OR08_D5_基于行业总体水平的调整" localSheetId="23">'[2]Database-分值计算'!$B$425:$C$428</definedName>
    <definedName name="OR08_D5_基于行业总体水平的调整" localSheetId="26">'[2]Database-分值计算'!$B$425:$C$428</definedName>
    <definedName name="OR08_X1.3_部门负责人培训" localSheetId="23">'[2]Database-下拉框'!#REF!</definedName>
    <definedName name="OR08_X1.3_部门负责人培训" localSheetId="26">'[2]Database-下拉框'!#REF!</definedName>
    <definedName name="OR08_X1.4_业绩管理、薪酬" localSheetId="23">'[2]Database-下拉框'!$B$108:$B$109</definedName>
    <definedName name="OR08_X1.4_业绩管理、薪酬" localSheetId="26">'[2]Database-下拉框'!$B$108:$B$109</definedName>
    <definedName name="OR08_X3.2_反欺诈识别" localSheetId="23">'[2]Database-下拉框'!$B$110:$B$111</definedName>
    <definedName name="OR08_X3.2_反欺诈识别" localSheetId="26">'[2]Database-下拉框'!$B$110:$B$111</definedName>
    <definedName name="OR08_X3.3_系统对接" localSheetId="23">'[2]Database-下拉框'!$B$112:$B$113</definedName>
    <definedName name="OR08_X3.3_系统对接" localSheetId="26">'[2]Database-下拉框'!$B$112:$B$113</definedName>
    <definedName name="OR09_D1.1_再保险业务管理情况" localSheetId="23">'[2]Database-分值计算'!$B$429:$C$431</definedName>
    <definedName name="OR09_D1.1_再保险业务管理情况" localSheetId="26">'[2]Database-分值计算'!$B$429:$C$431</definedName>
    <definedName name="OR09_D1.2_再保险分入业务分工情况" localSheetId="23">'[2]Database-分值计算'!$B$432:$C$433</definedName>
    <definedName name="OR09_D1.2_再保险分入业务分工情况" localSheetId="26">'[2]Database-分值计算'!$B$432:$C$433</definedName>
    <definedName name="OR09_D2.2.1_再保险接受人及经纪人资信管理情况" localSheetId="23">'[2]Database-分值计算'!$B$434:$C$435</definedName>
    <definedName name="OR09_D2.2.1_再保险接受人及经纪人资信管理情况" localSheetId="26">'[2]Database-分值计算'!$B$434:$C$435</definedName>
    <definedName name="OR09_D2.2.3_再保险接受人信用风险突发应急预案管理情况" localSheetId="23">'[2]Database-分值计算'!$B$436:$C$437</definedName>
    <definedName name="OR09_D2.2.3_再保险接受人信用风险突发应急预案管理情况" localSheetId="26">'[2]Database-分值计算'!$B$436:$C$437</definedName>
    <definedName name="OR09_D2.3.2_需续保的再保合约业务及时性得分" localSheetId="23">'[2]Database-分值计算'!$B$438:$C$439</definedName>
    <definedName name="OR09_D2.3.2_需续保的再保合约业务及时性得分" localSheetId="26">'[2]Database-分值计算'!$B$438:$C$439</definedName>
    <definedName name="OR09_D2.5.1_再保险应收应付款项管理情况" localSheetId="23">'[2]Database-分值计算'!$B$440:$C$441</definedName>
    <definedName name="OR09_D2.5.1_再保险应收应付款项管理情况" localSheetId="26">'[2]Database-分值计算'!$B$440:$C$441</definedName>
    <definedName name="OR09_D2.6.1_每一危险单位划分符合相关法律法规情况得分" localSheetId="23">'[2]Database-分值计算'!$B$442:$C$443</definedName>
    <definedName name="OR09_D2.6.1_每一危险单位划分符合相关法律法规情况得分" localSheetId="26">'[2]Database-分值计算'!$B$442:$C$443</definedName>
    <definedName name="OR09_D2.6.2_每一危险单位划分符合公司内部规定情况得分" localSheetId="23">'[2]Database-分值计算'!$B$444:$C$445</definedName>
    <definedName name="OR09_D2.6.2_每一危险单位划分符合公司内部规定情况得分" localSheetId="26">'[2]Database-分值计算'!$B$444:$C$445</definedName>
    <definedName name="OR09_D2.8.1_完成外部审计" localSheetId="23">'[2]Database-分值计算'!$B$446:$C$447</definedName>
    <definedName name="OR09_D2.8.1_完成外部审计" localSheetId="26">'[2]Database-分值计算'!$B$446:$C$447</definedName>
    <definedName name="OR09_D2.8.2_完成内部审计" localSheetId="23">'[2]Database-分值计算'!$B$448:$C$449</definedName>
    <definedName name="OR09_D2.8.2_完成内部审计" localSheetId="26">'[2]Database-分值计算'!$B$448:$C$449</definedName>
    <definedName name="OR09_D3.1_再保系统与其他系统链接" localSheetId="23">'[2]Database-分值计算'!$B$450:$C$451</definedName>
    <definedName name="OR09_D3.1_再保系统与其他系统链接" localSheetId="26">'[2]Database-分值计算'!$B$450:$C$451</definedName>
    <definedName name="OR09_D3.2_IT系统模块功能" localSheetId="23">'[2]Database-分值计算'!$B$452:$C$453</definedName>
    <definedName name="OR09_D3.2_IT系统模块功能" localSheetId="26">'[2]Database-分值计算'!$B$452:$C$453</definedName>
    <definedName name="OR09_D3.3_IT系统统计保监会要求上报的各类再保险数据报表" localSheetId="23">'[2]Database-分值计算'!$B$454:$C$455</definedName>
    <definedName name="OR09_D3.3_IT系统统计保监会要求上报的各类再保险数据报表" localSheetId="26">'[2]Database-分值计算'!$B$454:$C$455</definedName>
    <definedName name="OR09_D3.4_再保险IT系统权限管理情况" localSheetId="23">'[2]Database-分值计算'!$B$456:$C$457</definedName>
    <definedName name="OR09_D3.4_再保险IT系统权限管理情况" localSheetId="26">'[2]Database-分值计算'!$B$456:$C$457</definedName>
    <definedName name="OR09_D3.5_再保系统记录修改痕迹功能" localSheetId="23">'[2]Database-分值计算'!$B$458:$C$459</definedName>
    <definedName name="OR09_D3.5_再保系统记录修改痕迹功能" localSheetId="26">'[2]Database-分值计算'!$B$458:$C$459</definedName>
    <definedName name="OR09_D4.1_再保险管理组织架构" localSheetId="23">'[2]Database-分值计算'!$B$460:$C$462</definedName>
    <definedName name="OR09_D4.1_再保险管理组织架构" localSheetId="26">'[2]Database-分值计算'!$B$460:$C$462</definedName>
    <definedName name="OR09_D4.2_分保安排及确认的及时性" localSheetId="23">'[2]Database-分值计算'!$B$463:$C$465</definedName>
    <definedName name="OR09_D4.2_分保安排及确认的及时性" localSheetId="26">'[2]Database-分值计算'!$B$463:$C$465</definedName>
    <definedName name="OR09_D4.3_再保系统独立性和完整性" localSheetId="23">'[2]Database-分值计算'!$B$466:$C$468</definedName>
    <definedName name="OR09_D4.3_再保系统独立性和完整性" localSheetId="26">'[2]Database-分值计算'!$B$466:$C$468</definedName>
    <definedName name="OR09_X1.1_再保险业务管理情况" localSheetId="23">'[2]Database-下拉框'!$B$114:$B$116</definedName>
    <definedName name="OR09_X1.1_再保险业务管理情况" localSheetId="26">'[2]Database-下拉框'!$B$114:$B$116</definedName>
    <definedName name="OR09_X1.2_再保险分入业务管理情况" localSheetId="23">'[2]Database-下拉框'!$B$117:$B$118</definedName>
    <definedName name="OR09_X1.2_再保险分入业务管理情况" localSheetId="26">'[2]Database-下拉框'!$B$117:$B$118</definedName>
    <definedName name="OR09_X2.2.1_再保险接受人及经纪人资信管理情况" localSheetId="23">'[2]Database-下拉框'!$B$119:$B$120</definedName>
    <definedName name="OR09_X2.2.1_再保险接受人及经纪人资信管理情况" localSheetId="26">'[2]Database-下拉框'!$B$119:$B$120</definedName>
    <definedName name="OR09_X2.2.3_再保险接受人信用风险突发应急预案管理情况" localSheetId="23">'[2]Database-下拉框'!$B$121:$B$122</definedName>
    <definedName name="OR09_X2.2.3_再保险接受人信用风险突发应急预案管理情况" localSheetId="26">'[2]Database-下拉框'!$B$121:$B$122</definedName>
    <definedName name="OR09_X2.3.2_需续保的再保合约业务完成情况" localSheetId="23">'[2]Database-下拉框'!$B$123:$B$124</definedName>
    <definedName name="OR09_X2.3.2_需续保的再保合约业务完成情况" localSheetId="26">'[2]Database-下拉框'!$B$123:$B$124</definedName>
    <definedName name="OR09_X2.5.1_再保险应收应付款项管理情况" localSheetId="23">'[2]Database-下拉框'!$B$125:$B$126</definedName>
    <definedName name="OR09_X2.5.1_再保险应收应付款项管理情况" localSheetId="26">'[2]Database-下拉框'!$B$125:$B$126</definedName>
    <definedName name="OR09_X2.6.1_每一危险单位划分是否符合相关法律法规" localSheetId="23">'[2]Database-下拉框'!$B$127:$B$128</definedName>
    <definedName name="OR09_X2.6.1_每一危险单位划分是否符合相关法律法规" localSheetId="26">'[2]Database-下拉框'!$B$127:$B$128</definedName>
    <definedName name="OR09_X2.6.2_每一危险单位自留额管理" localSheetId="23">'[2]Database-下拉框'!$B$129:$B$130</definedName>
    <definedName name="OR09_X2.6.2_每一危险单位自留额管理" localSheetId="26">'[2]Database-下拉框'!$B$129:$B$130</definedName>
    <definedName name="OR09_X3.1_再保系统与其他系统链接" localSheetId="23">'[2]Database-下拉框'!$B$131:$B$132</definedName>
    <definedName name="OR09_X3.1_再保系统与其他系统链接" localSheetId="26">'[2]Database-下拉框'!$B$131:$B$132</definedName>
    <definedName name="OR09_X3.2_IT系统模块功能" localSheetId="23">'[2]Database-下拉框'!$B$133:$B$134</definedName>
    <definedName name="OR09_X3.2_IT系统模块功能" localSheetId="26">'[2]Database-下拉框'!$B$133:$B$134</definedName>
    <definedName name="OR09_X3.3_IT系统统计再保险数据报表" localSheetId="23">'[2]Database-下拉框'!$B$135:$B$136</definedName>
    <definedName name="OR09_X3.3_IT系统统计再保险数据报表" localSheetId="26">'[2]Database-下拉框'!$B$135:$B$136</definedName>
    <definedName name="OR09_X3.4_再保险IT系统权限管理情况" localSheetId="23">'[2]Database-下拉框'!$B$137:$B$138</definedName>
    <definedName name="OR09_X3.4_再保险IT系统权限管理情况" localSheetId="26">'[2]Database-下拉框'!$B$137:$B$138</definedName>
    <definedName name="OR09_X3.5_再保系统记录修改痕迹功能" localSheetId="23">'[2]Database-下拉框'!$B$139:$B$140</definedName>
    <definedName name="OR09_X3.5_再保系统记录修改痕迹功能" localSheetId="26">'[2]Database-下拉框'!$B$139:$B$140</definedName>
    <definedName name="OR10_D1.1.1_资产管理部门负责人从业经验" localSheetId="23">'[2]Database-分值计算'!$B$534:$C$536</definedName>
    <definedName name="OR10_D1.1.1_资产管理部门负责人从业经验" localSheetId="26">'[2]Database-分值计算'!$B$534:$C$536</definedName>
    <definedName name="OR10_D1.1.2_资产管理部门负责人违法违规及处罚" localSheetId="23">'[2]Database-分值计算'!$B$537:$C$538</definedName>
    <definedName name="OR10_D1.1.2_资产管理部门负责人违法违规及处罚" localSheetId="26">'[2]Database-分值计算'!$B$537:$C$538</definedName>
    <definedName name="OR10_D1.1.3_资产管理部门人员平均从业年限" localSheetId="23">'[2]Database-分值计算'!$B$539:$C$541</definedName>
    <definedName name="OR10_D1.1.3_资产管理部门人员平均从业年限" localSheetId="26">'[2]Database-分值计算'!$B$539:$C$541</definedName>
    <definedName name="OR10_D1.2.1.1_委托投资人员岗位" localSheetId="23">'[2]Database-分值计算'!$B$542:$C$544</definedName>
    <definedName name="OR10_D1.2.1.1_委托投资人员岗位" localSheetId="26">'[2]Database-分值计算'!$B$542:$C$544</definedName>
    <definedName name="OR10_D1.2.1.2_自行投资人员岗位" localSheetId="23">'[2]Database-分值计算'!$B$545:$C$547</definedName>
    <definedName name="OR10_D1.2.1.2_自行投资人员岗位" localSheetId="26">'[2]Database-分值计算'!$B$545:$C$547</definedName>
    <definedName name="OR10_D1.2.2_人员结构" localSheetId="23">'[2]Database-分值计算'!$B$548:$C$549</definedName>
    <definedName name="OR10_D1.2.2_人员结构" localSheetId="26">'[2]Database-分值计算'!$B$548:$C$549</definedName>
    <definedName name="OR10_D1.2.3_资产管理部门人员流失率" localSheetId="23">'[2]Database-分值计算'!$B$550:$C$552</definedName>
    <definedName name="OR10_D1.2.3_资产管理部门人员流失率" localSheetId="26">'[2]Database-分值计算'!$B$550:$C$552</definedName>
    <definedName name="OR10_D1.3.2_员工培训频率" localSheetId="23">'[2]Database-分值计算'!$B$557:$C$558</definedName>
    <definedName name="OR10_D1.3.2_员工培训频率" localSheetId="26">'[2]Database-分值计算'!$B$557:$C$558</definedName>
    <definedName name="OR10_D1.4.1.1_自行投资投研人员激励机制" localSheetId="23">'[2]Database-分值计算'!$B$559:$C$561</definedName>
    <definedName name="OR10_D1.4.1.1_自行投资投研人员激励机制" localSheetId="26">'[2]Database-分值计算'!$B$559:$C$561</definedName>
    <definedName name="OR10_D1.4.1.2_委托投资投研人员激励机制" localSheetId="23">'[2]Database-分值计算'!$B$562:$C$564</definedName>
    <definedName name="OR10_D1.4.1.2_委托投资投研人员激励机制" localSheetId="26">'[2]Database-分值计算'!$B$562:$C$564</definedName>
    <definedName name="OR10_D1.4.2.1_自行投资风险管理人员激励机制" localSheetId="23">'[2]Database-分值计算'!$B$565:$C$567</definedName>
    <definedName name="OR10_D1.4.2.1_自行投资风险管理人员激励机制" localSheetId="26">'[2]Database-分值计算'!$B$565:$C$567</definedName>
    <definedName name="OR10_D1.4.2.2_委托投资风险管理人员激励机制" localSheetId="23">'[2]Database-分值计算'!$B$568:$C$570</definedName>
    <definedName name="OR10_D1.4.2.2_委托投资风险管理人员激励机制" localSheetId="26">'[2]Database-分值计算'!$B$568:$C$570</definedName>
    <definedName name="OR10_D1.4.3.1_自行投资业绩考核" localSheetId="23">'[2]Database-分值计算'!$B$571:$C$573</definedName>
    <definedName name="OR10_D1.4.3.1_自行投资业绩考核" localSheetId="26">'[2]Database-分值计算'!$B$571:$C$573</definedName>
    <definedName name="OR10_D1.4.3.2_委托投资业绩考核" localSheetId="23">'[2]Database-分值计算'!$B$574:$C$576</definedName>
    <definedName name="OR10_D1.4.3.2_委托投资业绩考核" localSheetId="26">'[2]Database-分值计算'!$B$574:$C$576</definedName>
    <definedName name="OR10_D2.1_操作风险数据库" localSheetId="23">'[2]Database-分值计算'!$B$577:$C$578</definedName>
    <definedName name="OR10_D2.1_操作风险数据库" localSheetId="26">'[2]Database-分值计算'!$B$577:$C$578</definedName>
    <definedName name="OR10_D2.2.1_委托投资管理制度" localSheetId="23">'[2]Database-分值计算'!$B$579:$C$581</definedName>
    <definedName name="OR10_D2.2.1_委托投资管理制度" localSheetId="26">'[2]Database-分值计算'!$B$579:$C$581</definedName>
    <definedName name="OR10_D2.2.2_委托投资指引" localSheetId="23">'[2]Database-分值计算'!$B$582:$C$584</definedName>
    <definedName name="OR10_D2.2.2_委托投资指引" localSheetId="26">'[2]Database-分值计算'!$B$582:$C$584</definedName>
    <definedName name="OR10_D2.2.3_定期评估" localSheetId="23">'[2]Database-分值计算'!$B$585:$C$588</definedName>
    <definedName name="OR10_D2.2.3_定期评估" localSheetId="26">'[2]Database-分值计算'!$B$585:$C$588</definedName>
    <definedName name="OR10_D2.3.1_压力测试" localSheetId="23">'[2]Database-分值计算'!$B$589:$C$590</definedName>
    <definedName name="OR10_D2.3.1_压力测试" localSheetId="26">'[2]Database-分值计算'!$B$589:$C$590</definedName>
    <definedName name="OR10_D2.3.2.1_自行投资分账户" localSheetId="23">'[2]Database-分值计算'!$B$591:$C$593</definedName>
    <definedName name="OR10_D2.3.2.1_自行投资分账户" localSheetId="26">'[2]Database-分值计算'!$B$591:$C$593</definedName>
    <definedName name="OR10_D2.3.2.2_委托投资分账户" localSheetId="23">'[2]Database-分值计算'!$B$594:$C$596</definedName>
    <definedName name="OR10_D2.3.2.2_委托投资分账户" localSheetId="26">'[2]Database-分值计算'!$B$594:$C$596</definedName>
    <definedName name="OR10_D2.4_托管" localSheetId="23">'[2]Database-分值计算'!$B$597:$C$599</definedName>
    <definedName name="OR10_D2.4_托管" localSheetId="26">'[2]Database-分值计算'!$B$597:$C$599</definedName>
    <definedName name="OR10_D2.5.1_投资授权制度" localSheetId="23">'[2]Database-分值计算'!$B$600:$C$601</definedName>
    <definedName name="OR10_D2.5.1_投资授权制度" localSheetId="26">'[2]Database-分值计算'!$B$600:$C$601</definedName>
    <definedName name="OR10_D2.5.2.1.1_自行投资决策流程信息化和自动化" localSheetId="23">'[2]Database-分值计算'!$B$602:$C$604</definedName>
    <definedName name="OR10_D2.5.2.1.1_自行投资决策流程信息化和自动化" localSheetId="26">'[2]Database-分值计算'!$B$602:$C$604</definedName>
    <definedName name="OR10_D2.5.2.1.2_委托投资决策流程信息化和自动化" localSheetId="23">'[2]Database-分值计算'!$B$605:$C$607</definedName>
    <definedName name="OR10_D2.5.2.1.2_委托投资决策流程信息化和自动化" localSheetId="26">'[2]Database-分值计算'!$B$605:$C$607</definedName>
    <definedName name="OR10_D2.5.2.2.1_自行投资决策书面记录" localSheetId="23">'[2]Database-分值计算'!$B$608:$C$610</definedName>
    <definedName name="OR10_D2.5.2.2.1_自行投资决策书面记录" localSheetId="26">'[2]Database-分值计算'!$B$608:$C$610</definedName>
    <definedName name="OR10_D2.5.2.2.2_委托投资决策书面记录" localSheetId="23">'[2]Database-分值计算'!$B$611:$C$613</definedName>
    <definedName name="OR10_D2.5.2.2.2_委托投资决策书面记录" localSheetId="26">'[2]Database-分值计算'!$B$611:$C$613</definedName>
    <definedName name="OR10_D2.5.3.1_自行投资投资池、备选池和禁投池体系" localSheetId="23">'[2]Database-分值计算'!$B$614:$C$616</definedName>
    <definedName name="OR10_D2.5.3.1_自行投资投资池、备选池和禁投池体系" localSheetId="26">'[2]Database-分值计算'!$B$614:$C$616</definedName>
    <definedName name="OR10_D2.5.3.2_委托投资投资池、备选池和禁投池体系" localSheetId="23">'[2]Database-分值计算'!$B$617:$C$619</definedName>
    <definedName name="OR10_D2.5.3.2_委托投资投资池、备选池和禁投池体系" localSheetId="26">'[2]Database-分值计算'!$B$617:$C$619</definedName>
    <definedName name="OR10_D2.5.4_投资决策操作风险" localSheetId="23">'[2]Database-分值计算'!$B$620:$C$622</definedName>
    <definedName name="OR10_D2.5.4_投资决策操作风险" localSheetId="26">'[2]Database-分值计算'!$B$620:$C$622</definedName>
    <definedName name="OR10_D2.6.1.1_自行投资集中交易" localSheetId="23">'[2]Database-分值计算'!$B$623:$C$625</definedName>
    <definedName name="OR10_D2.6.1.1_自行投资集中交易" localSheetId="26">'[2]Database-分值计算'!$B$623:$C$625</definedName>
    <definedName name="OR10_D2.6.1.2_委托投资集中交易" localSheetId="23">'[2]Database-分值计算'!$B$626:$C$628</definedName>
    <definedName name="OR10_D2.6.1.2_委托投资集中交易" localSheetId="26">'[2]Database-分值计算'!$B$626:$C$628</definedName>
    <definedName name="OR10_D2.6.2.1_自行投资交易记录" localSheetId="23">'[2]Database-分值计算'!$B$629:$C$631</definedName>
    <definedName name="OR10_D2.6.2.1_自行投资交易记录" localSheetId="26">'[2]Database-分值计算'!$B$629:$C$631</definedName>
    <definedName name="OR10_D2.6.2.2_委托投资交易记录" localSheetId="23">'[2]Database-分值计算'!$B$632:$C$634</definedName>
    <definedName name="OR10_D2.6.2.2_委托投资交易记录" localSheetId="26">'[2]Database-分值计算'!$B$632:$C$634</definedName>
    <definedName name="OR10_D2.6.3_交易行为操作风险" localSheetId="23">'[2]Database-分值计算'!$B$635:$C$637</definedName>
    <definedName name="OR10_D2.6.3_交易行为操作风险" localSheetId="26">'[2]Database-分值计算'!$B$635:$C$637</definedName>
    <definedName name="OR10_D2.7.1.1_自行投资会计估值政策与制度规范" localSheetId="23">'[2]Database-分值计算'!$B$638:$C$640</definedName>
    <definedName name="OR10_D2.7.1.1_自行投资会计估值政策与制度规范" localSheetId="26">'[2]Database-分值计算'!$B$638:$C$640</definedName>
    <definedName name="OR10_D2.7.1.2_委托投资会计估值政策与制度规范" localSheetId="23">'[2]Database-分值计算'!$B$641:$C$643</definedName>
    <definedName name="OR10_D2.7.1.2_委托投资会计估值政策与制度规范" localSheetId="26">'[2]Database-分值计算'!$B$641:$C$643</definedName>
    <definedName name="OR10_D2.7.2.1_自行投资清算和交易信息核对频率" localSheetId="23">'[2]Database-分值计算'!$B$644:$C$646</definedName>
    <definedName name="OR10_D2.7.2.1_自行投资清算和交易信息核对频率" localSheetId="26">'[2]Database-分值计算'!$B$644:$C$646</definedName>
    <definedName name="OR10_D2.7.2.2_委托投资清算和交易信息核对频率" localSheetId="23">'[2]Database-分值计算'!$B$647:$C$649</definedName>
    <definedName name="OR10_D2.7.2.2_委托投资清算和交易信息核对频率" localSheetId="26">'[2]Database-分值计算'!$B$647:$C$649</definedName>
    <definedName name="OR10_D2.7.3_估值核算操作风险事件" localSheetId="23">'[2]Database-分值计算'!$B$650:$C$652</definedName>
    <definedName name="OR10_D2.7.3_估值核算操作风险事件" localSheetId="26">'[2]Database-分值计算'!$B$650:$C$652</definedName>
    <definedName name="OR10_D2.8_信息披露风险事件" localSheetId="23">'[2]Database-分值计算'!$B$653:$C$655</definedName>
    <definedName name="OR10_D2.8_信息披露风险事件" localSheetId="26">'[2]Database-分值计算'!$B$653:$C$655</definedName>
    <definedName name="OR10_D3.1.1.1_自行投资系统自动化" localSheetId="23">'[2]Database-分值计算'!$B$656:$C$659</definedName>
    <definedName name="OR10_D3.1.1.1_自行投资系统自动化" localSheetId="26">'[2]Database-分值计算'!$B$656:$C$659</definedName>
    <definedName name="OR10_D3.1.1.2_委托投资系统自动化" localSheetId="23">'[2]Database-分值计算'!$B$660:$C$662</definedName>
    <definedName name="OR10_D3.1.1.2_委托投资系统自动化" localSheetId="26">'[2]Database-分值计算'!$B$660:$C$662</definedName>
    <definedName name="OR10_D3.1.2_系统设计差错量" localSheetId="23">'[2]Database-分值计算'!$B$663:$C$664</definedName>
    <definedName name="OR10_D3.1.2_系统设计差错量" localSheetId="26">'[2]Database-分值计算'!$B$663:$C$664</definedName>
    <definedName name="OR10_D3.2.1_系统中断次数" localSheetId="23">'[2]Database-分值计算'!$B$665:$C$666</definedName>
    <definedName name="OR10_D3.2.1_系统中断次数" localSheetId="26">'[2]Database-分值计算'!$B$665:$C$666</definedName>
    <definedName name="OR10_D3.2.2_系统异常事件数量" localSheetId="23">'[2]Database-分值计算'!$B$667:$C$668</definedName>
    <definedName name="OR10_D3.2.2_系统异常事件数量" localSheetId="26">'[2]Database-分值计算'!$B$667:$C$668</definedName>
    <definedName name="OR10_D3.3_信息安全事件数量" localSheetId="23">'[2]Database-分值计算'!$B$669:$C$671</definedName>
    <definedName name="OR10_D3.3_信息安全事件数量" localSheetId="26">'[2]Database-分值计算'!$B$669:$C$671</definedName>
    <definedName name="OR10_D3.4_数据差错量" localSheetId="23">'[2]Database-分值计算'!$B$672:$C$673</definedName>
    <definedName name="OR10_D3.4_数据差错量" localSheetId="26">'[2]Database-分值计算'!$B$672:$C$673</definedName>
    <definedName name="OR10_D4.1_对新政策的参与和反应速度" localSheetId="23">'[2]Database-分值计算'!$B$674:$C$675</definedName>
    <definedName name="OR10_D4.1_对新政策的参与和反应速度" localSheetId="26">'[2]Database-分值计算'!$B$674:$C$675</definedName>
    <definedName name="OR10_D4.2_新政策培训" localSheetId="23">'[2]Database-分值计算'!$B$676:$C$677</definedName>
    <definedName name="OR10_D4.2_新政策培训" localSheetId="26">'[2]Database-分值计算'!$B$676:$C$677</definedName>
    <definedName name="OR10_D6.1_投资决策操作风险事件" localSheetId="23">'[2]Database-分值计算'!$B$678:$C$680</definedName>
    <definedName name="OR10_D6.1_投资决策操作风险事件" localSheetId="26">'[2]Database-分值计算'!$B$678:$C$680</definedName>
    <definedName name="OR10_D6.2_交易行为操作风险事件" localSheetId="23">'[2]Database-分值计算'!$B$681:$C$683</definedName>
    <definedName name="OR10_D6.2_交易行为操作风险事件" localSheetId="26">'[2]Database-分值计算'!$B$681:$C$683</definedName>
    <definedName name="OR10_D6.3_估值核算操作风险事件" localSheetId="23">'[2]Database-分值计算'!$B$684:$C$686</definedName>
    <definedName name="OR10_D6.3_估值核算操作风险事件" localSheetId="26">'[2]Database-分值计算'!$B$684:$C$686</definedName>
    <definedName name="OR10_D6.4_信息披露操作风险事件" localSheetId="23">'[2]Database-分值计算'!$B$687:$C$689</definedName>
    <definedName name="OR10_D6.4_信息披露操作风险事件" localSheetId="26">'[2]Database-分值计算'!$B$687:$C$689</definedName>
    <definedName name="OR10_X1.1.2_资产管理部门负责人违法违规及处罚" localSheetId="23">'[2]Database-下拉框'!$B$164:$B$165</definedName>
    <definedName name="OR10_X1.1.2_资产管理部门负责人违法违规及处罚" localSheetId="26">'[2]Database-下拉框'!$B$164:$B$165</definedName>
    <definedName name="OR10_X1.2.1.1_委托投资人员岗位" localSheetId="23">'[2]Database-下拉框'!$B$166:$B$168</definedName>
    <definedName name="OR10_X1.2.1.1_委托投资人员岗位" localSheetId="26">'[2]Database-下拉框'!$B$166:$B$168</definedName>
    <definedName name="OR10_X1.2.1.2_自行投资人员岗位" localSheetId="23">'[2]Database-下拉框'!$B$169:$B$171</definedName>
    <definedName name="OR10_X1.2.1.2_自行投资人员岗位" localSheetId="26">'[2]Database-下拉框'!$B$169:$B$171</definedName>
    <definedName name="OR10_X1.4.1.1_自行投资投研人员激励机制" localSheetId="23">'[2]Database-下拉框'!$B$172:$B$174</definedName>
    <definedName name="OR10_X1.4.1.1_自行投资投研人员激励机制" localSheetId="26">'[2]Database-下拉框'!$B$172:$B$174</definedName>
    <definedName name="OR10_X1.4.1.2_委托投资投研人员激励机制" localSheetId="23">'[2]Database-下拉框'!$B$175:$B$177</definedName>
    <definedName name="OR10_X1.4.1.2_委托投资投研人员激励机制" localSheetId="26">'[2]Database-下拉框'!$B$175:$B$177</definedName>
    <definedName name="OR10_X1.4.2.1_自行投资风险管理人员激励机制" localSheetId="23">'[2]Database-下拉框'!$B$178:$B$180</definedName>
    <definedName name="OR10_X1.4.2.1_自行投资风险管理人员激励机制" localSheetId="26">'[2]Database-下拉框'!$B$178:$B$180</definedName>
    <definedName name="OR10_X1.4.2.2_委托投资风险管理人员激励机制" localSheetId="23">'[2]Database-下拉框'!$B$181:$B$183</definedName>
    <definedName name="OR10_X1.4.2.2_委托投资风险管理人员激励机制" localSheetId="26">'[2]Database-下拉框'!$B$181:$B$183</definedName>
    <definedName name="OR10_X1.4.3.1_自行投资业绩考核" localSheetId="23">'[2]Database-下拉框'!$B$184:$B$186</definedName>
    <definedName name="OR10_X1.4.3.1_自行投资业绩考核" localSheetId="26">'[2]Database-下拉框'!$B$184:$B$186</definedName>
    <definedName name="OR10_X1.4.3.2_委托投资业绩考核" localSheetId="23">'[2]Database-下拉框'!$B$187:$B$189</definedName>
    <definedName name="OR10_X1.4.3.2_委托投资业绩考核" localSheetId="26">'[2]Database-下拉框'!$B$187:$B$189</definedName>
    <definedName name="OR10_X2.1_操作风险数据库" localSheetId="23">'[2]Database-下拉框'!$B$190:$B$191</definedName>
    <definedName name="OR10_X2.1_操作风险数据库" localSheetId="26">'[2]Database-下拉框'!$B$190:$B$191</definedName>
    <definedName name="OR10_X2.2.1_委托投资管理制度" localSheetId="23">'[2]Database-下拉框'!$B$192:$B$194</definedName>
    <definedName name="OR10_X2.2.1_委托投资管理制度" localSheetId="26">'[2]Database-下拉框'!$B$192:$B$194</definedName>
    <definedName name="OR10_X2.2.2_委托投资指引" localSheetId="23">'[2]Database-下拉框'!$B$195:$B$197</definedName>
    <definedName name="OR10_X2.2.2_委托投资指引" localSheetId="26">'[2]Database-下拉框'!$B$195:$B$197</definedName>
    <definedName name="OR10_X2.2.3_定期评估" localSheetId="23">'[2]Database-下拉框'!$B$198:$B$201</definedName>
    <definedName name="OR10_X2.2.3_定期评估" localSheetId="26">'[2]Database-下拉框'!$B$198:$B$201</definedName>
    <definedName name="OR10_X2.3.1_压力测试" localSheetId="23">'[2]Database-下拉框'!$B$202:$B$203</definedName>
    <definedName name="OR10_X2.3.1_压力测试" localSheetId="26">'[2]Database-下拉框'!$B$202:$B$203</definedName>
    <definedName name="OR10_X2.3.2.1_自行投资分账户" localSheetId="23">'[2]Database-下拉框'!$B$204:$B$206</definedName>
    <definedName name="OR10_X2.3.2.1_自行投资分账户" localSheetId="26">'[2]Database-下拉框'!$B$204:$B$206</definedName>
    <definedName name="OR10_X2.3.2.2_委托投资分账户" localSheetId="23">'[2]Database-下拉框'!$B$207:$B$209</definedName>
    <definedName name="OR10_X2.3.2.2_委托投资分账户" localSheetId="26">'[2]Database-下拉框'!$B$207:$B$209</definedName>
    <definedName name="OR10_X2.4_托管" localSheetId="23">'[2]Database-下拉框'!$B$210:$B$212</definedName>
    <definedName name="OR10_X2.4_托管" localSheetId="26">'[2]Database-下拉框'!$B$210:$B$212</definedName>
    <definedName name="OR10_X2.5.1_投资授权制度" localSheetId="23">'[2]Database-下拉框'!$B$213:$B$214</definedName>
    <definedName name="OR10_X2.5.1_投资授权制度" localSheetId="26">'[2]Database-下拉框'!$B$213:$B$214</definedName>
    <definedName name="OR10_X2.5.2.1.1_自行投资决策流程信息化和自动化" localSheetId="23">'[2]Database-下拉框'!$B$215:$B$217</definedName>
    <definedName name="OR10_X2.5.2.1.1_自行投资决策流程信息化和自动化" localSheetId="26">'[2]Database-下拉框'!$B$215:$B$217</definedName>
    <definedName name="OR10_X2.5.2.1.2_委托投资决策流程信息化和自动化" localSheetId="23">'[2]Database-下拉框'!$B$218:$B$220</definedName>
    <definedName name="OR10_X2.5.2.1.2_委托投资决策流程信息化和自动化" localSheetId="26">'[2]Database-下拉框'!$B$218:$B$220</definedName>
    <definedName name="OR10_X2.5.2.2.1_自行投资决策书面记录" localSheetId="23">'[2]Database-下拉框'!$B$221:$B$223</definedName>
    <definedName name="OR10_X2.5.2.2.1_自行投资决策书面记录" localSheetId="26">'[2]Database-下拉框'!$B$221:$B$223</definedName>
    <definedName name="OR10_X2.5.2.2.2_委托投资决策书面记录" localSheetId="23">'[2]Database-下拉框'!$B$224:$B$226</definedName>
    <definedName name="OR10_X2.5.2.2.2_委托投资决策书面记录" localSheetId="26">'[2]Database-下拉框'!$B$224:$B$226</definedName>
    <definedName name="OR10_X2.5.3.1_自行投资投资池、备选池和禁投池体系" localSheetId="23">'[2]Database-下拉框'!$B$227:$B$229</definedName>
    <definedName name="OR10_X2.5.3.1_自行投资投资池、备选池和禁投池体系" localSheetId="26">'[2]Database-下拉框'!$B$227:$B$229</definedName>
    <definedName name="OR10_X2.5.3.2_委托投资投资池、备选池和禁投池体系" localSheetId="23">'[2]Database-下拉框'!$B$230:$B$232</definedName>
    <definedName name="OR10_X2.5.3.2_委托投资投资池、备选池和禁投池体系" localSheetId="26">'[2]Database-下拉框'!$B$230:$B$232</definedName>
    <definedName name="OR10_X2.6.1.1_自行投资集中交易" localSheetId="23">'[2]Database-下拉框'!$B$233:$B$235</definedName>
    <definedName name="OR10_X2.6.1.1_自行投资集中交易" localSheetId="26">'[2]Database-下拉框'!$B$233:$B$235</definedName>
    <definedName name="OR10_X2.6.1.2_委托投资集中交易" localSheetId="23">'[2]Database-下拉框'!$B$236:$B$238</definedName>
    <definedName name="OR10_X2.6.1.2_委托投资集中交易" localSheetId="26">'[2]Database-下拉框'!$B$236:$B$238</definedName>
    <definedName name="OR10_X2.6.2.1_自行投资交易记录" localSheetId="23">'[2]Database-下拉框'!$B$239:$B$241</definedName>
    <definedName name="OR10_X2.6.2.1_自行投资交易记录" localSheetId="26">'[2]Database-下拉框'!$B$239:$B$241</definedName>
    <definedName name="OR10_X2.6.2.2_委托投资交易记录" localSheetId="23">'[2]Database-下拉框'!$B$242:$B$244</definedName>
    <definedName name="OR10_X2.6.2.2_委托投资交易记录" localSheetId="26">'[2]Database-下拉框'!$B$242:$B$244</definedName>
    <definedName name="OR10_X2.7.1.1_自行投资会计估值政策与制度规范" localSheetId="23">'[2]Database-下拉框'!$B$245:$B$247</definedName>
    <definedName name="OR10_X2.7.1.1_自行投资会计估值政策与制度规范" localSheetId="26">'[2]Database-下拉框'!$B$245:$B$247</definedName>
    <definedName name="OR10_X2.7.1.2_委托投资会计估值政策与制度规范" localSheetId="23">'[2]Database-下拉框'!$B$248:$B$250</definedName>
    <definedName name="OR10_X2.7.1.2_委托投资会计估值政策与制度规范" localSheetId="26">'[2]Database-下拉框'!$B$248:$B$250</definedName>
    <definedName name="OR10_X2.7.2.1_自行投资清算和交易信息核对频率" localSheetId="23">'[2]Database-下拉框'!$B$251:$B$253</definedName>
    <definedName name="OR10_X2.7.2.1_自行投资清算和交易信息核对频率" localSheetId="26">'[2]Database-下拉框'!$B$251:$B$253</definedName>
    <definedName name="OR10_X2.7.2.2_委托投资清算和交易信息核对频率" localSheetId="23">'[2]Database-下拉框'!$B$254:$B$256</definedName>
    <definedName name="OR10_X2.7.2.2_委托投资清算和交易信息核对频率" localSheetId="26">'[2]Database-下拉框'!$B$254:$B$256</definedName>
    <definedName name="OR10_X3.1.1.1_自行投资系统自动化" localSheetId="23">'[2]Database-下拉框'!$B$257:$B$260</definedName>
    <definedName name="OR10_X3.1.1.1_自行投资系统自动化" localSheetId="26">'[2]Database-下拉框'!$B$257:$B$260</definedName>
    <definedName name="OR10_X3.1.1.2_委托投资系统自动化" localSheetId="23">'[2]Database-下拉框'!$B$261:$B$263</definedName>
    <definedName name="OR10_X3.1.1.2_委托投资系统自动化" localSheetId="26">'[2]Database-下拉框'!$B$261:$B$263</definedName>
    <definedName name="OR10_X4.1_对新政策的参与和反应速度" localSheetId="23">'[2]Database-下拉框'!$B$264:$B$265</definedName>
    <definedName name="OR10_X4.1_对新政策的参与和反应速度" localSheetId="26">'[2]Database-下拉框'!$B$264:$B$265</definedName>
    <definedName name="OR10_X4.2_新政策培训" localSheetId="23">'[2]Database-下拉框'!$B$266:$B$267</definedName>
    <definedName name="OR10_X4.2_新政策培训" localSheetId="26">'[2]Database-下拉框'!$B$266:$B$267</definedName>
    <definedName name="OR12_D1.1_财会部门主要负责人专业性" localSheetId="23">'[2]Database-分值计算'!$B$690:$C$692</definedName>
    <definedName name="OR12_D1.1_财会部门主要负责人专业性" localSheetId="26">'[2]Database-分值计算'!$B$690:$C$692</definedName>
    <definedName name="OR12_D1.2.1.1_财会部门人数_否_I类公司" localSheetId="23">'[2]Database-分值计算'!$B$699:$C$700</definedName>
    <definedName name="OR12_D1.2.1.1_财会部门人数_否_I类公司" localSheetId="26">'[2]Database-分值计算'!$B$699:$C$700</definedName>
    <definedName name="OR12_D1.2.1.1_财会部门人数_是_II类公司" localSheetId="23">'[2]Database-分值计算'!$B$701:$C$702</definedName>
    <definedName name="OR12_D1.2.1.1_财会部门人数_是_II类公司" localSheetId="26">'[2]Database-分值计算'!$B$701:$C$702</definedName>
    <definedName name="OR12_D1.2.1.1_财会部门人数_是_I类公司" localSheetId="23">'[2]Database-分值计算'!$B$697:$C$698</definedName>
    <definedName name="OR12_D1.2.1.1_财会部门人数_是_I类公司" localSheetId="26">'[2]Database-分值计算'!$B$697:$C$698</definedName>
    <definedName name="OR12_D1.2.1.1_财务处理情况" localSheetId="23">'[2]Database-分值计算'!$B$693:$C$696</definedName>
    <definedName name="OR12_D1.2.1.1_财务处理情况" localSheetId="26">'[2]Database-分值计算'!$B$693:$C$696</definedName>
    <definedName name="OR12_D1.2.2_财会部门人员流失率" localSheetId="23">'[2]Database-分值计算'!$B$705:$C$706</definedName>
    <definedName name="OR12_D1.2.2_财会部门人员流失率" localSheetId="26">'[2]Database-分值计算'!$B$705:$C$706</definedName>
    <definedName name="OR12_D1.3_员工培训率" localSheetId="23">'[2]Database-分值计算'!$B$707:$C$708</definedName>
    <definedName name="OR12_D1.3_员工培训率" localSheetId="26">'[2]Database-分值计算'!$B$707:$C$708</definedName>
    <definedName name="OR12_D1.4_业绩考核" localSheetId="23">'[2]Database-分值计算'!$B$709:$C$710</definedName>
    <definedName name="OR12_D1.4_业绩考核" localSheetId="26">'[2]Database-分值计算'!$B$709:$C$710</definedName>
    <definedName name="OR12_D2.1_操作风险数据库" localSheetId="23">'[2]Database-分值计算'!$B$711:$C$712</definedName>
    <definedName name="OR12_D2.1_操作风险数据库" localSheetId="26">'[2]Database-分值计算'!$B$711:$C$712</definedName>
    <definedName name="OR12_D2.2.1_核算集中度" localSheetId="23">'[2]Database-分值计算'!$B$713:$C$714</definedName>
    <definedName name="OR12_D2.2.1_核算集中度" localSheetId="26">'[2]Database-分值计算'!$B$713:$C$714</definedName>
    <definedName name="OR12_D2.2.2_会计差错量" localSheetId="23">'[2]Database-分值计算'!$B$715:$C$716</definedName>
    <definedName name="OR12_D2.2.2_会计差错量" localSheetId="26">'[2]Database-分值计算'!$B$715:$C$716</definedName>
    <definedName name="OR12_D2.2.3_委托投资资产数据核对" localSheetId="23">'[2]Database-分值计算'!$B$717:$C$718</definedName>
    <definedName name="OR12_D2.2.3_委托投资资产数据核对" localSheetId="26">'[2]Database-分值计算'!$B$717:$C$718</definedName>
    <definedName name="OR12_D2.3.1_偿付能力报告差错量" localSheetId="23">'[2]Database-分值计算'!$B$719:$C$721</definedName>
    <definedName name="OR12_D2.3.1_偿付能力报告差错量" localSheetId="26">'[2]Database-分值计算'!$B$719:$C$721</definedName>
    <definedName name="OR12_D2.3.2_偿付能力报告出现重大错报或漏报" localSheetId="23">'[2]Database-分值计算'!$B$722:$C$723</definedName>
    <definedName name="OR12_D2.3.2_偿付能力报告出现重大错报或漏报" localSheetId="26">'[2]Database-分值计算'!$B$722:$C$723</definedName>
    <definedName name="OR12_D2.4.1_财务报告差错量" localSheetId="23">'[2]Database-分值计算'!$B$724:$C$726</definedName>
    <definedName name="OR12_D2.4.1_财务报告差错量" localSheetId="26">'[2]Database-分值计算'!$B$724:$C$726</definedName>
    <definedName name="OR12_D2.4.2_财务报告出现重大错报或漏报" localSheetId="23">'[2]Database-分值计算'!$B$727:$C$728</definedName>
    <definedName name="OR12_D2.4.2_财务报告出现重大错报或漏报" localSheetId="26">'[2]Database-分值计算'!$B$727:$C$728</definedName>
    <definedName name="OR12_D2.5.1_收支两条线" localSheetId="23">'[2]Database-分值计算'!$B$729:$C$730</definedName>
    <definedName name="OR12_D2.5.1_收支两条线" localSheetId="26">'[2]Database-分值计算'!$B$729:$C$730</definedName>
    <definedName name="OR12_D2.5.2_银行账户集中管理" localSheetId="23">'[2]Database-分值计算'!$B$731:$C$732</definedName>
    <definedName name="OR12_D2.5.2_银行账户集中管理" localSheetId="26">'[2]Database-分值计算'!$B$731:$C$732</definedName>
    <definedName name="OR12_D2.5.3_资金管理操作风险事件" localSheetId="23">'[2]Database-分值计算'!$B$733:$C$735</definedName>
    <definedName name="OR12_D2.5.3_资金管理操作风险事件" localSheetId="26">'[2]Database-分值计算'!$B$733:$C$735</definedName>
    <definedName name="OR12_D2.6.1_单证管理" localSheetId="23">'[2]Database-分值计算'!$B$736:$C$737</definedName>
    <definedName name="OR12_D2.6.1_单证管理" localSheetId="26">'[2]Database-分值计算'!$B$736:$C$737</definedName>
    <definedName name="OR12_D2.6.2_空白单证缺失率" localSheetId="23">'[2]Database-分值计算'!$B$738:$C$739</definedName>
    <definedName name="OR12_D2.6.2_空白单证缺失率" localSheetId="26">'[2]Database-分值计算'!$B$738:$C$739</definedName>
    <definedName name="OR12_D2.7.1_印章管理" localSheetId="23">'[2]Database-分值计算'!$B$740:$C$741</definedName>
    <definedName name="OR12_D2.7.1_印章管理" localSheetId="26">'[2]Database-分值计算'!$B$740:$C$741</definedName>
    <definedName name="OR12_D2.7.2_印章管理操作风险事件" localSheetId="23">'[2]Database-分值计算'!$B$742:$C$744</definedName>
    <definedName name="OR12_D2.7.2_印章管理操作风险事件" localSheetId="26">'[2]Database-分值计算'!$B$742:$C$744</definedName>
    <definedName name="OR12_D2.8.1_税收管理" localSheetId="23">'[2]Database-分值计算'!$B$745:$C$746</definedName>
    <definedName name="OR12_D2.8.1_税收管理" localSheetId="26">'[2]Database-分值计算'!$B$745:$C$746</definedName>
    <definedName name="OR12_D2.8.1_税收管理_II类公司" localSheetId="23">'[2]Database-分值计算'!$B$750:$C$752</definedName>
    <definedName name="OR12_D2.8.1_税收管理_II类公司" localSheetId="26">'[2]Database-分值计算'!$B$750:$C$752</definedName>
    <definedName name="OR12_D2.8.1_税收管理_I类公司" localSheetId="23">'[2]Database-分值计算'!$B$747:$C$749</definedName>
    <definedName name="OR12_D2.8.1_税收管理_I类公司" localSheetId="26">'[2]Database-分值计算'!$B$747:$C$749</definedName>
    <definedName name="OR12_D2.8.2_税收操作风险事件" localSheetId="23">'[2]Database-分值计算'!$B$753:$C$755</definedName>
    <definedName name="OR12_D2.8.2_税收操作风险事件" localSheetId="26">'[2]Database-分值计算'!$B$753:$C$755</definedName>
    <definedName name="OR12_D3.1_系统自动化" localSheetId="23">'[2]Database-分值计算'!$B$756:$C$757</definedName>
    <definedName name="OR12_D3.1_系统自动化" localSheetId="26">'[2]Database-分值计算'!$B$756:$C$757</definedName>
    <definedName name="OR12_D3.2_系统异常事件数量" localSheetId="23">'[2]Database-分值计算'!$B$758:$C$760</definedName>
    <definedName name="OR12_D3.2_系统异常事件数量" localSheetId="26">'[2]Database-分值计算'!$B$758:$C$760</definedName>
    <definedName name="OR12_D3.3_系统管理集中度" localSheetId="23">'[2]Database-分值计算'!$B$761:$C$762</definedName>
    <definedName name="OR12_D3.3_系统管理集中度" localSheetId="26">'[2]Database-分值计算'!$B$761:$C$762</definedName>
    <definedName name="OR12_D3.4.1_数据核对频率" localSheetId="23">'[2]Database-分值计算'!$B$763:$C$765</definedName>
    <definedName name="OR12_D3.4.1_数据核对频率" localSheetId="26">'[2]Database-分值计算'!$B$763:$C$765</definedName>
    <definedName name="OR12_D3.4.2_数据差错率" localSheetId="23">'[2]Database-分值计算'!$B$766:$C$767</definedName>
    <definedName name="OR12_D3.4.2_数据差错率" localSheetId="26">'[2]Database-分值计算'!$B$766:$C$767</definedName>
    <definedName name="OR12_D4.1_对新政策的参与和反应" localSheetId="23">'[2]Database-分值计算'!$B$768:$C$769</definedName>
    <definedName name="OR12_D4.1_对新政策的参与和反应" localSheetId="26">'[2]Database-分值计算'!$B$768:$C$769</definedName>
    <definedName name="OR12_D4.2_新政策培训" localSheetId="23">'[2]Database-分值计算'!$B$770:$C$771</definedName>
    <definedName name="OR12_D4.2_新政策培训" localSheetId="26">'[2]Database-分值计算'!$B$770:$C$771</definedName>
    <definedName name="OR12_X1.1_财会部门主要负责人专业性" localSheetId="23">'[2]Database-下拉框'!$B$268:$B$270</definedName>
    <definedName name="OR12_X1.1_财会部门主要负责人专业性" localSheetId="26">'[2]Database-下拉框'!$B$268:$B$270</definedName>
    <definedName name="OR12_X1.4_业绩考核" localSheetId="23">'[2]Database-下拉框'!$B$271:$B$272</definedName>
    <definedName name="OR12_X1.4_业绩考核" localSheetId="26">'[2]Database-下拉框'!$B$271:$B$272</definedName>
    <definedName name="OR12_X2.1_操作风险数据库" localSheetId="23">'[2]Database-下拉框'!$B$273:$B$274</definedName>
    <definedName name="OR12_X2.1_操作风险数据库" localSheetId="26">'[2]Database-下拉框'!$B$273:$B$274</definedName>
    <definedName name="OR12_X2.2.1_核算集中度" localSheetId="23">'[2]Database-下拉框'!$B$275:$B$276</definedName>
    <definedName name="OR12_X2.2.1_核算集中度" localSheetId="26">'[2]Database-下拉框'!$B$275:$B$276</definedName>
    <definedName name="OR12_X2.2.3_委托投资资产数据核对" localSheetId="23">'[2]Database-下拉框'!$B$277:$B$278</definedName>
    <definedName name="OR12_X2.2.3_委托投资资产数据核对" localSheetId="26">'[2]Database-下拉框'!$B$277:$B$278</definedName>
    <definedName name="OR12_X2.5.1_收支两条线" localSheetId="23">'[2]Database-下拉框'!$B$279:$B$280</definedName>
    <definedName name="OR12_X2.5.1_收支两条线" localSheetId="26">'[2]Database-下拉框'!$B$279:$B$280</definedName>
    <definedName name="OR12_X2.5.2_银行账户集中管理" localSheetId="23">'[2]Database-下拉框'!$B$281:$B$282</definedName>
    <definedName name="OR12_X2.5.2_银行账户集中管理" localSheetId="26">'[2]Database-下拉框'!$B$281:$B$282</definedName>
    <definedName name="OR12_X2.6.1_单证管理" localSheetId="23">'[2]Database-下拉框'!$B$283:$B$284</definedName>
    <definedName name="OR12_X2.6.1_单证管理" localSheetId="26">'[2]Database-下拉框'!$B$283:$B$284</definedName>
    <definedName name="OR12_X2.7.1_印章管理" localSheetId="23">'[2]Database-下拉框'!$B$285:$B$286</definedName>
    <definedName name="OR12_X2.7.1_印章管理" localSheetId="26">'[2]Database-下拉框'!$B$285:$B$286</definedName>
    <definedName name="OR12_X2.8.1_税收管理" localSheetId="23">'[2]Database-下拉框'!$B$287:$B$289</definedName>
    <definedName name="OR12_X2.8.1_税收管理" localSheetId="26">'[2]Database-下拉框'!$B$287:$B$289</definedName>
    <definedName name="OR12_X3.1_系统自动化" localSheetId="23">'[2]Database-下拉框'!$B$290:$B$291</definedName>
    <definedName name="OR12_X3.1_系统自动化" localSheetId="26">'[2]Database-下拉框'!$B$290:$B$291</definedName>
    <definedName name="OR12_X3.3_系统管理集中度" localSheetId="23">'[2]Database-下拉框'!$B$292:$B$293</definedName>
    <definedName name="OR12_X3.3_系统管理集中度" localSheetId="26">'[2]Database-下拉框'!$B$292:$B$293</definedName>
    <definedName name="OR12_X3.4.1_数据核对频率" localSheetId="23">'[2]Database-下拉框'!$B$294:$B$296</definedName>
    <definedName name="OR12_X3.4.1_数据核对频率" localSheetId="26">'[2]Database-下拉框'!$B$294:$B$296</definedName>
    <definedName name="OR12_X4.1_对新政策的参与和反应" localSheetId="23">'[2]Database-下拉框'!$B$297:$B$298</definedName>
    <definedName name="OR12_X4.1_对新政策的参与和反应" localSheetId="26">'[2]Database-下拉框'!$B$297:$B$298</definedName>
    <definedName name="OR12_X4.2_新政策培训" localSheetId="23">'[2]Database-下拉框'!$B$299:$B$300</definedName>
    <definedName name="OR12_X4.2_新政策培训" localSheetId="26">'[2]Database-下拉框'!$B$299:$B$300</definedName>
    <definedName name="OR13_D1.1_领导能力" localSheetId="23">'[2]Database-分值计算'!$B$772:$C$773</definedName>
    <definedName name="OR13_D1.1_领导能力" localSheetId="26">'[2]Database-分值计算'!$B$772:$C$773</definedName>
    <definedName name="OR13_D1.2.1_财会人员流失率" localSheetId="23">'[2]Database-分值计算'!$B$774:$C$775</definedName>
    <definedName name="OR13_D1.2.1_财会人员流失率" localSheetId="26">'[2]Database-分值计算'!$B$774:$C$775</definedName>
    <definedName name="OR13_D1.2.2_会计证持证率" localSheetId="23">'[2]Database-分值计算'!$B$776:$C$777</definedName>
    <definedName name="OR13_D1.2.2_会计证持证率" localSheetId="26">'[2]Database-分值计算'!$B$776:$C$777</definedName>
    <definedName name="OR13_D1.3_员工培训人次" localSheetId="23">'[2]Database-分值计算'!$B$778:$C$779</definedName>
    <definedName name="OR13_D1.3_员工培训人次" localSheetId="26">'[2]Database-分值计算'!$B$778:$C$779</definedName>
    <definedName name="OR13_D1.4.1_管理方式" localSheetId="23">'[2]Database-分值计算'!$B$780:$C$781</definedName>
    <definedName name="OR13_D1.4.1_管理方式" localSheetId="26">'[2]Database-分值计算'!$B$780:$C$781</definedName>
    <definedName name="OR13_D1.4.2_业绩考核" localSheetId="23">'[2]Database-分值计算'!$B$782:$C$783</definedName>
    <definedName name="OR13_D1.4.2_业绩考核" localSheetId="26">'[2]Database-分值计算'!$B$782:$C$783</definedName>
    <definedName name="OR13_D2.1.1.1_财务报告差错量" localSheetId="23">'[2]Database-分值计算'!$B$784:$C$786</definedName>
    <definedName name="OR13_D2.1.1.1_财务报告差错量" localSheetId="26">'[2]Database-分值计算'!$B$784:$C$786</definedName>
    <definedName name="OR13_D2.1.1.2_财务报告出现重大错报或漏报" localSheetId="23">'[2]Database-分值计算'!$B$787:$C$788</definedName>
    <definedName name="OR13_D2.1.1.2_财务报告出现重大错报或漏报" localSheetId="26">'[2]Database-分值计算'!$B$787:$C$788</definedName>
    <definedName name="OR13_D2.2.1_银行账户集中管理" localSheetId="23">'[2]Database-分值计算'!$B$789:$C$790</definedName>
    <definedName name="OR13_D2.2.1_银行账户集中管理" localSheetId="26">'[2]Database-分值计算'!$B$789:$C$790</definedName>
    <definedName name="OR13_D2.2.2_非现金收款比率" localSheetId="23">'[2]Database-分值计算'!$B$791:$C$793</definedName>
    <definedName name="OR13_D2.2.2_非现金收款比率" localSheetId="26">'[2]Database-分值计算'!$B$791:$C$793</definedName>
    <definedName name="OR13_D2.2.3_非现金付款比率" localSheetId="23">'[2]Database-分值计算'!$B$794:$C$796</definedName>
    <definedName name="OR13_D2.2.3_非现金付款比率" localSheetId="26">'[2]Database-分值计算'!$B$794:$C$796</definedName>
    <definedName name="OR13_D2.2.4_非寿险业务非正常应收保费比例" localSheetId="23">'[2]Database-分值计算'!$B$797:$C$799</definedName>
    <definedName name="OR13_D2.2.4_非寿险业务非正常应收保费比例" localSheetId="26">'[2]Database-分值计算'!$B$797:$C$799</definedName>
    <definedName name="OR13_D2.3.1_费用预算执行情况" localSheetId="23">'[2]Database-分值计算'!$B$800:$C$801</definedName>
    <definedName name="OR13_D2.3.1_费用预算执行情况" localSheetId="26">'[2]Database-分值计算'!$B$800:$C$801</definedName>
    <definedName name="OR13_D2.4.2_单证回销率" localSheetId="23">'[2]Database-分值计算'!$B$804:$C$806</definedName>
    <definedName name="OR13_D2.4.2_单证回销率" localSheetId="26">'[2]Database-分值计算'!$B$804:$C$806</definedName>
    <definedName name="OR13_D2.5_税收操作风险事件" localSheetId="23">'[2]Database-分值计算'!$B$807:$C$809</definedName>
    <definedName name="OR13_D2.5_税收操作风险事件" localSheetId="26">'[2]Database-分值计算'!$B$807:$C$809</definedName>
    <definedName name="OR13_D3.2_系统对接" localSheetId="23">'[2]Database-分值计算'!$B$810:$C$811</definedName>
    <definedName name="OR13_D3.2_系统对接" localSheetId="26">'[2]Database-分值计算'!$B$810:$C$811</definedName>
    <definedName name="OR13_D5_亿元保费财务操作风险事件数" localSheetId="23">'[2]Database-分值计算'!$B$812:$C$815</definedName>
    <definedName name="OR13_D5_亿元保费财务操作风险事件数" localSheetId="26">'[2]Database-分值计算'!$B$812:$C$815</definedName>
    <definedName name="OR13_X1.4.1_管理方式" localSheetId="23">'[2]Database-下拉框'!$B$301:$B$302</definedName>
    <definedName name="OR13_X1.4.1_管理方式" localSheetId="26">'[2]Database-下拉框'!$B$301:$B$302</definedName>
    <definedName name="OR13_X1.4.2_业绩考核" localSheetId="23">'[2]Database-下拉框'!$B$303:$B$304</definedName>
    <definedName name="OR13_X1.4.2_业绩考核" localSheetId="26">'[2]Database-下拉框'!$B$303:$B$304</definedName>
    <definedName name="OR13_X2.2.1_银行账户管理集中度" localSheetId="23">'[2]Database-下拉框'!$B$305:$B$306</definedName>
    <definedName name="OR13_X2.2.1_银行账户管理集中度" localSheetId="26">'[2]Database-下拉框'!$B$305:$B$306</definedName>
    <definedName name="OR13_X2.3.1_费用预算执行情况" localSheetId="23">'[2]Database-下拉框'!$B$307:$B$308</definedName>
    <definedName name="OR13_X2.3.1_费用预算执行情况" localSheetId="26">'[2]Database-下拉框'!$B$307:$B$308</definedName>
    <definedName name="OR13_X3.2_系统对接" localSheetId="23">'[2]Database-下拉框'!$B$309:$B$310</definedName>
    <definedName name="OR13_X3.2_系统对接" localSheetId="26">'[2]Database-下拉框'!$B$309:$B$310</definedName>
    <definedName name="OR14_D1_II类公司" localSheetId="23">'[2]Database-分值计算'!$B$474:$C$476</definedName>
    <definedName name="OR14_D1_II类公司" localSheetId="26">'[2]Database-分值计算'!$B$474:$C$476</definedName>
    <definedName name="OR14_D1_I类公司" localSheetId="23">'[2]Database-分值计算'!$B$471:$C$473</definedName>
    <definedName name="OR14_D1_I类公司" localSheetId="26">'[2]Database-分值计算'!$B$471:$C$473</definedName>
    <definedName name="OR14_D1_精算人员数量" localSheetId="23">'[2]Database-分值计算'!$B$469:$C$470</definedName>
    <definedName name="OR14_D1_精算人员数量" localSheetId="26">'[2]Database-分值计算'!$B$469:$C$470</definedName>
    <definedName name="OR14_D2.1_未到期责任准备金评估" localSheetId="23">'[2]Database-分值计算'!$B$477:$C$479</definedName>
    <definedName name="OR14_D2.1_未到期责任准备金评估" localSheetId="26">'[2]Database-分值计算'!$B$477:$C$479</definedName>
    <definedName name="OR14_D2.2_已发生未报案未决赔款准备金评估" localSheetId="23">'[2]Database-分值计算'!$B$480:$C$482</definedName>
    <definedName name="OR14_D2.2_已发生未报案未决赔款准备金评估" localSheetId="26">'[2]Database-分值计算'!$B$480:$C$482</definedName>
    <definedName name="OR14_D2.3_分保未决赔款准备金管理" localSheetId="23">'[2]Database-分值计算'!$B$483:$C$484</definedName>
    <definedName name="OR14_D2.3_分保未决赔款准备金管理" localSheetId="26">'[2]Database-分值计算'!$B$483:$C$484</definedName>
    <definedName name="OR14_D2.4_准备金核算完整性和及时性" localSheetId="23">'[2]Database-分值计算'!$B$485:$C$486</definedName>
    <definedName name="OR14_D2.4_准备金核算完整性和及时性" localSheetId="26">'[2]Database-分值计算'!$B$485:$C$486</definedName>
    <definedName name="OR14_D2.5_准备金总部是否有冗余" localSheetId="23">'[2]Database-分值计算'!$B$487:$C$488</definedName>
    <definedName name="OR14_D2.5_准备金总部是否有冗余" localSheetId="26">'[2]Database-分值计算'!$B$487:$C$488</definedName>
    <definedName name="OR14_D2.6_再保后未决赔款准备金回溯偏差率得分_II类公司" localSheetId="23">'[2]Database-分值计算'!$B$494:$C$496</definedName>
    <definedName name="OR14_D2.6_再保后未决赔款准备金回溯偏差率得分_II类公司" localSheetId="26">'[2]Database-分值计算'!$B$494:$C$496</definedName>
    <definedName name="OR14_D2.6_再保后未决赔款准备金回溯偏差率得分_I类公司" localSheetId="23">'[2]Database-分值计算'!$B$491:$C$493</definedName>
    <definedName name="OR14_D2.6_再保后未决赔款准备金回溯偏差率得分_I类公司" localSheetId="26">'[2]Database-分值计算'!$B$491:$C$493</definedName>
    <definedName name="OR14_D2.7_准备金管理制度" localSheetId="23">'[2]Database-分值计算'!$B$497:$C$499</definedName>
    <definedName name="OR14_D2.7_准备金管理制度" localSheetId="26">'[2]Database-分值计算'!$B$497:$C$499</definedName>
    <definedName name="OR14_D2.8.1_底稿完善性得分" localSheetId="23">'[2]Database-分值计算'!$B$500:$C$501</definedName>
    <definedName name="OR14_D2.8.1_底稿完善性得分" localSheetId="26">'[2]Database-分值计算'!$B$500:$C$501</definedName>
    <definedName name="OR14_D2.8.2_编制频率得分" localSheetId="23">'[2]Database-分值计算'!$B$502:$C$503</definedName>
    <definedName name="OR14_D2.8.2_编制频率得分" localSheetId="26">'[2]Database-分值计算'!$B$502:$C$503</definedName>
    <definedName name="OR14_D2.8.3_有效复核得分" localSheetId="23">'[2]Database-分值计算'!$B$504:$C$505</definedName>
    <definedName name="OR14_D2.8.3_有效复核得分" localSheetId="26">'[2]Database-分值计算'!$B$504:$C$505</definedName>
    <definedName name="OR14_D2.8.4_有效留存或备份得分" localSheetId="23">'[2]Database-分值计算'!$B$506:$C$507</definedName>
    <definedName name="OR14_D2.8.4_有效留存或备份得分" localSheetId="26">'[2]Database-分值计算'!$B$506:$C$507</definedName>
    <definedName name="OR14_D4.2_未决赔款准备金回溯偏差率" localSheetId="23">'[2]Database-分值计算'!$B$511:$C$513</definedName>
    <definedName name="OR14_D4.2_未决赔款准备金回溯偏差率" localSheetId="26">'[2]Database-分值计算'!$B$511:$C$513</definedName>
    <definedName name="OR14_D4.3_准备金系统数据一致性" localSheetId="23">'[2]Database-分值计算'!$B$514:$C$516</definedName>
    <definedName name="OR14_D4.3_准备金系统数据一致性" localSheetId="26">'[2]Database-分值计算'!$B$514:$C$516</definedName>
    <definedName name="OR14_X2.1_未到期责任准备金评估" localSheetId="23">'[2]Database-下拉框'!$B$141:$B$143</definedName>
    <definedName name="OR14_X2.1_未到期责任准备金评估" localSheetId="26">'[2]Database-下拉框'!$B$141:$B$143</definedName>
    <definedName name="OR14_X2.2_已发生未报案未决赔款准备金评估" localSheetId="23">'[2]Database-下拉框'!$B$144:$B$146</definedName>
    <definedName name="OR14_X2.2_已发生未报案未决赔款准备金评估" localSheetId="26">'[2]Database-下拉框'!$B$144:$B$146</definedName>
    <definedName name="OR14_X2.3_分保未决赔款准备金管理" localSheetId="23">'[2]Database-下拉框'!$B$147:$B$148</definedName>
    <definedName name="OR14_X2.3_分保未决赔款准备金管理" localSheetId="26">'[2]Database-下拉框'!$B$147:$B$148</definedName>
    <definedName name="OR14_X2.4_准备金核算完整性和及时性" localSheetId="23">'[2]Database-下拉框'!$B$149:$B$150</definedName>
    <definedName name="OR14_X2.4_准备金核算完整性和及时性" localSheetId="26">'[2]Database-下拉框'!$B$149:$B$150</definedName>
    <definedName name="OR14_X2.5_准备金总部是否有冗余" localSheetId="23">'[2]Database-下拉框'!$B$151:$B$152</definedName>
    <definedName name="OR14_X2.5_准备金总部是否有冗余" localSheetId="26">'[2]Database-下拉框'!$B$151:$B$152</definedName>
    <definedName name="OR14_X2.7_准备金管理制度" localSheetId="23">'[2]Database-下拉框'!$B$161:$B$163</definedName>
    <definedName name="OR14_X2.7_准备金管理制度" localSheetId="26">'[2]Database-下拉框'!$B$161:$B$163</definedName>
    <definedName name="OR14_X2.8.1_底稿完善性" localSheetId="23">'[2]Database-下拉框'!$B$153:$B$154</definedName>
    <definedName name="OR14_X2.8.1_底稿完善性" localSheetId="26">'[2]Database-下拉框'!$B$153:$B$154</definedName>
    <definedName name="OR14_X2.8.2_编制频率" localSheetId="23">'[2]Database-下拉框'!$B$155:$B$156</definedName>
    <definedName name="OR14_X2.8.2_编制频率" localSheetId="26">'[2]Database-下拉框'!$B$155:$B$156</definedName>
    <definedName name="OR14_X2.8.3_有效复核" localSheetId="23">'[2]Database-下拉框'!$B$157:$B$158</definedName>
    <definedName name="OR14_X2.8.3_有效复核" localSheetId="26">'[2]Database-下拉框'!$B$157:$B$158</definedName>
    <definedName name="OR14_X2.8.4_有效留存或备份" localSheetId="23">'[2]Database-下拉框'!$B$159:$B$160</definedName>
    <definedName name="OR14_X2.8.4_有效留存或备份" localSheetId="26">'[2]Database-下拉框'!$B$159:$B$160</definedName>
    <definedName name="OR15_D1.1_准备金评估工作人员的工作经验" localSheetId="23">'[2]Database-分值计算'!$B$517:$C$520</definedName>
    <definedName name="OR15_D1.1_准备金评估工作人员的工作经验" localSheetId="26">'[2]Database-分值计算'!$B$517:$C$520</definedName>
    <definedName name="OR15_D1.2_总精算师在公司连续工作年限" localSheetId="23">'[2]Database-分值计算'!$B$521:$C$525</definedName>
    <definedName name="OR15_D1.2_总精算师在公司连续工作年限" localSheetId="26">'[2]Database-分值计算'!$B$521:$C$525</definedName>
    <definedName name="OR15_D1.3_总精算师变换情况" localSheetId="23">'[2]Database-分值计算'!$B$526:$C$529</definedName>
    <definedName name="OR15_D1.3_总精算师变换情况" localSheetId="26">'[2]Database-分值计算'!$B$526:$C$529</definedName>
    <definedName name="OR15_D1.4_再保险管理人员的工作经验" localSheetId="23">'[2]Database-分值计算'!$B$530:$C$533</definedName>
    <definedName name="OR15_D1.4_再保险管理人员的工作经验" localSheetId="26">'[2]Database-分值计算'!$B$530:$C$533</definedName>
    <definedName name="OR17_D3.1_百亿元保费案件数" localSheetId="23">'[2]Database-分值计算'!$B$816:$C$820</definedName>
    <definedName name="OR17_D3.1_百亿元保费案件数" localSheetId="26">'[2]Database-分值计算'!$B$816:$C$820</definedName>
    <definedName name="OR17_D3.2_案件增长率" localSheetId="23">'[2]Database-分值计算'!$B$821:$C$825</definedName>
    <definedName name="OR17_D3.2_案件增长率" localSheetId="26">'[2]Database-分值计算'!$B$821:$C$825</definedName>
    <definedName name="OR17_D3.3_案发机构占比" localSheetId="23">'[2]Database-分值计算'!$B$826:$C$830</definedName>
    <definedName name="OR17_D3.3_案发机构占比" localSheetId="26">'[2]Database-分值计算'!$B$826:$C$830</definedName>
    <definedName name="OR17_D3.4_案件报送不及时率" localSheetId="23">'[2]Database-分值计算'!$B$831:$C$835</definedName>
    <definedName name="OR17_D3.4_案件报送不及时率" localSheetId="26">'[2]Database-分值计算'!$B$831:$C$835</definedName>
    <definedName name="OR17_D3.5_案件报送差错率" localSheetId="23">'[2]Database-分值计算'!$B$836:$C$840</definedName>
    <definedName name="OR17_D3.5_案件报送差错率" localSheetId="26">'[2]Database-分值计算'!$B$836:$C$840</definedName>
    <definedName name="OR17_D3.6_重大案件调查完成率" localSheetId="23">'[2]Database-分值计算'!$B$843:$C$846</definedName>
    <definedName name="OR17_D3.6_重大案件调查完成率" localSheetId="26">'[2]Database-分值计算'!$B$843:$C$846</definedName>
    <definedName name="OR17_D3.6_重大案件调查完成率情况" localSheetId="23">'[2]Database-分值计算'!$B$841:$C$842</definedName>
    <definedName name="OR17_D3.6_重大案件调查完成率情况" localSheetId="26">'[2]Database-分值计算'!$B$841:$C$842</definedName>
    <definedName name="OR17_D3.7_问责完成率" localSheetId="23">'[2]Database-分值计算'!$B$849:$C$852</definedName>
    <definedName name="OR17_D3.7_问责完成率" localSheetId="26">'[2]Database-分值计算'!$B$849:$C$852</definedName>
    <definedName name="OR17_D3.7_问责完成率情况" localSheetId="23">'[2]Database-分值计算'!$B$847:$C$848</definedName>
    <definedName name="OR17_D3.7_问责完成率情况" localSheetId="26">'[2]Database-分值计算'!$B$847:$C$848</definedName>
    <definedName name="OR17_D3.8_问责通报完成率" localSheetId="23">'[2]Database-分值计算'!$B$855:$C$858</definedName>
    <definedName name="OR17_D3.8_问责通报完成率" localSheetId="26">'[2]Database-分值计算'!$B$855:$C$858</definedName>
    <definedName name="OR17_D3.8_问责通报完成率情况" localSheetId="23">'[2]Database-分值计算'!$B$853:$C$854</definedName>
    <definedName name="OR17_D3.8_问责通报完成率情况" localSheetId="26">'[2]Database-分值计算'!$B$853:$C$854</definedName>
    <definedName name="OR18_D1.1.1.3_罚款和没收违法所得累计金额" localSheetId="23">'[2]Database-分值计算'!$B$859:$C$862</definedName>
    <definedName name="OR18_D1.1.1.3_罚款和没收违法所得累计金额" localSheetId="26">'[2]Database-分值计算'!$B$859:$C$862</definedName>
    <definedName name="OR18_D1.1.1.4_管理人员受处罚情况" localSheetId="23">'[2]Database-分值计算'!$B$863:$C$865</definedName>
    <definedName name="OR18_D1.1.1.4_管理人员受处罚情况" localSheetId="26">'[2]Database-分值计算'!$B$863:$C$865</definedName>
    <definedName name="OR18_D1.1.2既往行政处罚" localSheetId="23">'[2]Database-分值计算'!$B$866:$C$867</definedName>
    <definedName name="OR18_D1.1.2既往行政处罚" localSheetId="26">'[2]Database-分值计算'!$B$866:$C$867</definedName>
    <definedName name="OR18_D1.2_非保险类行政处罚" localSheetId="23">'[2]Database-分值计算'!$B$868:$C$869</definedName>
    <definedName name="OR18_D1.2_非保险类行政处罚" localSheetId="26">'[2]Database-分值计算'!$B$868:$C$869</definedName>
    <definedName name="OR18_D2.1.1_产险业每家分支机构受罚款金额" localSheetId="23">'[2]Database-分值计算'!$B$873:$C$876</definedName>
    <definedName name="OR18_D2.1.1_产险业每家分支机构受罚款金额" localSheetId="26">'[2]Database-分值计算'!$B$873:$C$876</definedName>
    <definedName name="OR18_D2.1.2_寿险业每家分支机构受罚款金额" localSheetId="23">'[2]Database-分值计算'!$B$877:$C$880</definedName>
    <definedName name="OR18_D2.1.2_寿险业每家分支机构受罚款金额" localSheetId="26">'[2]Database-分值计算'!$B$877:$C$880</definedName>
    <definedName name="OR18_D2.1.3_再保险公司每家分支机构受罚款金额" localSheetId="23">'[2]Database-分值计算'!$B$881:$C$884</definedName>
    <definedName name="OR18_D2.1.3_再保险公司每家分支机构受罚款金额" localSheetId="26">'[2]Database-分值计算'!$B$881:$C$884</definedName>
    <definedName name="OR18_D2.1_每家分支机构受罚款金额_公司类型" localSheetId="23">'[2]Database-分值计算'!$B$870:$C$872</definedName>
    <definedName name="OR18_D2.1_每家分支机构受罚款金额_公司类型" localSheetId="26">'[2]Database-分值计算'!$B$870:$C$872</definedName>
    <definedName name="OR18_D2.2.1_产险业受严重处罚分支机构占比" localSheetId="23">'[2]Database-分值计算'!$B$888:$C$891</definedName>
    <definedName name="OR18_D2.2.1_产险业受严重处罚分支机构占比" localSheetId="26">'[2]Database-分值计算'!$B$888:$C$891</definedName>
    <definedName name="OR18_D2.2.2_寿险业受严重处罚分支机构占比" localSheetId="23">'[2]Database-分值计算'!$B$892:$C$895</definedName>
    <definedName name="OR18_D2.2.2_寿险业受严重处罚分支机构占比" localSheetId="26">'[2]Database-分值计算'!$B$892:$C$895</definedName>
    <definedName name="OR18_D2.2.3_再保险公司受严重处罚分支机构占比" localSheetId="23">'[2]Database-分值计算'!$B$896:$C$899</definedName>
    <definedName name="OR18_D2.2.3_再保险公司受严重处罚分支机构占比" localSheetId="26">'[2]Database-分值计算'!$B$896:$C$899</definedName>
    <definedName name="OR18_D2.2_受严重处罚分支机构占比_公司类型" localSheetId="23">'[2]Database-分值计算'!$B$885:$C$887</definedName>
    <definedName name="OR18_D2.2_受严重处罚分支机构占比_公司类型" localSheetId="26">'[2]Database-分值计算'!$B$885:$C$887</definedName>
    <definedName name="OR18_D3.1_设置合规管理部门" localSheetId="23">'[2]Database-分值计算'!$B$900:$C$901</definedName>
    <definedName name="OR18_D3.1_设置合规管理部门" localSheetId="26">'[2]Database-分值计算'!$B$900:$C$901</definedName>
    <definedName name="OR18_D3.2_合规管理政策" localSheetId="23">'[2]Database-分值计算'!$B$902:$C$903</definedName>
    <definedName name="OR18_D3.2_合规管理政策" localSheetId="26">'[2]Database-分值计算'!$B$902:$C$903</definedName>
    <definedName name="OR18_D3.3_落实合规政策的文件" localSheetId="23">'[2]Database-分值计算'!$B$904:$C$905</definedName>
    <definedName name="OR18_D3.3_落实合规政策的文件" localSheetId="26">'[2]Database-分值计算'!$B$904:$C$905</definedName>
    <definedName name="OR18_D3.4_开展合规培训" localSheetId="23">'[2]Database-分值计算'!$B$906:$C$907</definedName>
    <definedName name="OR18_D3.4_开展合规培训" localSheetId="26">'[2]Database-分值计算'!$B$906:$C$907</definedName>
    <definedName name="OR18_D3.5_提交年度合规报告" localSheetId="23">'[2]Database-分值计算'!$B$908:$C$909</definedName>
    <definedName name="OR18_D3.5_提交年度合规报告" localSheetId="26">'[2]Database-分值计算'!$B$908:$C$909</definedName>
    <definedName name="OR18_D5_特殊评价" localSheetId="23">'[2]Database-分值计算'!$B$910:$C$912</definedName>
    <definedName name="OR18_D5_特殊评价" localSheetId="26">'[2]Database-分值计算'!$B$910:$C$912</definedName>
    <definedName name="OR18_X1.1.1.4_管理人员受处罚情况" localSheetId="23">'[2]Database-下拉框'!$B$311:$B$313</definedName>
    <definedName name="OR18_X1.1.1.4_管理人员受处罚情况" localSheetId="26">'[2]Database-下拉框'!$B$311:$B$313</definedName>
    <definedName name="OR18_X1.2_非保险类行政处罚" localSheetId="23">'[2]Database-下拉框'!$B$316:$B$317</definedName>
    <definedName name="OR18_X1.2_非保险类行政处罚" localSheetId="26">'[2]Database-下拉框'!$B$316:$B$317</definedName>
    <definedName name="OR18_X3.1_设置合规管理部门" localSheetId="23">'[2]Database-下拉框'!$B$318:$B$319</definedName>
    <definedName name="OR18_X3.1_设置合规管理部门" localSheetId="26">'[2]Database-下拉框'!$B$318:$B$319</definedName>
    <definedName name="OR18_X3.2_合规管理政策" localSheetId="23">'[2]Database-下拉框'!$B$320:$B$321</definedName>
    <definedName name="OR18_X3.2_合规管理政策" localSheetId="26">'[2]Database-下拉框'!$B$320:$B$321</definedName>
    <definedName name="OR18_X3.3_落实合规政策的文件" localSheetId="23">'[2]Database-下拉框'!$B$322:$B$323</definedName>
    <definedName name="OR18_X3.3_落实合规政策的文件" localSheetId="26">'[2]Database-下拉框'!$B$322:$B$323</definedName>
    <definedName name="OR18_X3.4_开展合规培训" localSheetId="23">'[2]Database-下拉框'!$B$324:$B$325</definedName>
    <definedName name="OR18_X3.4_开展合规培训" localSheetId="26">'[2]Database-下拉框'!$B$324:$B$325</definedName>
    <definedName name="OR18_X3.5_提交年度合规报告" localSheetId="23">'[2]Database-下拉框'!$B$326:$B$327</definedName>
    <definedName name="OR18_X3.5_提交年度合规报告" localSheetId="26">'[2]Database-下拉框'!$B$326:$B$327</definedName>
    <definedName name="OR18_X5_特殊评价" localSheetId="23">'[2]Database-下拉框'!$B$328:$B$330</definedName>
    <definedName name="OR18_X5_特殊评价" localSheetId="26">'[2]Database-下拉框'!$B$328:$B$330</definedName>
    <definedName name="_xlnm.Print_Area" localSheetId="23">案件管理!$F$1:$G$20</definedName>
    <definedName name="_xlnm.Print_Titles" localSheetId="23">案件管理!$2:$2</definedName>
    <definedName name="RR01_X1.3_外部因素" localSheetId="23">'[2]Database-下拉框'!#REF!</definedName>
    <definedName name="RR01_X1.3_外部因素" localSheetId="26">'[2]Database-下拉框'!#REF!</definedName>
    <definedName name="公司类别" localSheetId="23">[2]封面!#REF!</definedName>
    <definedName name="公司类别" localSheetId="26">[2]封面!#REF!</definedName>
    <definedName name="公司类型" localSheetId="23">[2]封面!$B$4</definedName>
    <definedName name="公司类型" localSheetId="26">[2]封面!$B$4</definedName>
    <definedName name="隶属保监局" localSheetId="9">[3]分支机构封面页!$H$1:$H$36</definedName>
    <definedName name="是否经营农险" localSheetId="23">[2]封面!$B$25</definedName>
    <definedName name="是否经营农险" localSheetId="26">[2]封面!$B$25</definedName>
  </definedNames>
  <calcPr calcId="124519"/>
  <pivotCaches>
    <pivotCache cacheId="2" r:id="rId32"/>
    <pivotCache cacheId="30" r:id="rId33"/>
    <pivotCache cacheId="42" r:id="rId34"/>
    <pivotCache cacheId="48" r:id="rId35"/>
    <pivotCache cacheId="98" r:id="rId36"/>
  </pivotCaches>
</workbook>
</file>

<file path=xl/calcChain.xml><?xml version="1.0" encoding="utf-8"?>
<calcChain xmlns="http://schemas.openxmlformats.org/spreadsheetml/2006/main">
  <c r="H35" i="33"/>
  <c r="H39"/>
  <c r="H40"/>
  <c r="H43"/>
  <c r="H44"/>
  <c r="H45"/>
  <c r="H48"/>
  <c r="H49"/>
  <c r="H52"/>
  <c r="H53"/>
  <c r="H12"/>
  <c r="H15"/>
  <c r="H16"/>
  <c r="H19"/>
  <c r="H20"/>
  <c r="H23"/>
  <c r="H24"/>
  <c r="H28"/>
  <c r="H29"/>
  <c r="H32"/>
  <c r="H33"/>
  <c r="G35"/>
  <c r="G36"/>
  <c r="H36" s="1"/>
  <c r="G37"/>
  <c r="H37" s="1"/>
  <c r="G38"/>
  <c r="H38" s="1"/>
  <c r="G39"/>
  <c r="G40"/>
  <c r="G41"/>
  <c r="H41" s="1"/>
  <c r="G42"/>
  <c r="H42" s="1"/>
  <c r="G43"/>
  <c r="G44"/>
  <c r="G45"/>
  <c r="G46"/>
  <c r="H46" s="1"/>
  <c r="G47"/>
  <c r="H47" s="1"/>
  <c r="G48"/>
  <c r="G49"/>
  <c r="G50"/>
  <c r="H50" s="1"/>
  <c r="G51"/>
  <c r="H51" s="1"/>
  <c r="G52"/>
  <c r="G53"/>
  <c r="G54"/>
  <c r="H54" s="1"/>
  <c r="G55"/>
  <c r="H55" s="1"/>
  <c r="G56"/>
  <c r="H56" s="1"/>
  <c r="G57"/>
  <c r="H57" s="1"/>
  <c r="G58"/>
  <c r="H58" s="1"/>
  <c r="G59"/>
  <c r="H59" s="1"/>
  <c r="G60"/>
  <c r="H60" s="1"/>
  <c r="G61"/>
  <c r="H61" s="1"/>
  <c r="G62"/>
  <c r="H62" s="1"/>
  <c r="G63"/>
  <c r="H63" s="1"/>
  <c r="G34"/>
  <c r="H34" s="1"/>
  <c r="G3"/>
  <c r="H3" s="1"/>
  <c r="G4"/>
  <c r="H4" s="1"/>
  <c r="G5"/>
  <c r="H5" s="1"/>
  <c r="G6"/>
  <c r="H6" s="1"/>
  <c r="G7"/>
  <c r="H7" s="1"/>
  <c r="G8"/>
  <c r="H8" s="1"/>
  <c r="G9"/>
  <c r="H9" s="1"/>
  <c r="G10"/>
  <c r="H10" s="1"/>
  <c r="G11"/>
  <c r="H11" s="1"/>
  <c r="G12"/>
  <c r="G13"/>
  <c r="H13" s="1"/>
  <c r="G14"/>
  <c r="H14" s="1"/>
  <c r="G15"/>
  <c r="G16"/>
  <c r="G17"/>
  <c r="H17" s="1"/>
  <c r="G18"/>
  <c r="H18" s="1"/>
  <c r="G19"/>
  <c r="G20"/>
  <c r="G21"/>
  <c r="H21" s="1"/>
  <c r="G22"/>
  <c r="H22" s="1"/>
  <c r="G23"/>
  <c r="G24"/>
  <c r="G25"/>
  <c r="H25" s="1"/>
  <c r="G27"/>
  <c r="H27" s="1"/>
  <c r="G28"/>
  <c r="G29"/>
  <c r="G30"/>
  <c r="H30" s="1"/>
  <c r="G31"/>
  <c r="H31" s="1"/>
  <c r="G32"/>
  <c r="G33"/>
  <c r="E57" i="27" l="1"/>
  <c r="E44"/>
  <c r="E47"/>
  <c r="E56"/>
  <c r="E45"/>
  <c r="E46"/>
  <c r="E34" l="1"/>
  <c r="E31"/>
  <c r="E29"/>
  <c r="F22"/>
  <c r="F32"/>
  <c r="J28"/>
  <c r="I28"/>
  <c r="H28"/>
  <c r="G28"/>
  <c r="F28"/>
  <c r="F35" i="29" l="1"/>
  <c r="E35"/>
  <c r="E32"/>
  <c r="F32" s="1"/>
  <c r="F2" i="28" l="1"/>
  <c r="G2" s="1"/>
  <c r="G42"/>
  <c r="F42"/>
  <c r="F32" l="1"/>
  <c r="G32" s="1"/>
  <c r="F33"/>
  <c r="G33" s="1"/>
  <c r="F34"/>
  <c r="G34" s="1"/>
  <c r="F35"/>
  <c r="G35" s="1"/>
  <c r="F36"/>
  <c r="G36" s="1"/>
  <c r="F37"/>
  <c r="G37" s="1"/>
  <c r="I125" i="26" l="1"/>
  <c r="H96"/>
  <c r="F63"/>
  <c r="F66"/>
  <c r="N25" i="18"/>
  <c r="I17" i="27"/>
  <c r="J17"/>
  <c r="H17"/>
  <c r="G17"/>
  <c r="F17"/>
  <c r="E17"/>
  <c r="Y8" i="2" l="1"/>
  <c r="T18" i="3"/>
  <c r="V7" i="18"/>
  <c r="H10" i="10" l="1"/>
  <c r="I10"/>
  <c r="D15" i="24" l="1"/>
  <c r="BR22" i="18"/>
  <c r="BH18"/>
  <c r="AO28" l="1"/>
  <c r="S18" i="3" l="1"/>
  <c r="R18"/>
  <c r="Q18"/>
  <c r="P24"/>
  <c r="O22"/>
  <c r="M22"/>
  <c r="U40" i="2"/>
  <c r="U41"/>
  <c r="E46" i="24"/>
  <c r="E66"/>
  <c r="P25" i="3"/>
  <c r="P23"/>
  <c r="N28"/>
  <c r="M28"/>
  <c r="M27"/>
  <c r="M23"/>
  <c r="E30" i="24" l="1"/>
  <c r="J84" i="11"/>
  <c r="J83"/>
  <c r="J82"/>
  <c r="K9" i="4"/>
  <c r="F2" i="32"/>
  <c r="G2" s="1"/>
  <c r="F44" i="28" l="1"/>
  <c r="G44" s="1"/>
  <c r="BY46" i="19" l="1"/>
  <c r="BY47" s="1"/>
  <c r="BS46"/>
  <c r="BS47" s="1"/>
  <c r="BM46"/>
  <c r="BM47" s="1"/>
  <c r="BG46"/>
  <c r="BG47" s="1"/>
  <c r="BA46"/>
  <c r="BA47" s="1"/>
  <c r="AU46"/>
  <c r="AU47" s="1"/>
  <c r="AO46"/>
  <c r="AO47" s="1"/>
  <c r="AI46"/>
  <c r="AI47" s="1"/>
  <c r="AC46"/>
  <c r="AC47" s="1"/>
  <c r="W46"/>
  <c r="W47" s="1"/>
  <c r="D30" i="24"/>
  <c r="D9" s="1"/>
  <c r="AB48" i="18"/>
  <c r="M11" i="16"/>
  <c r="M8"/>
  <c r="M9"/>
  <c r="M10"/>
  <c r="M12"/>
  <c r="M13"/>
  <c r="M14"/>
  <c r="M15"/>
  <c r="M16"/>
  <c r="M17"/>
  <c r="M18"/>
  <c r="M19"/>
  <c r="M20"/>
  <c r="M7"/>
  <c r="R41" i="5" l="1"/>
  <c r="BX57" i="18"/>
  <c r="AN4"/>
  <c r="AB45" l="1"/>
  <c r="X24" i="19"/>
  <c r="D35" i="24" l="1"/>
  <c r="Q4"/>
  <c r="O4"/>
  <c r="AD30" i="18" l="1"/>
  <c r="AV69" l="1"/>
  <c r="V16"/>
  <c r="W16" s="1"/>
  <c r="N27" i="3"/>
  <c r="U31" i="2"/>
  <c r="U33"/>
  <c r="P14" i="24"/>
  <c r="P15"/>
  <c r="R4" i="2"/>
  <c r="K8"/>
  <c r="R8" s="1"/>
  <c r="R11"/>
  <c r="K16"/>
  <c r="R16" s="1"/>
  <c r="R19"/>
  <c r="R22"/>
  <c r="U22" s="1"/>
  <c r="R23"/>
  <c r="U23" s="1"/>
  <c r="R27"/>
  <c r="U27" s="1"/>
  <c r="R28"/>
  <c r="U28" s="1"/>
  <c r="R29"/>
  <c r="U29" s="1"/>
  <c r="R30"/>
  <c r="U30" s="1"/>
  <c r="R35"/>
  <c r="U35" s="1"/>
  <c r="R36"/>
  <c r="V4" i="18"/>
  <c r="W4" s="1"/>
  <c r="W7"/>
  <c r="V10"/>
  <c r="W10" s="1"/>
  <c r="V19"/>
  <c r="W19" s="1"/>
  <c r="V22"/>
  <c r="W22" s="1"/>
  <c r="V25"/>
  <c r="W25" s="1"/>
  <c r="W28"/>
  <c r="W30"/>
  <c r="W32"/>
  <c r="W34"/>
  <c r="V35"/>
  <c r="W35" s="1"/>
  <c r="V38"/>
  <c r="W38" s="1"/>
  <c r="W41"/>
  <c r="W43"/>
  <c r="V45"/>
  <c r="W45" s="1"/>
  <c r="V48"/>
  <c r="W48" s="1"/>
  <c r="V52"/>
  <c r="W52" s="1"/>
  <c r="V57"/>
  <c r="W57" s="1"/>
  <c r="V63"/>
  <c r="W63" s="1"/>
  <c r="W67"/>
  <c r="W70"/>
  <c r="W73"/>
  <c r="W81" s="1"/>
  <c r="AB4"/>
  <c r="AC4" s="1"/>
  <c r="AB7"/>
  <c r="AC7" s="1"/>
  <c r="AB10"/>
  <c r="AC10" s="1"/>
  <c r="AB16"/>
  <c r="AC16" s="1"/>
  <c r="AB19"/>
  <c r="AC19" s="1"/>
  <c r="AB22"/>
  <c r="AC22" s="1"/>
  <c r="AB25"/>
  <c r="AC25" s="1"/>
  <c r="AC28"/>
  <c r="AC30"/>
  <c r="AC32"/>
  <c r="AC34"/>
  <c r="AB35"/>
  <c r="AC35" s="1"/>
  <c r="AB38"/>
  <c r="AC38" s="1"/>
  <c r="AC41"/>
  <c r="AC43"/>
  <c r="AC45"/>
  <c r="AC48"/>
  <c r="AB52"/>
  <c r="AC52" s="1"/>
  <c r="AB57"/>
  <c r="AC57" s="1"/>
  <c r="AB63"/>
  <c r="AC63" s="1"/>
  <c r="AC67"/>
  <c r="AC70"/>
  <c r="AC73"/>
  <c r="AH4"/>
  <c r="AI4" s="1"/>
  <c r="AH7"/>
  <c r="AI7" s="1"/>
  <c r="AH10"/>
  <c r="AI10" s="1"/>
  <c r="AH16"/>
  <c r="AI16" s="1"/>
  <c r="AH19"/>
  <c r="AI19" s="1"/>
  <c r="U16" i="2" l="1"/>
  <c r="U39" s="1"/>
  <c r="E125" i="24" s="1"/>
  <c r="R39" i="2"/>
  <c r="W79" i="18"/>
  <c r="W80" s="1"/>
  <c r="I45" i="24" s="1"/>
  <c r="AC81" i="18"/>
  <c r="AC82" s="1"/>
  <c r="J85" i="24" s="1"/>
  <c r="AC79" i="18"/>
  <c r="W82"/>
  <c r="I85" i="24" s="1"/>
  <c r="I65"/>
  <c r="AC76" i="18"/>
  <c r="J25" i="24" s="1"/>
  <c r="W76" i="18"/>
  <c r="I25" i="24" s="1"/>
  <c r="AH22" i="18"/>
  <c r="AI22" s="1"/>
  <c r="AH25"/>
  <c r="AI25" s="1"/>
  <c r="AI28"/>
  <c r="AI30"/>
  <c r="AI32"/>
  <c r="AI34"/>
  <c r="AH35"/>
  <c r="AI35" s="1"/>
  <c r="AH38"/>
  <c r="AI38" s="1"/>
  <c r="AI41"/>
  <c r="AI43"/>
  <c r="AH45"/>
  <c r="AI45" s="1"/>
  <c r="AH48"/>
  <c r="AI48" s="1"/>
  <c r="AH52"/>
  <c r="AH57"/>
  <c r="AI57" s="1"/>
  <c r="AH63"/>
  <c r="AI63" s="1"/>
  <c r="AI67"/>
  <c r="AI70"/>
  <c r="AI73"/>
  <c r="AI81" s="1"/>
  <c r="AI82" s="1"/>
  <c r="AO4"/>
  <c r="AN7"/>
  <c r="AO7" s="1"/>
  <c r="AN10"/>
  <c r="AO10" s="1"/>
  <c r="AN16"/>
  <c r="AO16" s="1"/>
  <c r="AO19"/>
  <c r="AN22"/>
  <c r="AO22" s="1"/>
  <c r="AN25"/>
  <c r="AO25" s="1"/>
  <c r="AO30"/>
  <c r="AO32"/>
  <c r="AO34"/>
  <c r="AN35"/>
  <c r="AO35" s="1"/>
  <c r="AN38"/>
  <c r="AO38" s="1"/>
  <c r="AO41"/>
  <c r="AO43"/>
  <c r="AN45"/>
  <c r="AO45" s="1"/>
  <c r="AN48"/>
  <c r="AO48" s="1"/>
  <c r="AN52"/>
  <c r="AO52" s="1"/>
  <c r="AN57"/>
  <c r="AO57" s="1"/>
  <c r="AN63"/>
  <c r="AO63" s="1"/>
  <c r="AO67"/>
  <c r="AO70"/>
  <c r="AO73"/>
  <c r="AO81" s="1"/>
  <c r="AO82" s="1"/>
  <c r="AT4"/>
  <c r="AU4" s="1"/>
  <c r="AT7"/>
  <c r="AU7" s="1"/>
  <c r="AT10"/>
  <c r="AU10" s="1"/>
  <c r="AT16"/>
  <c r="AU16" s="1"/>
  <c r="AT19"/>
  <c r="AU19" s="1"/>
  <c r="AT22"/>
  <c r="AU22" s="1"/>
  <c r="AT25"/>
  <c r="AU25" s="1"/>
  <c r="AU28"/>
  <c r="AU30"/>
  <c r="AU32"/>
  <c r="AU34"/>
  <c r="AT35"/>
  <c r="AU35" s="1"/>
  <c r="AT38"/>
  <c r="AU38" s="1"/>
  <c r="AU41"/>
  <c r="AU43"/>
  <c r="AT45"/>
  <c r="AU45" s="1"/>
  <c r="AT48"/>
  <c r="AU48" s="1"/>
  <c r="AT52"/>
  <c r="AU52" s="1"/>
  <c r="AT57"/>
  <c r="AU57" s="1"/>
  <c r="AT63"/>
  <c r="AU63" s="1"/>
  <c r="AU67"/>
  <c r="AU70"/>
  <c r="AU73"/>
  <c r="AU81" s="1"/>
  <c r="AU82" s="1"/>
  <c r="AZ4"/>
  <c r="BA4" s="1"/>
  <c r="AZ7"/>
  <c r="BA7" s="1"/>
  <c r="AZ10"/>
  <c r="BA10" s="1"/>
  <c r="AZ16"/>
  <c r="BA16" s="1"/>
  <c r="AZ19"/>
  <c r="BA19" s="1"/>
  <c r="AZ22"/>
  <c r="BA22" s="1"/>
  <c r="AZ25"/>
  <c r="BA25" s="1"/>
  <c r="BA28"/>
  <c r="BA30"/>
  <c r="BA32"/>
  <c r="BA34"/>
  <c r="AZ35"/>
  <c r="BA35" s="1"/>
  <c r="AZ38"/>
  <c r="BA38" s="1"/>
  <c r="BA41"/>
  <c r="BA43"/>
  <c r="AZ45"/>
  <c r="BA45" s="1"/>
  <c r="AZ48"/>
  <c r="BA48" s="1"/>
  <c r="AZ52"/>
  <c r="BA52" s="1"/>
  <c r="AZ57"/>
  <c r="BA57" s="1"/>
  <c r="AZ63"/>
  <c r="BA63" s="1"/>
  <c r="BA67"/>
  <c r="BA70"/>
  <c r="BA73"/>
  <c r="BA81" s="1"/>
  <c r="BA82" s="1"/>
  <c r="BF4"/>
  <c r="BG4" s="1"/>
  <c r="BF7"/>
  <c r="BG7" s="1"/>
  <c r="BF10"/>
  <c r="BG10" s="1"/>
  <c r="BF16"/>
  <c r="BG16" s="1"/>
  <c r="BF19"/>
  <c r="BG19" s="1"/>
  <c r="BF22"/>
  <c r="BG22" s="1"/>
  <c r="BF25"/>
  <c r="BG25" s="1"/>
  <c r="BG28"/>
  <c r="BG30"/>
  <c r="BG32"/>
  <c r="BG34"/>
  <c r="BF35"/>
  <c r="BG35" s="1"/>
  <c r="BF38"/>
  <c r="BG38" s="1"/>
  <c r="BG41"/>
  <c r="BG43"/>
  <c r="BF45"/>
  <c r="BG45" s="1"/>
  <c r="BF48"/>
  <c r="BG48" s="1"/>
  <c r="BF52"/>
  <c r="BG52" s="1"/>
  <c r="BF57"/>
  <c r="BG57" s="1"/>
  <c r="BF63"/>
  <c r="BG63" s="1"/>
  <c r="BG67"/>
  <c r="BG70"/>
  <c r="BG73"/>
  <c r="BG81" s="1"/>
  <c r="BG82" s="1"/>
  <c r="BL4"/>
  <c r="BM4" s="1"/>
  <c r="BL7"/>
  <c r="BM7" s="1"/>
  <c r="BL10"/>
  <c r="BM10" s="1"/>
  <c r="BL16"/>
  <c r="BM16" s="1"/>
  <c r="BL19"/>
  <c r="BM19" s="1"/>
  <c r="BL22"/>
  <c r="BM22" s="1"/>
  <c r="BL25"/>
  <c r="BM25" s="1"/>
  <c r="BM28"/>
  <c r="BM30"/>
  <c r="BM32"/>
  <c r="BM34"/>
  <c r="BL35"/>
  <c r="BM35" s="1"/>
  <c r="BL38"/>
  <c r="BM38" s="1"/>
  <c r="BM41"/>
  <c r="BM43"/>
  <c r="BL45"/>
  <c r="BM45" s="1"/>
  <c r="BL48"/>
  <c r="BM48" s="1"/>
  <c r="BL52"/>
  <c r="BM52" s="1"/>
  <c r="BL57"/>
  <c r="BM57" s="1"/>
  <c r="BL63"/>
  <c r="BM63" s="1"/>
  <c r="BM67"/>
  <c r="BM70"/>
  <c r="BM73"/>
  <c r="BM81" s="1"/>
  <c r="BM82" s="1"/>
  <c r="BR4"/>
  <c r="BS4" s="1"/>
  <c r="BR7"/>
  <c r="BS7" s="1"/>
  <c r="BR10"/>
  <c r="BS10" s="1"/>
  <c r="BR16"/>
  <c r="BS16" s="1"/>
  <c r="BR19"/>
  <c r="BS19" s="1"/>
  <c r="BS22"/>
  <c r="BR25"/>
  <c r="BS25" s="1"/>
  <c r="BS28"/>
  <c r="BS30"/>
  <c r="BS32"/>
  <c r="BS34"/>
  <c r="BR35"/>
  <c r="BS35" s="1"/>
  <c r="BR38"/>
  <c r="BS38" s="1"/>
  <c r="BS41"/>
  <c r="BS43"/>
  <c r="BR45"/>
  <c r="BS45" s="1"/>
  <c r="BR48"/>
  <c r="BS48" s="1"/>
  <c r="BR52"/>
  <c r="BS52" s="1"/>
  <c r="BR57"/>
  <c r="BS57" s="1"/>
  <c r="BR63"/>
  <c r="BS63" s="1"/>
  <c r="BS67"/>
  <c r="BS70"/>
  <c r="BS73"/>
  <c r="BS81" s="1"/>
  <c r="BS82" s="1"/>
  <c r="BX4"/>
  <c r="BY4" s="1"/>
  <c r="BX7"/>
  <c r="BY7" s="1"/>
  <c r="BX10"/>
  <c r="BY10" s="1"/>
  <c r="BX16"/>
  <c r="BY16" s="1"/>
  <c r="BX19"/>
  <c r="BY19" s="1"/>
  <c r="BX22"/>
  <c r="BY22" s="1"/>
  <c r="BX25"/>
  <c r="BY25" s="1"/>
  <c r="BY28"/>
  <c r="BY30"/>
  <c r="BY32"/>
  <c r="BY34"/>
  <c r="BX35"/>
  <c r="BY35" s="1"/>
  <c r="BX38"/>
  <c r="BY38" s="1"/>
  <c r="BY41"/>
  <c r="BY43"/>
  <c r="BX45"/>
  <c r="BY45" s="1"/>
  <c r="BX48"/>
  <c r="BY48" s="1"/>
  <c r="BX52"/>
  <c r="BY52" s="1"/>
  <c r="BY57"/>
  <c r="BX63"/>
  <c r="BY63" s="1"/>
  <c r="BY67"/>
  <c r="BY70"/>
  <c r="BY73"/>
  <c r="BY81" s="1"/>
  <c r="BY82" s="1"/>
  <c r="E32" i="15"/>
  <c r="E35" s="1"/>
  <c r="G35"/>
  <c r="G32"/>
  <c r="I82" i="27"/>
  <c r="W38" i="19"/>
  <c r="N36" i="5"/>
  <c r="AC80" i="18" l="1"/>
  <c r="J45" i="24" s="1"/>
  <c r="BS79" i="18"/>
  <c r="BS80" s="1"/>
  <c r="Q45" i="24" s="1"/>
  <c r="AU79" i="18"/>
  <c r="AU80" s="1"/>
  <c r="M45" i="24" s="1"/>
  <c r="J65"/>
  <c r="W84" i="18"/>
  <c r="I125" i="24" s="1"/>
  <c r="BM79" i="18"/>
  <c r="BM80" s="1"/>
  <c r="BG79"/>
  <c r="BG80" s="1"/>
  <c r="AO79"/>
  <c r="AO80" s="1"/>
  <c r="E45" i="24"/>
  <c r="Q39" i="2"/>
  <c r="BY79" i="18"/>
  <c r="BY80" s="1"/>
  <c r="R45" i="24" s="1"/>
  <c r="BA79" i="18"/>
  <c r="BA80" s="1"/>
  <c r="R45" i="2"/>
  <c r="AI52" i="18"/>
  <c r="AI76" s="1"/>
  <c r="K25" i="24" s="1"/>
  <c r="AJ52" i="18"/>
  <c r="BA76"/>
  <c r="N25" i="24" s="1"/>
  <c r="AO76" i="18"/>
  <c r="L25" i="24" s="1"/>
  <c r="AU76" i="18"/>
  <c r="M25" i="24" s="1"/>
  <c r="BG76" i="18"/>
  <c r="O25" i="24" s="1"/>
  <c r="BS76" i="18"/>
  <c r="Q25" i="24" s="1"/>
  <c r="BY76" i="18"/>
  <c r="R25" i="24" s="1"/>
  <c r="BM76" i="18"/>
  <c r="P25" i="24" s="1"/>
  <c r="K85"/>
  <c r="K65"/>
  <c r="P85"/>
  <c r="P65"/>
  <c r="N65"/>
  <c r="N85"/>
  <c r="L85"/>
  <c r="L65"/>
  <c r="R65"/>
  <c r="R85"/>
  <c r="Q65"/>
  <c r="Q85"/>
  <c r="O85"/>
  <c r="O65"/>
  <c r="M65"/>
  <c r="M85"/>
  <c r="AI79" i="18" l="1"/>
  <c r="AI80" s="1"/>
  <c r="O80" s="1"/>
  <c r="AC84"/>
  <c r="J125" i="24" s="1"/>
  <c r="F65"/>
  <c r="F25"/>
  <c r="BG84" i="18"/>
  <c r="O125" i="24" s="1"/>
  <c r="O45"/>
  <c r="AO84" i="18"/>
  <c r="L125" i="24" s="1"/>
  <c r="L45"/>
  <c r="N45"/>
  <c r="BA84" i="18"/>
  <c r="N125" i="24" s="1"/>
  <c r="BM84" i="18"/>
  <c r="P125" i="24" s="1"/>
  <c r="P45"/>
  <c r="F85"/>
  <c r="AU84" i="18"/>
  <c r="M125" i="24" s="1"/>
  <c r="BS84" i="18"/>
  <c r="Q125" i="24" s="1"/>
  <c r="BY84" i="18"/>
  <c r="R125" i="24" s="1"/>
  <c r="K45" l="1"/>
  <c r="F45" s="1"/>
  <c r="D45" s="1"/>
  <c r="O79" i="18"/>
  <c r="AI84"/>
  <c r="K125" i="24" s="1"/>
  <c r="F125" s="1"/>
  <c r="D125" s="1"/>
  <c r="F16" i="28"/>
  <c r="G16" s="1"/>
  <c r="F52"/>
  <c r="G52" s="1"/>
  <c r="K7" i="3" l="1"/>
  <c r="E43" i="27" s="1"/>
  <c r="E23" i="30" l="1"/>
  <c r="F23" s="1"/>
  <c r="E23" i="29"/>
  <c r="F23" s="1"/>
  <c r="I27" i="27"/>
  <c r="J27"/>
  <c r="G27"/>
  <c r="F27"/>
  <c r="H27"/>
  <c r="E12" i="29" l="1"/>
  <c r="F12" s="1"/>
  <c r="E2" l="1"/>
  <c r="F2" s="1"/>
  <c r="F4" i="15" l="1"/>
  <c r="H4" i="10" l="1"/>
  <c r="I4"/>
  <c r="H26" l="1"/>
  <c r="H22"/>
  <c r="H21"/>
  <c r="H20"/>
  <c r="H19"/>
  <c r="H18"/>
  <c r="H17"/>
  <c r="H16"/>
  <c r="H15"/>
  <c r="H14"/>
  <c r="H13"/>
  <c r="H12"/>
  <c r="H11"/>
  <c r="H9"/>
  <c r="H8"/>
  <c r="H7"/>
  <c r="H6"/>
  <c r="H5"/>
  <c r="H3"/>
  <c r="H31" l="1"/>
  <c r="H32" s="1"/>
  <c r="H34" s="1"/>
  <c r="D69" i="24"/>
  <c r="R14" i="2"/>
  <c r="R42"/>
  <c r="E73" i="24"/>
  <c r="D73" s="1"/>
  <c r="D72"/>
  <c r="E71"/>
  <c r="D71" s="1"/>
  <c r="D70"/>
  <c r="D68"/>
  <c r="D55"/>
  <c r="E50"/>
  <c r="D50" s="1"/>
  <c r="F15"/>
  <c r="G15" s="1"/>
  <c r="O11" s="1"/>
  <c r="D14"/>
  <c r="F14" s="1"/>
  <c r="G14" s="1"/>
  <c r="O14" s="1"/>
  <c r="F9"/>
  <c r="G9" s="1"/>
  <c r="O12" s="1"/>
  <c r="D18"/>
  <c r="P17"/>
  <c r="P11"/>
  <c r="P9"/>
  <c r="P7"/>
  <c r="P8"/>
  <c r="P13"/>
  <c r="F8"/>
  <c r="G8" s="1"/>
  <c r="P16"/>
  <c r="P6"/>
  <c r="P5"/>
  <c r="P4"/>
  <c r="D2" i="21"/>
  <c r="E2" s="1"/>
  <c r="F2" s="1"/>
  <c r="G2" s="1"/>
  <c r="H2" s="1"/>
  <c r="I2" s="1"/>
  <c r="J2" s="1"/>
  <c r="K2" s="1"/>
  <c r="C2"/>
  <c r="A12" i="9"/>
  <c r="A11"/>
  <c r="A10"/>
  <c r="A9"/>
  <c r="A8"/>
  <c r="A7"/>
  <c r="A6"/>
  <c r="A5"/>
  <c r="A4"/>
  <c r="A3"/>
  <c r="H4" i="25"/>
  <c r="H5"/>
  <c r="H6"/>
  <c r="H7"/>
  <c r="H8"/>
  <c r="H9"/>
  <c r="H10"/>
  <c r="H11"/>
  <c r="H12"/>
  <c r="H13"/>
  <c r="H14"/>
  <c r="H15"/>
  <c r="H16"/>
  <c r="H17"/>
  <c r="H18"/>
  <c r="H19"/>
  <c r="H20"/>
  <c r="H21"/>
  <c r="H22"/>
  <c r="H23"/>
  <c r="H24"/>
  <c r="H25"/>
  <c r="H26"/>
  <c r="H27"/>
  <c r="H28"/>
  <c r="H29"/>
  <c r="H30"/>
  <c r="H31"/>
  <c r="H32"/>
  <c r="H33"/>
  <c r="H34"/>
  <c r="H35"/>
  <c r="H36"/>
  <c r="H37"/>
  <c r="H39"/>
  <c r="H40"/>
  <c r="K4"/>
  <c r="K5"/>
  <c r="K6"/>
  <c r="K7"/>
  <c r="K8"/>
  <c r="K9"/>
  <c r="K10"/>
  <c r="K11"/>
  <c r="K12"/>
  <c r="K13"/>
  <c r="K14"/>
  <c r="K15"/>
  <c r="K16"/>
  <c r="K17"/>
  <c r="K18"/>
  <c r="K19"/>
  <c r="K20"/>
  <c r="K21"/>
  <c r="K22"/>
  <c r="K23"/>
  <c r="K24"/>
  <c r="K25"/>
  <c r="K26"/>
  <c r="K27"/>
  <c r="K28"/>
  <c r="K29"/>
  <c r="K30"/>
  <c r="K31"/>
  <c r="K32"/>
  <c r="K33"/>
  <c r="K34"/>
  <c r="K35"/>
  <c r="K36"/>
  <c r="K37"/>
  <c r="K39"/>
  <c r="K40"/>
  <c r="J4"/>
  <c r="J5"/>
  <c r="J6"/>
  <c r="J7"/>
  <c r="J8"/>
  <c r="J9"/>
  <c r="J10"/>
  <c r="J11"/>
  <c r="J12"/>
  <c r="J13"/>
  <c r="J14"/>
  <c r="J15"/>
  <c r="J16"/>
  <c r="J17"/>
  <c r="J18"/>
  <c r="J19"/>
  <c r="J20"/>
  <c r="J21"/>
  <c r="J22"/>
  <c r="J23"/>
  <c r="J24"/>
  <c r="J25"/>
  <c r="J26"/>
  <c r="J27"/>
  <c r="J28"/>
  <c r="J29"/>
  <c r="J30"/>
  <c r="J31"/>
  <c r="J32"/>
  <c r="J33"/>
  <c r="J34"/>
  <c r="J35"/>
  <c r="J36"/>
  <c r="J37"/>
  <c r="J39"/>
  <c r="J40"/>
  <c r="R15" i="24" l="1"/>
  <c r="O15"/>
  <c r="R43" i="2"/>
  <c r="E85" i="24" s="1"/>
  <c r="D85" s="1"/>
  <c r="E65"/>
  <c r="D65" s="1"/>
  <c r="R38" i="2"/>
  <c r="E25" i="24" s="1"/>
  <c r="S14"/>
  <c r="R14"/>
  <c r="R11"/>
  <c r="S11"/>
  <c r="R12"/>
  <c r="S12"/>
  <c r="S15"/>
  <c r="H41" i="25"/>
  <c r="K41"/>
  <c r="J41"/>
  <c r="F4"/>
  <c r="F5"/>
  <c r="F6"/>
  <c r="F7"/>
  <c r="F8"/>
  <c r="F9"/>
  <c r="F10"/>
  <c r="F11"/>
  <c r="F12"/>
  <c r="F13"/>
  <c r="F14"/>
  <c r="F15"/>
  <c r="F16"/>
  <c r="F17"/>
  <c r="F18"/>
  <c r="F19"/>
  <c r="F20"/>
  <c r="F21"/>
  <c r="F22"/>
  <c r="F23"/>
  <c r="F24"/>
  <c r="F25"/>
  <c r="F26"/>
  <c r="F27"/>
  <c r="F28"/>
  <c r="F29"/>
  <c r="F30"/>
  <c r="F31"/>
  <c r="F32"/>
  <c r="F33"/>
  <c r="F34"/>
  <c r="F35"/>
  <c r="F36"/>
  <c r="F37"/>
  <c r="F39"/>
  <c r="F40"/>
  <c r="I4"/>
  <c r="I5"/>
  <c r="I6"/>
  <c r="I7"/>
  <c r="I8"/>
  <c r="I9"/>
  <c r="I10"/>
  <c r="I11"/>
  <c r="I12"/>
  <c r="I13"/>
  <c r="I14"/>
  <c r="I15"/>
  <c r="I16"/>
  <c r="I17"/>
  <c r="I18"/>
  <c r="I19"/>
  <c r="I20"/>
  <c r="I21"/>
  <c r="I22"/>
  <c r="I23"/>
  <c r="I24"/>
  <c r="I25"/>
  <c r="I26"/>
  <c r="I27"/>
  <c r="I28"/>
  <c r="I29"/>
  <c r="I30"/>
  <c r="I31"/>
  <c r="I32"/>
  <c r="I33"/>
  <c r="I34"/>
  <c r="I35"/>
  <c r="I36"/>
  <c r="I37"/>
  <c r="I39"/>
  <c r="I40"/>
  <c r="G4"/>
  <c r="G7"/>
  <c r="G8"/>
  <c r="G9"/>
  <c r="G10"/>
  <c r="G13"/>
  <c r="G16"/>
  <c r="G19"/>
  <c r="G20"/>
  <c r="G21"/>
  <c r="G22"/>
  <c r="G25"/>
  <c r="G28"/>
  <c r="G29"/>
  <c r="G30"/>
  <c r="G32"/>
  <c r="G33"/>
  <c r="G37"/>
  <c r="G39"/>
  <c r="G5"/>
  <c r="G6"/>
  <c r="G11"/>
  <c r="G12"/>
  <c r="G14"/>
  <c r="G15"/>
  <c r="G17"/>
  <c r="G18"/>
  <c r="G23"/>
  <c r="G24"/>
  <c r="G26"/>
  <c r="G27"/>
  <c r="G31"/>
  <c r="G34"/>
  <c r="G35"/>
  <c r="G36"/>
  <c r="G40"/>
  <c r="E4"/>
  <c r="E5"/>
  <c r="E6"/>
  <c r="E7"/>
  <c r="E8"/>
  <c r="E9"/>
  <c r="E10"/>
  <c r="E11"/>
  <c r="E12"/>
  <c r="E13"/>
  <c r="E14"/>
  <c r="E15"/>
  <c r="E16"/>
  <c r="E17"/>
  <c r="E18"/>
  <c r="E19"/>
  <c r="E20"/>
  <c r="E21"/>
  <c r="E22"/>
  <c r="E23"/>
  <c r="E24"/>
  <c r="E25"/>
  <c r="E26"/>
  <c r="E27"/>
  <c r="E28"/>
  <c r="E29"/>
  <c r="E30"/>
  <c r="E31"/>
  <c r="E32"/>
  <c r="E33"/>
  <c r="E34"/>
  <c r="E35"/>
  <c r="E36"/>
  <c r="E37"/>
  <c r="E39"/>
  <c r="E40"/>
  <c r="L4"/>
  <c r="L5"/>
  <c r="L6"/>
  <c r="L7"/>
  <c r="L8"/>
  <c r="L9"/>
  <c r="L10"/>
  <c r="L11"/>
  <c r="L12"/>
  <c r="L13"/>
  <c r="L14"/>
  <c r="L15"/>
  <c r="L16"/>
  <c r="L17"/>
  <c r="L18"/>
  <c r="L19"/>
  <c r="L20"/>
  <c r="L21"/>
  <c r="L22"/>
  <c r="L23"/>
  <c r="L24"/>
  <c r="L25"/>
  <c r="L26"/>
  <c r="L27"/>
  <c r="L28"/>
  <c r="L29"/>
  <c r="L30"/>
  <c r="L31"/>
  <c r="L32"/>
  <c r="L33"/>
  <c r="L34"/>
  <c r="L35"/>
  <c r="L36"/>
  <c r="L37"/>
  <c r="L39"/>
  <c r="L40"/>
  <c r="N4"/>
  <c r="N5"/>
  <c r="N6"/>
  <c r="N7"/>
  <c r="N8"/>
  <c r="N9"/>
  <c r="N10"/>
  <c r="N11"/>
  <c r="N12"/>
  <c r="N13"/>
  <c r="N14"/>
  <c r="N15"/>
  <c r="N16"/>
  <c r="N17"/>
  <c r="N18"/>
  <c r="N19"/>
  <c r="N20"/>
  <c r="N21"/>
  <c r="N22"/>
  <c r="N23"/>
  <c r="N24"/>
  <c r="N25"/>
  <c r="N26"/>
  <c r="N27"/>
  <c r="N28"/>
  <c r="N29"/>
  <c r="N30"/>
  <c r="N31"/>
  <c r="N32"/>
  <c r="N33"/>
  <c r="N34"/>
  <c r="N35"/>
  <c r="N36"/>
  <c r="N37"/>
  <c r="N39"/>
  <c r="D25" i="24" l="1"/>
  <c r="D4" s="1"/>
  <c r="F4" s="1"/>
  <c r="G4" s="1"/>
  <c r="I41" i="25"/>
  <c r="L41"/>
  <c r="E41"/>
  <c r="F41"/>
  <c r="G41"/>
  <c r="N40"/>
  <c r="N41"/>
  <c r="M4"/>
  <c r="M5"/>
  <c r="M6"/>
  <c r="M7"/>
  <c r="M8"/>
  <c r="M9"/>
  <c r="M10"/>
  <c r="M11"/>
  <c r="M12"/>
  <c r="M13"/>
  <c r="M14"/>
  <c r="M15"/>
  <c r="M16"/>
  <c r="M17"/>
  <c r="M18"/>
  <c r="M19"/>
  <c r="M20"/>
  <c r="M21"/>
  <c r="M22"/>
  <c r="M23"/>
  <c r="M24"/>
  <c r="M25"/>
  <c r="M26"/>
  <c r="M27"/>
  <c r="M28"/>
  <c r="M29"/>
  <c r="M30"/>
  <c r="M31"/>
  <c r="M32"/>
  <c r="M33"/>
  <c r="M34"/>
  <c r="M35"/>
  <c r="M36"/>
  <c r="M37"/>
  <c r="M39"/>
  <c r="M40"/>
  <c r="H75"/>
  <c r="I2" i="26"/>
  <c r="I4"/>
  <c r="I6"/>
  <c r="M70" i="18"/>
  <c r="I7" i="26" s="1"/>
  <c r="F73"/>
  <c r="F72"/>
  <c r="F71"/>
  <c r="F70"/>
  <c r="F69"/>
  <c r="F68"/>
  <c r="F67"/>
  <c r="L4" i="2"/>
  <c r="F2" i="27" s="1"/>
  <c r="F32" i="15"/>
  <c r="D32"/>
  <c r="F31"/>
  <c r="F30"/>
  <c r="F29"/>
  <c r="F28"/>
  <c r="F27"/>
  <c r="F26"/>
  <c r="F25"/>
  <c r="F24"/>
  <c r="F23"/>
  <c r="F22"/>
  <c r="F21"/>
  <c r="F20"/>
  <c r="F19"/>
  <c r="F18"/>
  <c r="F17"/>
  <c r="F16"/>
  <c r="F15"/>
  <c r="F14"/>
  <c r="F13"/>
  <c r="F12"/>
  <c r="F11"/>
  <c r="F10"/>
  <c r="F9"/>
  <c r="F8"/>
  <c r="F7"/>
  <c r="F6"/>
  <c r="F5"/>
  <c r="F3"/>
  <c r="H84" i="11"/>
  <c r="F84"/>
  <c r="H83"/>
  <c r="F83"/>
  <c r="H82"/>
  <c r="F82"/>
  <c r="F81"/>
  <c r="D81"/>
  <c r="F80"/>
  <c r="F79"/>
  <c r="F78"/>
  <c r="F77"/>
  <c r="F76"/>
  <c r="F75"/>
  <c r="F74"/>
  <c r="F73"/>
  <c r="F72"/>
  <c r="F71"/>
  <c r="F70"/>
  <c r="F67"/>
  <c r="F65"/>
  <c r="F64"/>
  <c r="F63"/>
  <c r="F62"/>
  <c r="F61"/>
  <c r="F60"/>
  <c r="F59"/>
  <c r="F58"/>
  <c r="F57"/>
  <c r="F56"/>
  <c r="F55"/>
  <c r="F54"/>
  <c r="F53"/>
  <c r="F52"/>
  <c r="F51"/>
  <c r="F50"/>
  <c r="F49"/>
  <c r="F48"/>
  <c r="F47"/>
  <c r="F46"/>
  <c r="F45"/>
  <c r="F44"/>
  <c r="F43"/>
  <c r="F37"/>
  <c r="F36"/>
  <c r="F35"/>
  <c r="F34"/>
  <c r="F33"/>
  <c r="F32"/>
  <c r="F31"/>
  <c r="F30"/>
  <c r="F29"/>
  <c r="F28"/>
  <c r="F27"/>
  <c r="F26"/>
  <c r="F25"/>
  <c r="F24"/>
  <c r="F23"/>
  <c r="F22"/>
  <c r="F21"/>
  <c r="F20"/>
  <c r="F19"/>
  <c r="F17"/>
  <c r="F16"/>
  <c r="F14"/>
  <c r="F13"/>
  <c r="F12"/>
  <c r="F11"/>
  <c r="F10"/>
  <c r="F9"/>
  <c r="F8"/>
  <c r="F7"/>
  <c r="F6"/>
  <c r="F5"/>
  <c r="F4"/>
  <c r="H33" i="10"/>
  <c r="D37" i="24" s="1"/>
  <c r="D16" s="1"/>
  <c r="F16" s="1"/>
  <c r="G16" s="1"/>
  <c r="O8" s="1"/>
  <c r="K26" i="10"/>
  <c r="J26"/>
  <c r="I26"/>
  <c r="K23"/>
  <c r="J23"/>
  <c r="K22"/>
  <c r="J22"/>
  <c r="I22"/>
  <c r="K21"/>
  <c r="J21"/>
  <c r="I21"/>
  <c r="K20"/>
  <c r="J20"/>
  <c r="I20"/>
  <c r="K19"/>
  <c r="J19"/>
  <c r="I19"/>
  <c r="K18"/>
  <c r="J18"/>
  <c r="I18"/>
  <c r="K17"/>
  <c r="J17"/>
  <c r="I17"/>
  <c r="K16"/>
  <c r="J16"/>
  <c r="I16"/>
  <c r="K15"/>
  <c r="J15"/>
  <c r="I15"/>
  <c r="K14"/>
  <c r="J14"/>
  <c r="I14"/>
  <c r="K13"/>
  <c r="J13"/>
  <c r="I13"/>
  <c r="K12"/>
  <c r="J12"/>
  <c r="I12"/>
  <c r="K11"/>
  <c r="J11"/>
  <c r="I11"/>
  <c r="K10"/>
  <c r="J10"/>
  <c r="K9"/>
  <c r="J9"/>
  <c r="I9"/>
  <c r="K8"/>
  <c r="J8"/>
  <c r="I8"/>
  <c r="K7"/>
  <c r="J7"/>
  <c r="I7"/>
  <c r="K6"/>
  <c r="J6"/>
  <c r="I6"/>
  <c r="K5"/>
  <c r="J5"/>
  <c r="I5"/>
  <c r="I31" s="1"/>
  <c r="K4"/>
  <c r="J4"/>
  <c r="K3"/>
  <c r="J3"/>
  <c r="I3"/>
  <c r="K28" i="16"/>
  <c r="K23"/>
  <c r="J23"/>
  <c r="J24" s="1"/>
  <c r="E53" i="24" s="1"/>
  <c r="D53" s="1"/>
  <c r="K21" i="16"/>
  <c r="J21"/>
  <c r="E33" i="24" s="1"/>
  <c r="D33" s="1"/>
  <c r="D12" s="1"/>
  <c r="F12" s="1"/>
  <c r="G12" s="1"/>
  <c r="O7" s="1"/>
  <c r="I21" i="16"/>
  <c r="M5"/>
  <c r="M4"/>
  <c r="M3"/>
  <c r="K141" i="12"/>
  <c r="H141"/>
  <c r="H140"/>
  <c r="H138"/>
  <c r="H137"/>
  <c r="M131"/>
  <c r="L131"/>
  <c r="K131"/>
  <c r="J131"/>
  <c r="H131"/>
  <c r="G131"/>
  <c r="M130"/>
  <c r="L130"/>
  <c r="J130"/>
  <c r="G130"/>
  <c r="M129"/>
  <c r="L129"/>
  <c r="J129"/>
  <c r="G129"/>
  <c r="M128"/>
  <c r="L128"/>
  <c r="J128"/>
  <c r="G128"/>
  <c r="M127"/>
  <c r="L127"/>
  <c r="J127"/>
  <c r="G127"/>
  <c r="M126"/>
  <c r="L126"/>
  <c r="J126"/>
  <c r="G126"/>
  <c r="M125"/>
  <c r="L125"/>
  <c r="J125"/>
  <c r="G125"/>
  <c r="M124"/>
  <c r="L124"/>
  <c r="J124"/>
  <c r="G124"/>
  <c r="M123"/>
  <c r="L123"/>
  <c r="J123"/>
  <c r="G123"/>
  <c r="M122"/>
  <c r="L122"/>
  <c r="J122"/>
  <c r="G122"/>
  <c r="M121"/>
  <c r="L121"/>
  <c r="J121"/>
  <c r="G121"/>
  <c r="M120"/>
  <c r="L120"/>
  <c r="J120"/>
  <c r="G120"/>
  <c r="M119"/>
  <c r="L119"/>
  <c r="J119"/>
  <c r="G119"/>
  <c r="M118"/>
  <c r="L118"/>
  <c r="K118"/>
  <c r="J118"/>
  <c r="H118"/>
  <c r="G118"/>
  <c r="M117"/>
  <c r="L117"/>
  <c r="J117"/>
  <c r="G117"/>
  <c r="M116"/>
  <c r="L116"/>
  <c r="J116"/>
  <c r="G116"/>
  <c r="L115"/>
  <c r="J115"/>
  <c r="G115"/>
  <c r="M114"/>
  <c r="L114"/>
  <c r="J114"/>
  <c r="G114"/>
  <c r="M113"/>
  <c r="L113"/>
  <c r="J113"/>
  <c r="G113"/>
  <c r="M112"/>
  <c r="L112"/>
  <c r="J112"/>
  <c r="G112"/>
  <c r="M111"/>
  <c r="L111"/>
  <c r="J111"/>
  <c r="G111"/>
  <c r="M110"/>
  <c r="L110"/>
  <c r="J110"/>
  <c r="G110"/>
  <c r="M109"/>
  <c r="L109"/>
  <c r="J109"/>
  <c r="G109"/>
  <c r="M108"/>
  <c r="L108"/>
  <c r="J108"/>
  <c r="G108"/>
  <c r="M107"/>
  <c r="L107"/>
  <c r="J107"/>
  <c r="G107"/>
  <c r="M106"/>
  <c r="L106"/>
  <c r="J106"/>
  <c r="G106"/>
  <c r="M105"/>
  <c r="L105"/>
  <c r="J105"/>
  <c r="G105"/>
  <c r="M104"/>
  <c r="L104"/>
  <c r="K104"/>
  <c r="J104"/>
  <c r="H104"/>
  <c r="G104"/>
  <c r="M103"/>
  <c r="L103"/>
  <c r="J103"/>
  <c r="G103"/>
  <c r="M102"/>
  <c r="L102"/>
  <c r="J102"/>
  <c r="G102"/>
  <c r="M101"/>
  <c r="L101"/>
  <c r="J101"/>
  <c r="G101"/>
  <c r="M100"/>
  <c r="L100"/>
  <c r="J100"/>
  <c r="G100"/>
  <c r="M99"/>
  <c r="L99"/>
  <c r="J99"/>
  <c r="G99"/>
  <c r="M98"/>
  <c r="L98"/>
  <c r="J98"/>
  <c r="G98"/>
  <c r="M97"/>
  <c r="L97"/>
  <c r="J97"/>
  <c r="G97"/>
  <c r="M96"/>
  <c r="L96"/>
  <c r="J96"/>
  <c r="G96"/>
  <c r="M95"/>
  <c r="L95"/>
  <c r="K95"/>
  <c r="J95"/>
  <c r="H95"/>
  <c r="G95"/>
  <c r="M94"/>
  <c r="L94"/>
  <c r="J94"/>
  <c r="G94"/>
  <c r="M93"/>
  <c r="L93"/>
  <c r="J93"/>
  <c r="G93"/>
  <c r="M92"/>
  <c r="L92"/>
  <c r="J92"/>
  <c r="G92"/>
  <c r="M91"/>
  <c r="L91"/>
  <c r="J91"/>
  <c r="G91"/>
  <c r="M90"/>
  <c r="L90"/>
  <c r="J90"/>
  <c r="G90"/>
  <c r="M89"/>
  <c r="L89"/>
  <c r="J89"/>
  <c r="G89"/>
  <c r="M88"/>
  <c r="L88"/>
  <c r="J88"/>
  <c r="G88"/>
  <c r="M87"/>
  <c r="L87"/>
  <c r="J87"/>
  <c r="G87"/>
  <c r="M86"/>
  <c r="L86"/>
  <c r="J86"/>
  <c r="G86"/>
  <c r="M85"/>
  <c r="L85"/>
  <c r="J85"/>
  <c r="G85"/>
  <c r="M84"/>
  <c r="L84"/>
  <c r="J84"/>
  <c r="G84"/>
  <c r="M83"/>
  <c r="L83"/>
  <c r="J83"/>
  <c r="G83"/>
  <c r="M82"/>
  <c r="L82"/>
  <c r="J82"/>
  <c r="G82"/>
  <c r="M81"/>
  <c r="L81"/>
  <c r="J81"/>
  <c r="G81"/>
  <c r="M80"/>
  <c r="L80"/>
  <c r="J80"/>
  <c r="G80"/>
  <c r="M79"/>
  <c r="L79"/>
  <c r="J79"/>
  <c r="G79"/>
  <c r="M78"/>
  <c r="L78"/>
  <c r="J78"/>
  <c r="G78"/>
  <c r="M77"/>
  <c r="L77"/>
  <c r="J77"/>
  <c r="G77"/>
  <c r="M76"/>
  <c r="L76"/>
  <c r="J76"/>
  <c r="G76"/>
  <c r="M75"/>
  <c r="L75"/>
  <c r="K75"/>
  <c r="J75"/>
  <c r="H75"/>
  <c r="G75"/>
  <c r="M74"/>
  <c r="L74"/>
  <c r="J74"/>
  <c r="G74"/>
  <c r="M73"/>
  <c r="L73"/>
  <c r="J73"/>
  <c r="G73"/>
  <c r="M72"/>
  <c r="L72"/>
  <c r="J72"/>
  <c r="G72"/>
  <c r="M71"/>
  <c r="L71"/>
  <c r="J71"/>
  <c r="G71"/>
  <c r="M70"/>
  <c r="L70"/>
  <c r="J70"/>
  <c r="G70"/>
  <c r="M69"/>
  <c r="L69"/>
  <c r="J69"/>
  <c r="G69"/>
  <c r="M68"/>
  <c r="L68"/>
  <c r="J68"/>
  <c r="G68"/>
  <c r="M67"/>
  <c r="L67"/>
  <c r="J67"/>
  <c r="G67"/>
  <c r="M66"/>
  <c r="L66"/>
  <c r="J66"/>
  <c r="G66"/>
  <c r="M65"/>
  <c r="L65"/>
  <c r="J65"/>
  <c r="G65"/>
  <c r="M64"/>
  <c r="L64"/>
  <c r="J64"/>
  <c r="G64"/>
  <c r="M63"/>
  <c r="L63"/>
  <c r="J63"/>
  <c r="G63"/>
  <c r="M62"/>
  <c r="L62"/>
  <c r="J62"/>
  <c r="G62"/>
  <c r="M61"/>
  <c r="L61"/>
  <c r="J61"/>
  <c r="G61"/>
  <c r="M60"/>
  <c r="L60"/>
  <c r="K60"/>
  <c r="J60"/>
  <c r="H60"/>
  <c r="G60"/>
  <c r="M59"/>
  <c r="L59"/>
  <c r="J59"/>
  <c r="G59"/>
  <c r="M58"/>
  <c r="L58"/>
  <c r="J58"/>
  <c r="G58"/>
  <c r="M57"/>
  <c r="L57"/>
  <c r="J57"/>
  <c r="G57"/>
  <c r="M56"/>
  <c r="L56"/>
  <c r="J56"/>
  <c r="G56"/>
  <c r="M55"/>
  <c r="L55"/>
  <c r="J55"/>
  <c r="G55"/>
  <c r="M54"/>
  <c r="L54"/>
  <c r="J54"/>
  <c r="G54"/>
  <c r="M53"/>
  <c r="L53"/>
  <c r="J53"/>
  <c r="G53"/>
  <c r="M52"/>
  <c r="L52"/>
  <c r="J52"/>
  <c r="G52"/>
  <c r="M51"/>
  <c r="L51"/>
  <c r="J51"/>
  <c r="G51"/>
  <c r="M50"/>
  <c r="L50"/>
  <c r="J50"/>
  <c r="G50"/>
  <c r="M49"/>
  <c r="L49"/>
  <c r="J49"/>
  <c r="G49"/>
  <c r="M48"/>
  <c r="L48"/>
  <c r="J48"/>
  <c r="G48"/>
  <c r="M47"/>
  <c r="L47"/>
  <c r="J47"/>
  <c r="G47"/>
  <c r="M46"/>
  <c r="L46"/>
  <c r="J46"/>
  <c r="G46"/>
  <c r="M45"/>
  <c r="L45"/>
  <c r="J45"/>
  <c r="G45"/>
  <c r="M44"/>
  <c r="L44"/>
  <c r="J44"/>
  <c r="G44"/>
  <c r="M43"/>
  <c r="L43"/>
  <c r="K43"/>
  <c r="J43"/>
  <c r="H43"/>
  <c r="G43"/>
  <c r="M42"/>
  <c r="L42"/>
  <c r="J42"/>
  <c r="G42"/>
  <c r="M41"/>
  <c r="L41"/>
  <c r="J41"/>
  <c r="G41"/>
  <c r="M40"/>
  <c r="L40"/>
  <c r="J40"/>
  <c r="G40"/>
  <c r="M39"/>
  <c r="L39"/>
  <c r="J39"/>
  <c r="G39"/>
  <c r="M38"/>
  <c r="L38"/>
  <c r="J38"/>
  <c r="G38"/>
  <c r="M37"/>
  <c r="L37"/>
  <c r="J37"/>
  <c r="G37"/>
  <c r="M36"/>
  <c r="L36"/>
  <c r="J36"/>
  <c r="G36"/>
  <c r="M35"/>
  <c r="L35"/>
  <c r="J35"/>
  <c r="G35"/>
  <c r="M34"/>
  <c r="L34"/>
  <c r="J34"/>
  <c r="G34"/>
  <c r="M33"/>
  <c r="L33"/>
  <c r="J33"/>
  <c r="G33"/>
  <c r="M32"/>
  <c r="L32"/>
  <c r="J32"/>
  <c r="G32"/>
  <c r="M31"/>
  <c r="L31"/>
  <c r="J31"/>
  <c r="G31"/>
  <c r="M30"/>
  <c r="L30"/>
  <c r="J30"/>
  <c r="G30"/>
  <c r="M29"/>
  <c r="L29"/>
  <c r="J29"/>
  <c r="G29"/>
  <c r="M28"/>
  <c r="L28"/>
  <c r="J28"/>
  <c r="G28"/>
  <c r="M27"/>
  <c r="L27"/>
  <c r="J27"/>
  <c r="G27"/>
  <c r="M26"/>
  <c r="L26"/>
  <c r="J26"/>
  <c r="G26"/>
  <c r="M25"/>
  <c r="L25"/>
  <c r="K25"/>
  <c r="J25"/>
  <c r="H25"/>
  <c r="G25"/>
  <c r="M24"/>
  <c r="L24"/>
  <c r="J24"/>
  <c r="G24"/>
  <c r="M23"/>
  <c r="L23"/>
  <c r="J23"/>
  <c r="G23"/>
  <c r="M22"/>
  <c r="L22"/>
  <c r="J22"/>
  <c r="G22"/>
  <c r="M21"/>
  <c r="L21"/>
  <c r="J21"/>
  <c r="G21"/>
  <c r="M20"/>
  <c r="L20"/>
  <c r="J20"/>
  <c r="G20"/>
  <c r="M19"/>
  <c r="L19"/>
  <c r="J19"/>
  <c r="G19"/>
  <c r="M18"/>
  <c r="L18"/>
  <c r="J18"/>
  <c r="G18"/>
  <c r="M17"/>
  <c r="L17"/>
  <c r="J17"/>
  <c r="G17"/>
  <c r="M16"/>
  <c r="L16"/>
  <c r="J16"/>
  <c r="G16"/>
  <c r="M15"/>
  <c r="L15"/>
  <c r="J15"/>
  <c r="G15"/>
  <c r="M14"/>
  <c r="L14"/>
  <c r="K14"/>
  <c r="K137" s="1"/>
  <c r="J14"/>
  <c r="H14"/>
  <c r="G14"/>
  <c r="M13"/>
  <c r="L13"/>
  <c r="J13"/>
  <c r="G13"/>
  <c r="M12"/>
  <c r="L12"/>
  <c r="J12"/>
  <c r="G12"/>
  <c r="M11"/>
  <c r="L11"/>
  <c r="J11"/>
  <c r="G11"/>
  <c r="M10"/>
  <c r="L10"/>
  <c r="J10"/>
  <c r="G10"/>
  <c r="M9"/>
  <c r="L9"/>
  <c r="J9"/>
  <c r="G9"/>
  <c r="M8"/>
  <c r="L8"/>
  <c r="J8"/>
  <c r="G8"/>
  <c r="M7"/>
  <c r="L7"/>
  <c r="J7"/>
  <c r="G7"/>
  <c r="M6"/>
  <c r="L6"/>
  <c r="J6"/>
  <c r="G6"/>
  <c r="M5"/>
  <c r="L5"/>
  <c r="J5"/>
  <c r="G5"/>
  <c r="M4"/>
  <c r="L4"/>
  <c r="J4"/>
  <c r="G4"/>
  <c r="M3"/>
  <c r="L3"/>
  <c r="J3"/>
  <c r="K140" s="1"/>
  <c r="B5" i="23" s="1"/>
  <c r="G3" i="12"/>
  <c r="AC27" i="6"/>
  <c r="Z27"/>
  <c r="N23"/>
  <c r="M23"/>
  <c r="S21"/>
  <c r="R21"/>
  <c r="Q21"/>
  <c r="P21"/>
  <c r="N21"/>
  <c r="M21"/>
  <c r="H20"/>
  <c r="Z18"/>
  <c r="N18"/>
  <c r="AC18" s="1"/>
  <c r="M18"/>
  <c r="L18"/>
  <c r="Z17"/>
  <c r="N17"/>
  <c r="AC17" s="1"/>
  <c r="M17"/>
  <c r="L17"/>
  <c r="Z16"/>
  <c r="N16"/>
  <c r="AC16" s="1"/>
  <c r="M16"/>
  <c r="L16"/>
  <c r="Z15"/>
  <c r="N15"/>
  <c r="AC15" s="1"/>
  <c r="M15"/>
  <c r="L15"/>
  <c r="Z14"/>
  <c r="N14"/>
  <c r="AC14" s="1"/>
  <c r="M14"/>
  <c r="L14"/>
  <c r="Z13"/>
  <c r="S13"/>
  <c r="R13"/>
  <c r="Q13"/>
  <c r="P13"/>
  <c r="N13"/>
  <c r="AC13" s="1"/>
  <c r="M13"/>
  <c r="L13"/>
  <c r="Z12"/>
  <c r="N12"/>
  <c r="AC12" s="1"/>
  <c r="M12"/>
  <c r="L12"/>
  <c r="S11"/>
  <c r="R11"/>
  <c r="Q11"/>
  <c r="P11"/>
  <c r="O11"/>
  <c r="L11"/>
  <c r="S10"/>
  <c r="R10"/>
  <c r="Q10"/>
  <c r="P10"/>
  <c r="O10"/>
  <c r="L10"/>
  <c r="AC9"/>
  <c r="S9"/>
  <c r="R9"/>
  <c r="Q9"/>
  <c r="P9"/>
  <c r="O9"/>
  <c r="K9"/>
  <c r="P8"/>
  <c r="Q8" s="1"/>
  <c r="R8" s="1"/>
  <c r="S8" s="1"/>
  <c r="N8"/>
  <c r="N19" s="1"/>
  <c r="M8"/>
  <c r="M19" s="1"/>
  <c r="L8"/>
  <c r="S7"/>
  <c r="R7"/>
  <c r="Q7"/>
  <c r="P7"/>
  <c r="O7"/>
  <c r="L7"/>
  <c r="S6"/>
  <c r="R6"/>
  <c r="Q6"/>
  <c r="P6"/>
  <c r="O6"/>
  <c r="L6"/>
  <c r="S5"/>
  <c r="R5"/>
  <c r="Q5"/>
  <c r="P5"/>
  <c r="O5"/>
  <c r="L5"/>
  <c r="AC4"/>
  <c r="AC26" s="1"/>
  <c r="AC29" s="1"/>
  <c r="G4" i="23" s="1"/>
  <c r="Z4" i="6"/>
  <c r="S4"/>
  <c r="R4"/>
  <c r="Q4"/>
  <c r="P4"/>
  <c r="O4"/>
  <c r="L4"/>
  <c r="K4"/>
  <c r="U26" i="7"/>
  <c r="T26"/>
  <c r="S26"/>
  <c r="H26"/>
  <c r="U25"/>
  <c r="T25"/>
  <c r="S25"/>
  <c r="U24"/>
  <c r="T24"/>
  <c r="S24"/>
  <c r="P23"/>
  <c r="P24" s="1"/>
  <c r="P26" s="1"/>
  <c r="O23"/>
  <c r="O24" s="1"/>
  <c r="O26" s="1"/>
  <c r="E129" i="24" s="1"/>
  <c r="D129" s="1"/>
  <c r="H23" i="7"/>
  <c r="U22"/>
  <c r="T22"/>
  <c r="S22"/>
  <c r="R22"/>
  <c r="Q22"/>
  <c r="N22"/>
  <c r="U21"/>
  <c r="T21"/>
  <c r="S21"/>
  <c r="R21"/>
  <c r="Q21"/>
  <c r="N21"/>
  <c r="U20"/>
  <c r="T20"/>
  <c r="S20"/>
  <c r="R20"/>
  <c r="Q20"/>
  <c r="N20"/>
  <c r="U19"/>
  <c r="T19"/>
  <c r="S19"/>
  <c r="R19"/>
  <c r="Q19"/>
  <c r="N19"/>
  <c r="K19"/>
  <c r="U18"/>
  <c r="T18"/>
  <c r="S18"/>
  <c r="R18"/>
  <c r="Q18"/>
  <c r="N18"/>
  <c r="K18"/>
  <c r="U17"/>
  <c r="T17"/>
  <c r="S17"/>
  <c r="R17"/>
  <c r="Q17"/>
  <c r="Q23" s="1"/>
  <c r="N17"/>
  <c r="K17"/>
  <c r="T16"/>
  <c r="U16" s="1"/>
  <c r="S16"/>
  <c r="R16"/>
  <c r="R23" s="1"/>
  <c r="S23" s="1"/>
  <c r="T23" s="1"/>
  <c r="U23" s="1"/>
  <c r="Q16"/>
  <c r="N16"/>
  <c r="U15"/>
  <c r="T15"/>
  <c r="S15"/>
  <c r="R15"/>
  <c r="Q15"/>
  <c r="N15"/>
  <c r="U14"/>
  <c r="T14"/>
  <c r="S14"/>
  <c r="R14"/>
  <c r="Q14"/>
  <c r="N14"/>
  <c r="U13"/>
  <c r="T13"/>
  <c r="S13"/>
  <c r="R13"/>
  <c r="Q13"/>
  <c r="N13"/>
  <c r="U12"/>
  <c r="T12"/>
  <c r="S12"/>
  <c r="R12"/>
  <c r="Q12"/>
  <c r="N12"/>
  <c r="U11"/>
  <c r="T11"/>
  <c r="S11"/>
  <c r="R11"/>
  <c r="Q11"/>
  <c r="N11"/>
  <c r="U10"/>
  <c r="T10"/>
  <c r="S10"/>
  <c r="R10"/>
  <c r="Q10"/>
  <c r="N10"/>
  <c r="U9"/>
  <c r="T9"/>
  <c r="S9"/>
  <c r="R9"/>
  <c r="Q9"/>
  <c r="N9"/>
  <c r="U8"/>
  <c r="T8"/>
  <c r="S8"/>
  <c r="R8"/>
  <c r="Q8"/>
  <c r="N8"/>
  <c r="U7"/>
  <c r="T7"/>
  <c r="S7"/>
  <c r="R7"/>
  <c r="Q7"/>
  <c r="N7"/>
  <c r="U6"/>
  <c r="T6"/>
  <c r="S6"/>
  <c r="R6"/>
  <c r="Q6"/>
  <c r="N6"/>
  <c r="U5"/>
  <c r="T5"/>
  <c r="S5"/>
  <c r="R5"/>
  <c r="Q5"/>
  <c r="N5"/>
  <c r="U4"/>
  <c r="T4"/>
  <c r="S4"/>
  <c r="R4"/>
  <c r="Q4"/>
  <c r="N4"/>
  <c r="C6" i="23"/>
  <c r="H36" i="10"/>
  <c r="H40" s="1"/>
  <c r="D137" i="24" s="1"/>
  <c r="C147" s="1"/>
  <c r="M20" i="6"/>
  <c r="E51" i="24" s="1"/>
  <c r="D51" s="1"/>
  <c r="P19" i="6"/>
  <c r="Q19" s="1"/>
  <c r="R19" s="1"/>
  <c r="S19" s="1"/>
  <c r="O8"/>
  <c r="Q44" i="5"/>
  <c r="P44"/>
  <c r="H44"/>
  <c r="H43"/>
  <c r="H42"/>
  <c r="Q41"/>
  <c r="Q45" s="1"/>
  <c r="Q46" s="1"/>
  <c r="P41"/>
  <c r="P45" s="1"/>
  <c r="N41"/>
  <c r="S41" s="1"/>
  <c r="U40"/>
  <c r="V40" s="1"/>
  <c r="T40"/>
  <c r="S40"/>
  <c r="R40"/>
  <c r="O40"/>
  <c r="T39"/>
  <c r="U39" s="1"/>
  <c r="V39" s="1"/>
  <c r="S39"/>
  <c r="R39"/>
  <c r="O39"/>
  <c r="S38"/>
  <c r="T38" s="1"/>
  <c r="U38" s="1"/>
  <c r="V38" s="1"/>
  <c r="R38"/>
  <c r="O38"/>
  <c r="S37"/>
  <c r="T37" s="1"/>
  <c r="U37" s="1"/>
  <c r="V37" s="1"/>
  <c r="R37"/>
  <c r="O37"/>
  <c r="Q36"/>
  <c r="P36"/>
  <c r="R36" s="1"/>
  <c r="O36"/>
  <c r="U35"/>
  <c r="V35" s="1"/>
  <c r="T35"/>
  <c r="S35"/>
  <c r="R35"/>
  <c r="O35"/>
  <c r="T34"/>
  <c r="U34" s="1"/>
  <c r="V34" s="1"/>
  <c r="S34"/>
  <c r="R34"/>
  <c r="O34"/>
  <c r="S33"/>
  <c r="T33" s="1"/>
  <c r="U33" s="1"/>
  <c r="V33" s="1"/>
  <c r="R33"/>
  <c r="P33"/>
  <c r="O33"/>
  <c r="S32"/>
  <c r="T32" s="1"/>
  <c r="U32" s="1"/>
  <c r="V32" s="1"/>
  <c r="R32"/>
  <c r="O32"/>
  <c r="S31"/>
  <c r="T31" s="1"/>
  <c r="U31" s="1"/>
  <c r="V31" s="1"/>
  <c r="R31"/>
  <c r="Q31"/>
  <c r="P31"/>
  <c r="O31"/>
  <c r="S30"/>
  <c r="T30" s="1"/>
  <c r="U30" s="1"/>
  <c r="V30" s="1"/>
  <c r="R30"/>
  <c r="O30"/>
  <c r="Q29"/>
  <c r="P29"/>
  <c r="S29" s="1"/>
  <c r="T29" s="1"/>
  <c r="U29" s="1"/>
  <c r="V29" s="1"/>
  <c r="O29"/>
  <c r="U28"/>
  <c r="V28" s="1"/>
  <c r="T28"/>
  <c r="S28"/>
  <c r="R28"/>
  <c r="O28"/>
  <c r="T27"/>
  <c r="U27" s="1"/>
  <c r="V27" s="1"/>
  <c r="S27"/>
  <c r="R27"/>
  <c r="O27"/>
  <c r="S26"/>
  <c r="T26" s="1"/>
  <c r="U26" s="1"/>
  <c r="V26" s="1"/>
  <c r="R26"/>
  <c r="O26"/>
  <c r="Q25"/>
  <c r="O25"/>
  <c r="N25"/>
  <c r="P25" s="1"/>
  <c r="S24"/>
  <c r="T24" s="1"/>
  <c r="U24" s="1"/>
  <c r="V24" s="1"/>
  <c r="R24"/>
  <c r="O24"/>
  <c r="Q23"/>
  <c r="P23"/>
  <c r="R23" s="1"/>
  <c r="O23"/>
  <c r="S22"/>
  <c r="T22" s="1"/>
  <c r="U22" s="1"/>
  <c r="V22" s="1"/>
  <c r="R22"/>
  <c r="O22"/>
  <c r="U21"/>
  <c r="V21" s="1"/>
  <c r="T21"/>
  <c r="S21"/>
  <c r="R21"/>
  <c r="O21"/>
  <c r="T20"/>
  <c r="U20" s="1"/>
  <c r="V20" s="1"/>
  <c r="S20"/>
  <c r="R20"/>
  <c r="O20"/>
  <c r="S19"/>
  <c r="T19" s="1"/>
  <c r="U19" s="1"/>
  <c r="V19" s="1"/>
  <c r="R19"/>
  <c r="O19"/>
  <c r="S18"/>
  <c r="T18" s="1"/>
  <c r="U18" s="1"/>
  <c r="V18" s="1"/>
  <c r="R18"/>
  <c r="O18"/>
  <c r="Q17"/>
  <c r="P17"/>
  <c r="H104" i="26" s="1"/>
  <c r="O17" i="5"/>
  <c r="U16"/>
  <c r="V16" s="1"/>
  <c r="T16"/>
  <c r="S16"/>
  <c r="R16"/>
  <c r="O16"/>
  <c r="T15"/>
  <c r="U15" s="1"/>
  <c r="V15" s="1"/>
  <c r="S15"/>
  <c r="R15"/>
  <c r="O15"/>
  <c r="S14"/>
  <c r="T14" s="1"/>
  <c r="U14" s="1"/>
  <c r="V14" s="1"/>
  <c r="R14"/>
  <c r="O14"/>
  <c r="S13"/>
  <c r="T13" s="1"/>
  <c r="U13" s="1"/>
  <c r="V13" s="1"/>
  <c r="R13"/>
  <c r="O13"/>
  <c r="U12"/>
  <c r="V12" s="1"/>
  <c r="T12"/>
  <c r="S12"/>
  <c r="R12"/>
  <c r="O12"/>
  <c r="Q11"/>
  <c r="O11"/>
  <c r="N11"/>
  <c r="P11" s="1"/>
  <c r="G100" i="26" s="1"/>
  <c r="S10" i="5"/>
  <c r="T10" s="1"/>
  <c r="U10" s="1"/>
  <c r="V10" s="1"/>
  <c r="R10"/>
  <c r="O10"/>
  <c r="U9"/>
  <c r="V9" s="1"/>
  <c r="T9"/>
  <c r="S9"/>
  <c r="R9"/>
  <c r="O9"/>
  <c r="T8"/>
  <c r="U8" s="1"/>
  <c r="V8" s="1"/>
  <c r="S8"/>
  <c r="R8"/>
  <c r="O8"/>
  <c r="Q7"/>
  <c r="N7"/>
  <c r="P7" s="1"/>
  <c r="U6"/>
  <c r="V6" s="1"/>
  <c r="T6"/>
  <c r="S6"/>
  <c r="R6"/>
  <c r="O6"/>
  <c r="T5"/>
  <c r="U5" s="1"/>
  <c r="V5" s="1"/>
  <c r="S5"/>
  <c r="R5"/>
  <c r="O5"/>
  <c r="S4"/>
  <c r="T4" s="1"/>
  <c r="U4" s="1"/>
  <c r="V4" s="1"/>
  <c r="R4"/>
  <c r="O4"/>
  <c r="Q65" i="4"/>
  <c r="R65" s="1"/>
  <c r="S65" s="1"/>
  <c r="T65" s="1"/>
  <c r="I64"/>
  <c r="I63"/>
  <c r="R62"/>
  <c r="S62" s="1"/>
  <c r="T62" s="1"/>
  <c r="Q62"/>
  <c r="P62"/>
  <c r="O62"/>
  <c r="S61"/>
  <c r="T61" s="1"/>
  <c r="R61"/>
  <c r="Q61"/>
  <c r="P61"/>
  <c r="O61"/>
  <c r="Q60"/>
  <c r="R60" s="1"/>
  <c r="S60" s="1"/>
  <c r="T60" s="1"/>
  <c r="O60"/>
  <c r="N60"/>
  <c r="M60"/>
  <c r="Q59"/>
  <c r="R59" s="1"/>
  <c r="S59" s="1"/>
  <c r="T59" s="1"/>
  <c r="O59"/>
  <c r="N59"/>
  <c r="P59" s="1"/>
  <c r="M59"/>
  <c r="O58"/>
  <c r="N58"/>
  <c r="P58" s="1"/>
  <c r="M58"/>
  <c r="Q58" s="1"/>
  <c r="R58" s="1"/>
  <c r="S58" s="1"/>
  <c r="T58" s="1"/>
  <c r="O57"/>
  <c r="N57"/>
  <c r="M57"/>
  <c r="Q57" s="1"/>
  <c r="R57" s="1"/>
  <c r="S57" s="1"/>
  <c r="T57" s="1"/>
  <c r="Q56"/>
  <c r="R56" s="1"/>
  <c r="S56" s="1"/>
  <c r="T56" s="1"/>
  <c r="O56"/>
  <c r="N56"/>
  <c r="M56"/>
  <c r="I56" i="26" s="1"/>
  <c r="Q55" i="4"/>
  <c r="R55" s="1"/>
  <c r="S55" s="1"/>
  <c r="T55" s="1"/>
  <c r="P55"/>
  <c r="O55"/>
  <c r="Q54"/>
  <c r="R54" s="1"/>
  <c r="S54" s="1"/>
  <c r="T54" s="1"/>
  <c r="P54"/>
  <c r="O54"/>
  <c r="Q53"/>
  <c r="R53" s="1"/>
  <c r="S53" s="1"/>
  <c r="T53" s="1"/>
  <c r="O53"/>
  <c r="N53"/>
  <c r="M53"/>
  <c r="O52"/>
  <c r="N52"/>
  <c r="P52" s="1"/>
  <c r="M52"/>
  <c r="Q52" s="1"/>
  <c r="R52" s="1"/>
  <c r="S52" s="1"/>
  <c r="T52" s="1"/>
  <c r="Q51"/>
  <c r="R51" s="1"/>
  <c r="S51" s="1"/>
  <c r="T51" s="1"/>
  <c r="P51"/>
  <c r="O51"/>
  <c r="R50"/>
  <c r="S50" s="1"/>
  <c r="T50" s="1"/>
  <c r="Q50"/>
  <c r="P50"/>
  <c r="O50"/>
  <c r="Q49"/>
  <c r="R49" s="1"/>
  <c r="S49" s="1"/>
  <c r="T49" s="1"/>
  <c r="P49"/>
  <c r="O49"/>
  <c r="R48"/>
  <c r="S48" s="1"/>
  <c r="T48" s="1"/>
  <c r="Q48"/>
  <c r="P48"/>
  <c r="O48"/>
  <c r="O47"/>
  <c r="N47"/>
  <c r="P47" s="1"/>
  <c r="M47"/>
  <c r="Q47" s="1"/>
  <c r="R47" s="1"/>
  <c r="S47" s="1"/>
  <c r="T47" s="1"/>
  <c r="Q46"/>
  <c r="R46" s="1"/>
  <c r="S46" s="1"/>
  <c r="T46" s="1"/>
  <c r="P46"/>
  <c r="O46"/>
  <c r="R45"/>
  <c r="S45" s="1"/>
  <c r="T45" s="1"/>
  <c r="Q45"/>
  <c r="P45"/>
  <c r="O45"/>
  <c r="Q44"/>
  <c r="R44" s="1"/>
  <c r="S44" s="1"/>
  <c r="T44" s="1"/>
  <c r="P44"/>
  <c r="O44"/>
  <c r="R43"/>
  <c r="S43" s="1"/>
  <c r="T43" s="1"/>
  <c r="Q43"/>
  <c r="P43"/>
  <c r="O43"/>
  <c r="Q42"/>
  <c r="R42" s="1"/>
  <c r="S42" s="1"/>
  <c r="T42" s="1"/>
  <c r="O42"/>
  <c r="N42"/>
  <c r="P42" s="1"/>
  <c r="M42"/>
  <c r="S41"/>
  <c r="T41" s="1"/>
  <c r="R41"/>
  <c r="Q41"/>
  <c r="P41"/>
  <c r="O41"/>
  <c r="Q40"/>
  <c r="R40" s="1"/>
  <c r="S40" s="1"/>
  <c r="T40" s="1"/>
  <c r="P40"/>
  <c r="O40"/>
  <c r="S39"/>
  <c r="T39" s="1"/>
  <c r="R39"/>
  <c r="Q39"/>
  <c r="P39"/>
  <c r="O39"/>
  <c r="Q38"/>
  <c r="R38" s="1"/>
  <c r="S38" s="1"/>
  <c r="T38" s="1"/>
  <c r="P38"/>
  <c r="O38"/>
  <c r="S37"/>
  <c r="T37" s="1"/>
  <c r="R37"/>
  <c r="Q37"/>
  <c r="P37"/>
  <c r="O37"/>
  <c r="Q36"/>
  <c r="R36" s="1"/>
  <c r="S36" s="1"/>
  <c r="T36" s="1"/>
  <c r="P36"/>
  <c r="O36"/>
  <c r="Q35"/>
  <c r="R35" s="1"/>
  <c r="S35" s="1"/>
  <c r="T35" s="1"/>
  <c r="P35"/>
  <c r="O35"/>
  <c r="Q34"/>
  <c r="R34" s="1"/>
  <c r="S34" s="1"/>
  <c r="T34" s="1"/>
  <c r="P34"/>
  <c r="O34"/>
  <c r="Q33"/>
  <c r="R33" s="1"/>
  <c r="S33" s="1"/>
  <c r="T33" s="1"/>
  <c r="P33"/>
  <c r="O33"/>
  <c r="Q32"/>
  <c r="R32" s="1"/>
  <c r="S32" s="1"/>
  <c r="T32" s="1"/>
  <c r="P32"/>
  <c r="O32"/>
  <c r="Q31"/>
  <c r="R31" s="1"/>
  <c r="S31" s="1"/>
  <c r="T31" s="1"/>
  <c r="P31"/>
  <c r="O31"/>
  <c r="Q30"/>
  <c r="R30" s="1"/>
  <c r="S30" s="1"/>
  <c r="T30" s="1"/>
  <c r="P30"/>
  <c r="O30"/>
  <c r="Q29"/>
  <c r="R29" s="1"/>
  <c r="S29" s="1"/>
  <c r="T29" s="1"/>
  <c r="P29"/>
  <c r="O29"/>
  <c r="Q28"/>
  <c r="R28" s="1"/>
  <c r="S28" s="1"/>
  <c r="T28" s="1"/>
  <c r="P28"/>
  <c r="O28"/>
  <c r="Q27"/>
  <c r="R27" s="1"/>
  <c r="S27" s="1"/>
  <c r="T27" s="1"/>
  <c r="P27"/>
  <c r="O27"/>
  <c r="Q26"/>
  <c r="R26" s="1"/>
  <c r="S26" s="1"/>
  <c r="T26" s="1"/>
  <c r="P26"/>
  <c r="O26"/>
  <c r="Q25"/>
  <c r="R25" s="1"/>
  <c r="S25" s="1"/>
  <c r="T25" s="1"/>
  <c r="P25"/>
  <c r="O25"/>
  <c r="Q24"/>
  <c r="R24" s="1"/>
  <c r="S24" s="1"/>
  <c r="T24" s="1"/>
  <c r="P24"/>
  <c r="O24"/>
  <c r="Q23"/>
  <c r="R23" s="1"/>
  <c r="S23" s="1"/>
  <c r="T23" s="1"/>
  <c r="P23"/>
  <c r="O23"/>
  <c r="Q22"/>
  <c r="R22" s="1"/>
  <c r="S22" s="1"/>
  <c r="T22" s="1"/>
  <c r="P22"/>
  <c r="O22"/>
  <c r="Q21"/>
  <c r="R21" s="1"/>
  <c r="S21" s="1"/>
  <c r="T21" s="1"/>
  <c r="P21"/>
  <c r="O21"/>
  <c r="Q20"/>
  <c r="R20" s="1"/>
  <c r="S20" s="1"/>
  <c r="T20" s="1"/>
  <c r="P20"/>
  <c r="O20"/>
  <c r="Q19"/>
  <c r="R19" s="1"/>
  <c r="S19" s="1"/>
  <c r="T19" s="1"/>
  <c r="P19"/>
  <c r="O19"/>
  <c r="O18"/>
  <c r="N18"/>
  <c r="M18"/>
  <c r="E20" i="26" s="1"/>
  <c r="K18" i="4"/>
  <c r="Q17"/>
  <c r="R17" s="1"/>
  <c r="S17" s="1"/>
  <c r="T17" s="1"/>
  <c r="P17"/>
  <c r="O17"/>
  <c r="O16"/>
  <c r="N16"/>
  <c r="M16"/>
  <c r="Q16" s="1"/>
  <c r="R16" s="1"/>
  <c r="S16" s="1"/>
  <c r="T16" s="1"/>
  <c r="Q15"/>
  <c r="R15" s="1"/>
  <c r="S15" s="1"/>
  <c r="T15" s="1"/>
  <c r="P15"/>
  <c r="O15"/>
  <c r="Q14"/>
  <c r="R14" s="1"/>
  <c r="S14" s="1"/>
  <c r="T14" s="1"/>
  <c r="P14"/>
  <c r="O14"/>
  <c r="Q13"/>
  <c r="R13" s="1"/>
  <c r="S13" s="1"/>
  <c r="T13" s="1"/>
  <c r="P13"/>
  <c r="O13"/>
  <c r="N12"/>
  <c r="K12"/>
  <c r="M12" s="1"/>
  <c r="E17" i="26" s="1"/>
  <c r="R11" i="4"/>
  <c r="S11" s="1"/>
  <c r="T11" s="1"/>
  <c r="Q11"/>
  <c r="P11"/>
  <c r="O11"/>
  <c r="R10"/>
  <c r="S10" s="1"/>
  <c r="T10" s="1"/>
  <c r="Q10"/>
  <c r="P10"/>
  <c r="O10"/>
  <c r="O9"/>
  <c r="N9"/>
  <c r="M9"/>
  <c r="E16" i="26" s="1"/>
  <c r="Q8" i="4"/>
  <c r="R8" s="1"/>
  <c r="S8" s="1"/>
  <c r="T8" s="1"/>
  <c r="P8"/>
  <c r="O8"/>
  <c r="Q7"/>
  <c r="R7" s="1"/>
  <c r="S7" s="1"/>
  <c r="T7" s="1"/>
  <c r="P7"/>
  <c r="O7"/>
  <c r="O6"/>
  <c r="N6"/>
  <c r="M6"/>
  <c r="Q6" s="1"/>
  <c r="R6" s="1"/>
  <c r="S6" s="1"/>
  <c r="T6" s="1"/>
  <c r="R5"/>
  <c r="S5" s="1"/>
  <c r="T5" s="1"/>
  <c r="Q5"/>
  <c r="P5"/>
  <c r="O5"/>
  <c r="O4"/>
  <c r="N4"/>
  <c r="M4"/>
  <c r="E11" i="26" s="1"/>
  <c r="E86" i="24"/>
  <c r="Q25" i="3"/>
  <c r="R25" s="1"/>
  <c r="S25" s="1"/>
  <c r="H25"/>
  <c r="L25" s="1"/>
  <c r="Q24"/>
  <c r="R24" s="1"/>
  <c r="S24" s="1"/>
  <c r="H23"/>
  <c r="H22"/>
  <c r="N21"/>
  <c r="M21"/>
  <c r="P21" s="1"/>
  <c r="Q21" s="1"/>
  <c r="R21" s="1"/>
  <c r="S21" s="1"/>
  <c r="L21"/>
  <c r="L20"/>
  <c r="N19"/>
  <c r="M19"/>
  <c r="L19"/>
  <c r="N18"/>
  <c r="M18"/>
  <c r="L18"/>
  <c r="M17"/>
  <c r="N17" s="1"/>
  <c r="L17"/>
  <c r="M16"/>
  <c r="L16"/>
  <c r="N15"/>
  <c r="O15" s="1"/>
  <c r="M15"/>
  <c r="P15" s="1"/>
  <c r="Q15" s="1"/>
  <c r="R15" s="1"/>
  <c r="S15" s="1"/>
  <c r="L15"/>
  <c r="Q14"/>
  <c r="R14" s="1"/>
  <c r="S14" s="1"/>
  <c r="N14"/>
  <c r="M14"/>
  <c r="L14"/>
  <c r="Q13"/>
  <c r="R13" s="1"/>
  <c r="S13" s="1"/>
  <c r="N13"/>
  <c r="M13"/>
  <c r="L13"/>
  <c r="Q12"/>
  <c r="R12" s="1"/>
  <c r="S12" s="1"/>
  <c r="N12"/>
  <c r="M12"/>
  <c r="L12"/>
  <c r="R11"/>
  <c r="S11" s="1"/>
  <c r="Q11"/>
  <c r="N11"/>
  <c r="M11"/>
  <c r="L11"/>
  <c r="Q10"/>
  <c r="R10" s="1"/>
  <c r="S10" s="1"/>
  <c r="O10"/>
  <c r="L10"/>
  <c r="Q9"/>
  <c r="R9" s="1"/>
  <c r="S9" s="1"/>
  <c r="O9"/>
  <c r="L9"/>
  <c r="Q8"/>
  <c r="R8" s="1"/>
  <c r="S8" s="1"/>
  <c r="O8"/>
  <c r="L8"/>
  <c r="Q7"/>
  <c r="R7" s="1"/>
  <c r="S7" s="1"/>
  <c r="N7"/>
  <c r="M7"/>
  <c r="L7"/>
  <c r="Q6"/>
  <c r="R6" s="1"/>
  <c r="S6" s="1"/>
  <c r="O6"/>
  <c r="L6"/>
  <c r="Q5"/>
  <c r="R5" s="1"/>
  <c r="S5" s="1"/>
  <c r="O5"/>
  <c r="L5"/>
  <c r="Q4"/>
  <c r="R4" s="1"/>
  <c r="S4" s="1"/>
  <c r="N4"/>
  <c r="M4"/>
  <c r="K4"/>
  <c r="L4" s="1"/>
  <c r="C13" i="23"/>
  <c r="C11"/>
  <c r="C9"/>
  <c r="S42" i="2"/>
  <c r="S43" s="1"/>
  <c r="V39"/>
  <c r="W39" s="1"/>
  <c r="X39" s="1"/>
  <c r="Q37"/>
  <c r="V36"/>
  <c r="W36" s="1"/>
  <c r="X36" s="1"/>
  <c r="S36"/>
  <c r="Q36"/>
  <c r="V35"/>
  <c r="W35" s="1"/>
  <c r="X35" s="1"/>
  <c r="S35"/>
  <c r="Q35"/>
  <c r="V34"/>
  <c r="W34" s="1"/>
  <c r="X34" s="1"/>
  <c r="V33"/>
  <c r="W33" s="1"/>
  <c r="X33" s="1"/>
  <c r="T33"/>
  <c r="V32"/>
  <c r="W32" s="1"/>
  <c r="X32" s="1"/>
  <c r="V31"/>
  <c r="W31" s="1"/>
  <c r="X31" s="1"/>
  <c r="T31"/>
  <c r="V30"/>
  <c r="W30" s="1"/>
  <c r="X30" s="1"/>
  <c r="S30"/>
  <c r="Q30"/>
  <c r="V29"/>
  <c r="W29" s="1"/>
  <c r="X29" s="1"/>
  <c r="S29"/>
  <c r="Q29"/>
  <c r="V28"/>
  <c r="W28" s="1"/>
  <c r="X28" s="1"/>
  <c r="S28"/>
  <c r="Q28"/>
  <c r="V27"/>
  <c r="W27" s="1"/>
  <c r="X27" s="1"/>
  <c r="S27"/>
  <c r="Q27"/>
  <c r="U26"/>
  <c r="V26" s="1"/>
  <c r="W26" s="1"/>
  <c r="X26" s="1"/>
  <c r="T26"/>
  <c r="U25"/>
  <c r="V25" s="1"/>
  <c r="W25" s="1"/>
  <c r="X25" s="1"/>
  <c r="T25"/>
  <c r="V24"/>
  <c r="W24" s="1"/>
  <c r="X24" s="1"/>
  <c r="V23"/>
  <c r="W23" s="1"/>
  <c r="X23" s="1"/>
  <c r="S23"/>
  <c r="Q23"/>
  <c r="V22"/>
  <c r="W22" s="1"/>
  <c r="X22" s="1"/>
  <c r="S22"/>
  <c r="Q22"/>
  <c r="U21"/>
  <c r="V21" s="1"/>
  <c r="W21" s="1"/>
  <c r="X21" s="1"/>
  <c r="T21"/>
  <c r="Q21"/>
  <c r="U20"/>
  <c r="V20" s="1"/>
  <c r="W20" s="1"/>
  <c r="X20" s="1"/>
  <c r="T20"/>
  <c r="Q20"/>
  <c r="V19"/>
  <c r="W19" s="1"/>
  <c r="X19" s="1"/>
  <c r="T19"/>
  <c r="S19"/>
  <c r="P19"/>
  <c r="J9" i="27" s="1"/>
  <c r="O19" i="2"/>
  <c r="I9" i="27" s="1"/>
  <c r="N19" i="2"/>
  <c r="H9" i="27" s="1"/>
  <c r="M19" i="2"/>
  <c r="G9" i="27" s="1"/>
  <c r="L19" i="2"/>
  <c r="F9" i="27" s="1"/>
  <c r="K19" i="2"/>
  <c r="Q19" s="1"/>
  <c r="U18"/>
  <c r="V18" s="1"/>
  <c r="W18" s="1"/>
  <c r="X18" s="1"/>
  <c r="T18"/>
  <c r="Q18"/>
  <c r="U17"/>
  <c r="V17" s="1"/>
  <c r="W17" s="1"/>
  <c r="X17" s="1"/>
  <c r="T17"/>
  <c r="Q17"/>
  <c r="V16"/>
  <c r="W16" s="1"/>
  <c r="X16" s="1"/>
  <c r="S16"/>
  <c r="Q16"/>
  <c r="P16"/>
  <c r="J7" i="27" s="1"/>
  <c r="J8" s="1"/>
  <c r="O16" i="2"/>
  <c r="I7" i="27" s="1"/>
  <c r="I8" s="1"/>
  <c r="N16" i="2"/>
  <c r="H7" i="27" s="1"/>
  <c r="H8" s="1"/>
  <c r="M16" i="2"/>
  <c r="G7" i="27" s="1"/>
  <c r="L16" i="2"/>
  <c r="F7" i="27" s="1"/>
  <c r="F8" s="1"/>
  <c r="Q15" i="2"/>
  <c r="B13" i="23"/>
  <c r="V14" i="2"/>
  <c r="W14" s="1"/>
  <c r="X14" s="1"/>
  <c r="S14"/>
  <c r="Q14"/>
  <c r="U13"/>
  <c r="V13" s="1"/>
  <c r="W13" s="1"/>
  <c r="X13" s="1"/>
  <c r="T13"/>
  <c r="Q13"/>
  <c r="U12"/>
  <c r="V12" s="1"/>
  <c r="W12" s="1"/>
  <c r="X12" s="1"/>
  <c r="T12"/>
  <c r="Q12"/>
  <c r="U11"/>
  <c r="V11" s="1"/>
  <c r="W11" s="1"/>
  <c r="X11" s="1"/>
  <c r="T11"/>
  <c r="S11"/>
  <c r="P11"/>
  <c r="J4" i="27" s="1"/>
  <c r="O11" i="2"/>
  <c r="I4" i="27" s="1"/>
  <c r="N11" i="2"/>
  <c r="H4" i="27" s="1"/>
  <c r="M11" i="2"/>
  <c r="G4" i="27" s="1"/>
  <c r="L11" i="2"/>
  <c r="F4" i="27" s="1"/>
  <c r="K11" i="2"/>
  <c r="Q11" s="1"/>
  <c r="U10"/>
  <c r="V10" s="1"/>
  <c r="W10" s="1"/>
  <c r="X10" s="1"/>
  <c r="T10"/>
  <c r="Q10"/>
  <c r="U9"/>
  <c r="V9" s="1"/>
  <c r="W9" s="1"/>
  <c r="X9" s="1"/>
  <c r="T9"/>
  <c r="Q9"/>
  <c r="S8"/>
  <c r="Q8"/>
  <c r="M8"/>
  <c r="G3" i="27" s="1"/>
  <c r="U7" i="2"/>
  <c r="V7" s="1"/>
  <c r="W7" s="1"/>
  <c r="X7" s="1"/>
  <c r="T7"/>
  <c r="Q7"/>
  <c r="U6"/>
  <c r="V6" s="1"/>
  <c r="W6" s="1"/>
  <c r="X6" s="1"/>
  <c r="T6"/>
  <c r="Q6"/>
  <c r="U5"/>
  <c r="V5" s="1"/>
  <c r="W5" s="1"/>
  <c r="X5" s="1"/>
  <c r="T5"/>
  <c r="Q5"/>
  <c r="V4"/>
  <c r="W4" s="1"/>
  <c r="X4" s="1"/>
  <c r="U4"/>
  <c r="T4"/>
  <c r="S4"/>
  <c r="P4"/>
  <c r="J2" i="27" s="1"/>
  <c r="O4" i="2"/>
  <c r="I2" i="27" s="1"/>
  <c r="N4" i="2"/>
  <c r="H2" i="27" s="1"/>
  <c r="M4" i="2"/>
  <c r="G2" i="27" s="1"/>
  <c r="K4" i="2"/>
  <c r="Q4" s="1"/>
  <c r="O64" i="20"/>
  <c r="P64" s="1"/>
  <c r="Q64" s="1"/>
  <c r="R64" s="1"/>
  <c r="M59"/>
  <c r="BZ56"/>
  <c r="BT56"/>
  <c r="BN56"/>
  <c r="BH56"/>
  <c r="BB56"/>
  <c r="AV56"/>
  <c r="AP56"/>
  <c r="AJ56"/>
  <c r="AD56"/>
  <c r="X56"/>
  <c r="L56"/>
  <c r="J56"/>
  <c r="BZ55"/>
  <c r="BT55"/>
  <c r="BN55"/>
  <c r="BH55"/>
  <c r="BB55"/>
  <c r="AV55"/>
  <c r="AP55"/>
  <c r="AJ55"/>
  <c r="AD55"/>
  <c r="X55"/>
  <c r="L55"/>
  <c r="J55"/>
  <c r="BZ54"/>
  <c r="BT54"/>
  <c r="BN54"/>
  <c r="BH54"/>
  <c r="BB54"/>
  <c r="AV54"/>
  <c r="AP54"/>
  <c r="AJ54"/>
  <c r="AD54"/>
  <c r="X54"/>
  <c r="L54"/>
  <c r="J54"/>
  <c r="BZ53"/>
  <c r="BY53"/>
  <c r="BY62" s="1"/>
  <c r="BW53"/>
  <c r="BW62" s="1"/>
  <c r="BW63" s="1"/>
  <c r="BT53"/>
  <c r="BS53"/>
  <c r="BS62" s="1"/>
  <c r="BQ53"/>
  <c r="BQ62" s="1"/>
  <c r="BQ63" s="1"/>
  <c r="BN53"/>
  <c r="BM53"/>
  <c r="BM62" s="1"/>
  <c r="BK53"/>
  <c r="BK62" s="1"/>
  <c r="BK63" s="1"/>
  <c r="BH53"/>
  <c r="BG53"/>
  <c r="BG62" s="1"/>
  <c r="BE53"/>
  <c r="BE62" s="1"/>
  <c r="BE63" s="1"/>
  <c r="BB53"/>
  <c r="BA53"/>
  <c r="BA62" s="1"/>
  <c r="AY53"/>
  <c r="AY62" s="1"/>
  <c r="AY63" s="1"/>
  <c r="AV53"/>
  <c r="AU53"/>
  <c r="AU62" s="1"/>
  <c r="AS53"/>
  <c r="AS62" s="1"/>
  <c r="AS63" s="1"/>
  <c r="AP53"/>
  <c r="AO53"/>
  <c r="AO62" s="1"/>
  <c r="AM53"/>
  <c r="AM62" s="1"/>
  <c r="AM63" s="1"/>
  <c r="AJ53"/>
  <c r="AI53"/>
  <c r="AI62" s="1"/>
  <c r="AG53"/>
  <c r="AG62" s="1"/>
  <c r="AG63" s="1"/>
  <c r="AD53"/>
  <c r="AC53"/>
  <c r="AC62" s="1"/>
  <c r="AA53"/>
  <c r="AA62" s="1"/>
  <c r="AA63" s="1"/>
  <c r="X53"/>
  <c r="W53"/>
  <c r="W62" s="1"/>
  <c r="U53"/>
  <c r="U62" s="1"/>
  <c r="U63" s="1"/>
  <c r="O53"/>
  <c r="P53" s="1"/>
  <c r="Q53" s="1"/>
  <c r="R53" s="1"/>
  <c r="N53"/>
  <c r="L53"/>
  <c r="J53"/>
  <c r="BZ52"/>
  <c r="BY52"/>
  <c r="N92" i="25" s="1"/>
  <c r="BW52" i="20"/>
  <c r="BT52"/>
  <c r="BS52"/>
  <c r="M92" i="25" s="1"/>
  <c r="BQ52" i="20"/>
  <c r="BN52"/>
  <c r="BM52"/>
  <c r="BK52"/>
  <c r="BH52"/>
  <c r="BG52"/>
  <c r="K92" i="25" s="1"/>
  <c r="BE52" i="20"/>
  <c r="BB52"/>
  <c r="BA52"/>
  <c r="J92" i="25" s="1"/>
  <c r="AY52" i="20"/>
  <c r="AV52"/>
  <c r="AU52"/>
  <c r="AS52"/>
  <c r="AP52"/>
  <c r="AO52"/>
  <c r="AM52"/>
  <c r="AJ52"/>
  <c r="AI52"/>
  <c r="G92" i="25" s="1"/>
  <c r="AG52" i="20"/>
  <c r="AD52"/>
  <c r="AC52"/>
  <c r="F92" i="25" s="1"/>
  <c r="AA52" i="20"/>
  <c r="X52"/>
  <c r="W52"/>
  <c r="E92" i="25" s="1"/>
  <c r="U52" i="20"/>
  <c r="BZ51"/>
  <c r="BT51"/>
  <c r="BN51"/>
  <c r="BH51"/>
  <c r="BB51"/>
  <c r="AV51"/>
  <c r="AP51"/>
  <c r="AJ51"/>
  <c r="AD51"/>
  <c r="X51"/>
  <c r="O51"/>
  <c r="P51" s="1"/>
  <c r="Q51" s="1"/>
  <c r="R51" s="1"/>
  <c r="N51"/>
  <c r="L51"/>
  <c r="J51"/>
  <c r="BZ50"/>
  <c r="BY50"/>
  <c r="BW50"/>
  <c r="BT50"/>
  <c r="BS50"/>
  <c r="BQ50"/>
  <c r="BN50"/>
  <c r="BM50"/>
  <c r="BK50"/>
  <c r="BH50"/>
  <c r="BG50"/>
  <c r="K91" i="25" s="1"/>
  <c r="BE50" i="20"/>
  <c r="BB50"/>
  <c r="BA50"/>
  <c r="J91" i="25" s="1"/>
  <c r="AY50" i="20"/>
  <c r="AV50"/>
  <c r="AU50"/>
  <c r="I91" i="25" s="1"/>
  <c r="AS50" i="20"/>
  <c r="AP50"/>
  <c r="AO50"/>
  <c r="H91" i="25" s="1"/>
  <c r="AM50" i="20"/>
  <c r="AJ50"/>
  <c r="AI50"/>
  <c r="G91" i="25" s="1"/>
  <c r="AG50" i="20"/>
  <c r="AD50"/>
  <c r="AC50"/>
  <c r="F91" i="25" s="1"/>
  <c r="AA50" i="20"/>
  <c r="X50"/>
  <c r="W50"/>
  <c r="E91" i="25" s="1"/>
  <c r="U50" i="20"/>
  <c r="L50"/>
  <c r="J50"/>
  <c r="BZ49"/>
  <c r="BY49"/>
  <c r="BT49"/>
  <c r="BS49"/>
  <c r="BN49"/>
  <c r="BM49"/>
  <c r="BH49"/>
  <c r="BG49"/>
  <c r="BB49"/>
  <c r="BA49"/>
  <c r="AV49"/>
  <c r="AU49"/>
  <c r="AP49"/>
  <c r="AO49"/>
  <c r="AJ49"/>
  <c r="AI49"/>
  <c r="AD49"/>
  <c r="AC49"/>
  <c r="X49"/>
  <c r="W49"/>
  <c r="N49"/>
  <c r="L49"/>
  <c r="J49"/>
  <c r="BZ48"/>
  <c r="BY48"/>
  <c r="BW48"/>
  <c r="BT48"/>
  <c r="BS48"/>
  <c r="BQ48"/>
  <c r="BN48"/>
  <c r="BM48"/>
  <c r="L89" i="25" s="1"/>
  <c r="BK48" i="20"/>
  <c r="BH48"/>
  <c r="BG48"/>
  <c r="K89" i="25" s="1"/>
  <c r="BE48" i="20"/>
  <c r="BB48"/>
  <c r="BA48"/>
  <c r="J89" i="25" s="1"/>
  <c r="AY48" i="20"/>
  <c r="AV48"/>
  <c r="AU48"/>
  <c r="I89" i="25" s="1"/>
  <c r="AS48" i="20"/>
  <c r="AP48"/>
  <c r="AO48"/>
  <c r="H89" i="25" s="1"/>
  <c r="AM48" i="20"/>
  <c r="AJ48"/>
  <c r="AI48"/>
  <c r="G89" i="25" s="1"/>
  <c r="AG48" i="20"/>
  <c r="AD48"/>
  <c r="AC48"/>
  <c r="F89" i="25" s="1"/>
  <c r="AA48" i="20"/>
  <c r="X48"/>
  <c r="W48"/>
  <c r="U48"/>
  <c r="L48"/>
  <c r="J48"/>
  <c r="BZ47"/>
  <c r="BT47"/>
  <c r="BN47"/>
  <c r="BH47"/>
  <c r="BB47"/>
  <c r="AV47"/>
  <c r="AP47"/>
  <c r="AJ47"/>
  <c r="AD47"/>
  <c r="X47"/>
  <c r="O47"/>
  <c r="P47" s="1"/>
  <c r="Q47" s="1"/>
  <c r="R47" s="1"/>
  <c r="N47"/>
  <c r="L47"/>
  <c r="J47"/>
  <c r="BZ46"/>
  <c r="BY46"/>
  <c r="BW46"/>
  <c r="BT46"/>
  <c r="BS46"/>
  <c r="BQ46"/>
  <c r="BN46"/>
  <c r="BM46"/>
  <c r="BK46"/>
  <c r="BH46"/>
  <c r="BG46"/>
  <c r="BE46"/>
  <c r="BB46"/>
  <c r="BA46"/>
  <c r="AY46"/>
  <c r="AV46"/>
  <c r="AU46"/>
  <c r="AS46"/>
  <c r="AP46"/>
  <c r="AO46"/>
  <c r="AM46"/>
  <c r="AJ46"/>
  <c r="AI46"/>
  <c r="AG46"/>
  <c r="AD46"/>
  <c r="AC46"/>
  <c r="AA46"/>
  <c r="X46"/>
  <c r="W46"/>
  <c r="U46"/>
  <c r="L46"/>
  <c r="J46"/>
  <c r="BZ45"/>
  <c r="BT45"/>
  <c r="BN45"/>
  <c r="BH45"/>
  <c r="BB45"/>
  <c r="AV45"/>
  <c r="AP45"/>
  <c r="AJ45"/>
  <c r="AD45"/>
  <c r="X45"/>
  <c r="O45"/>
  <c r="P45" s="1"/>
  <c r="Q45" s="1"/>
  <c r="R45" s="1"/>
  <c r="N45"/>
  <c r="L45"/>
  <c r="J45"/>
  <c r="BZ44"/>
  <c r="BT44"/>
  <c r="BN44"/>
  <c r="BH44"/>
  <c r="BB44"/>
  <c r="AV44"/>
  <c r="AP44"/>
  <c r="AJ44"/>
  <c r="AD44"/>
  <c r="X44"/>
  <c r="P44"/>
  <c r="Q44" s="1"/>
  <c r="R44" s="1"/>
  <c r="O44"/>
  <c r="N44"/>
  <c r="J44"/>
  <c r="BX43"/>
  <c r="BY43" s="1"/>
  <c r="BW43"/>
  <c r="BR43"/>
  <c r="BS43" s="1"/>
  <c r="M84" i="25" s="1"/>
  <c r="BQ43" i="20"/>
  <c r="BL43"/>
  <c r="BM43" s="1"/>
  <c r="L84" i="25" s="1"/>
  <c r="BK43" i="20"/>
  <c r="BF43"/>
  <c r="BG43" s="1"/>
  <c r="K84" i="25" s="1"/>
  <c r="BE43" i="20"/>
  <c r="AZ43"/>
  <c r="BA43" s="1"/>
  <c r="J84" i="25" s="1"/>
  <c r="AY43" i="20"/>
  <c r="AT43"/>
  <c r="AU43" s="1"/>
  <c r="I84" i="25" s="1"/>
  <c r="AS43" i="20"/>
  <c r="AN43"/>
  <c r="AO43" s="1"/>
  <c r="H84" i="25" s="1"/>
  <c r="AM43" i="20"/>
  <c r="AH43"/>
  <c r="AI43" s="1"/>
  <c r="G84" i="25" s="1"/>
  <c r="AG43" i="20"/>
  <c r="AB43"/>
  <c r="AC43" s="1"/>
  <c r="F84" i="25" s="1"/>
  <c r="AA43" i="20"/>
  <c r="V43"/>
  <c r="W43" s="1"/>
  <c r="E84" i="25" s="1"/>
  <c r="U43" i="20"/>
  <c r="J43"/>
  <c r="BZ42"/>
  <c r="BT42"/>
  <c r="BN42"/>
  <c r="BH42"/>
  <c r="BB42"/>
  <c r="AV42"/>
  <c r="AP42"/>
  <c r="AJ42"/>
  <c r="AD42"/>
  <c r="X42"/>
  <c r="O42"/>
  <c r="P42" s="1"/>
  <c r="Q42" s="1"/>
  <c r="R42" s="1"/>
  <c r="N42"/>
  <c r="L42"/>
  <c r="J42"/>
  <c r="BZ41"/>
  <c r="BT41"/>
  <c r="BN41"/>
  <c r="BH41"/>
  <c r="BB41"/>
  <c r="AV41"/>
  <c r="AP41"/>
  <c r="AJ41"/>
  <c r="AD41"/>
  <c r="X41"/>
  <c r="O41"/>
  <c r="P41" s="1"/>
  <c r="Q41" s="1"/>
  <c r="R41" s="1"/>
  <c r="N41"/>
  <c r="L41"/>
  <c r="J41"/>
  <c r="BX40"/>
  <c r="BZ40" s="1"/>
  <c r="BW40"/>
  <c r="BR40"/>
  <c r="BT40" s="1"/>
  <c r="BQ40"/>
  <c r="BL40"/>
  <c r="BN40" s="1"/>
  <c r="BK40"/>
  <c r="BF40"/>
  <c r="BH40" s="1"/>
  <c r="BE40"/>
  <c r="AZ40"/>
  <c r="BB40" s="1"/>
  <c r="AY40"/>
  <c r="AT40"/>
  <c r="AV40" s="1"/>
  <c r="AS40"/>
  <c r="AN40"/>
  <c r="AP40" s="1"/>
  <c r="AM40"/>
  <c r="AH40"/>
  <c r="AJ40" s="1"/>
  <c r="AG40"/>
  <c r="AB40"/>
  <c r="AD40" s="1"/>
  <c r="AA40"/>
  <c r="V40"/>
  <c r="X40" s="1"/>
  <c r="U40"/>
  <c r="J40"/>
  <c r="BZ39"/>
  <c r="BT39"/>
  <c r="BN39"/>
  <c r="BH39"/>
  <c r="BB39"/>
  <c r="AV39"/>
  <c r="AP39"/>
  <c r="AJ39"/>
  <c r="AD39"/>
  <c r="X39"/>
  <c r="P39"/>
  <c r="Q39" s="1"/>
  <c r="R39" s="1"/>
  <c r="O39"/>
  <c r="N39"/>
  <c r="L39"/>
  <c r="J39"/>
  <c r="BZ38"/>
  <c r="BY38"/>
  <c r="N82" i="25" s="1"/>
  <c r="BW38" i="20"/>
  <c r="BT38"/>
  <c r="BS38"/>
  <c r="M82" i="25" s="1"/>
  <c r="BQ38" i="20"/>
  <c r="BN38"/>
  <c r="BM38"/>
  <c r="L82" i="25" s="1"/>
  <c r="BK38" i="20"/>
  <c r="BH38"/>
  <c r="BG38"/>
  <c r="K82" i="25" s="1"/>
  <c r="BE38" i="20"/>
  <c r="BB38"/>
  <c r="BA38"/>
  <c r="J82" i="25" s="1"/>
  <c r="AY38" i="20"/>
  <c r="AV38"/>
  <c r="AU38"/>
  <c r="AS38"/>
  <c r="AP38"/>
  <c r="AO38"/>
  <c r="H82" i="25" s="1"/>
  <c r="AM38" i="20"/>
  <c r="AJ38"/>
  <c r="AI38"/>
  <c r="G82" i="25" s="1"/>
  <c r="AG38" i="20"/>
  <c r="AD38"/>
  <c r="AC38"/>
  <c r="F82" i="25" s="1"/>
  <c r="AA38" i="20"/>
  <c r="X38"/>
  <c r="W38"/>
  <c r="U38"/>
  <c r="L38"/>
  <c r="J38"/>
  <c r="BZ37"/>
  <c r="BY37"/>
  <c r="N79" i="25" s="1"/>
  <c r="BW37" i="20"/>
  <c r="BT37"/>
  <c r="BS37"/>
  <c r="M79" i="25" s="1"/>
  <c r="BQ37" i="20"/>
  <c r="BN37"/>
  <c r="BM37"/>
  <c r="L79" i="25" s="1"/>
  <c r="BK37" i="20"/>
  <c r="BH37"/>
  <c r="BG37"/>
  <c r="K79" i="25" s="1"/>
  <c r="BE37" i="20"/>
  <c r="BB37"/>
  <c r="BA37"/>
  <c r="J79" i="25" s="1"/>
  <c r="AY37" i="20"/>
  <c r="AV37"/>
  <c r="AU37"/>
  <c r="I79" i="25" s="1"/>
  <c r="AS37" i="20"/>
  <c r="AP37"/>
  <c r="AO37"/>
  <c r="H79" i="25" s="1"/>
  <c r="AM37" i="20"/>
  <c r="AJ37"/>
  <c r="AI37"/>
  <c r="G79" i="25" s="1"/>
  <c r="AG37" i="20"/>
  <c r="AD37"/>
  <c r="AC37"/>
  <c r="F79" i="25" s="1"/>
  <c r="AA37" i="20"/>
  <c r="X37"/>
  <c r="W37"/>
  <c r="E79" i="25" s="1"/>
  <c r="U37" i="20"/>
  <c r="BZ36"/>
  <c r="BT36"/>
  <c r="BN36"/>
  <c r="BH36"/>
  <c r="BB36"/>
  <c r="AV36"/>
  <c r="AP36"/>
  <c r="AJ36"/>
  <c r="AD36"/>
  <c r="X36"/>
  <c r="O36"/>
  <c r="P36" s="1"/>
  <c r="Q36" s="1"/>
  <c r="R36" s="1"/>
  <c r="N36"/>
  <c r="L36"/>
  <c r="J36"/>
  <c r="BZ35"/>
  <c r="BY35"/>
  <c r="BW35"/>
  <c r="BT35"/>
  <c r="BS35"/>
  <c r="BQ35"/>
  <c r="BN35"/>
  <c r="BM35"/>
  <c r="L78" i="25" s="1"/>
  <c r="BK35" i="20"/>
  <c r="BH35"/>
  <c r="BG35"/>
  <c r="K78" i="25" s="1"/>
  <c r="BE35" i="20"/>
  <c r="BB35"/>
  <c r="BA35"/>
  <c r="J78" i="25" s="1"/>
  <c r="AY35" i="20"/>
  <c r="AV35"/>
  <c r="AU35"/>
  <c r="I78" i="25" s="1"/>
  <c r="AS35" i="20"/>
  <c r="AP35"/>
  <c r="AO35"/>
  <c r="H78" i="25" s="1"/>
  <c r="AM35" i="20"/>
  <c r="AJ35"/>
  <c r="AI35"/>
  <c r="G78" i="25" s="1"/>
  <c r="AG35" i="20"/>
  <c r="AD35"/>
  <c r="AC35"/>
  <c r="F78" i="25" s="1"/>
  <c r="AA35" i="20"/>
  <c r="X35"/>
  <c r="W35"/>
  <c r="E78" i="25" s="1"/>
  <c r="U35" i="20"/>
  <c r="L35"/>
  <c r="J35"/>
  <c r="BZ34"/>
  <c r="BT34"/>
  <c r="BN34"/>
  <c r="BH34"/>
  <c r="BB34"/>
  <c r="AV34"/>
  <c r="AP34"/>
  <c r="AJ34"/>
  <c r="AD34"/>
  <c r="X34"/>
  <c r="O34"/>
  <c r="P34" s="1"/>
  <c r="Q34" s="1"/>
  <c r="R34" s="1"/>
  <c r="N34"/>
  <c r="L34"/>
  <c r="J34"/>
  <c r="BZ33"/>
  <c r="BT33"/>
  <c r="BN33"/>
  <c r="BH33"/>
  <c r="BB33"/>
  <c r="AV33"/>
  <c r="AP33"/>
  <c r="AJ33"/>
  <c r="AD33"/>
  <c r="X33"/>
  <c r="O33"/>
  <c r="P33" s="1"/>
  <c r="Q33" s="1"/>
  <c r="R33" s="1"/>
  <c r="N33"/>
  <c r="L33"/>
  <c r="J33"/>
  <c r="BX32"/>
  <c r="BZ32" s="1"/>
  <c r="BW32"/>
  <c r="BR32"/>
  <c r="BT32" s="1"/>
  <c r="BL32"/>
  <c r="BN32" s="1"/>
  <c r="BF32"/>
  <c r="BH32" s="1"/>
  <c r="BE32"/>
  <c r="AZ32"/>
  <c r="BB32" s="1"/>
  <c r="AY32"/>
  <c r="AT32"/>
  <c r="AV32" s="1"/>
  <c r="AS32"/>
  <c r="AN32"/>
  <c r="AP32" s="1"/>
  <c r="AH32"/>
  <c r="AJ32" s="1"/>
  <c r="AB32"/>
  <c r="AD32" s="1"/>
  <c r="AA32"/>
  <c r="V32"/>
  <c r="X32" s="1"/>
  <c r="U32"/>
  <c r="J32"/>
  <c r="BZ31"/>
  <c r="BT31"/>
  <c r="BN31"/>
  <c r="BH31"/>
  <c r="BB31"/>
  <c r="AV31"/>
  <c r="AP31"/>
  <c r="AJ31"/>
  <c r="AD31"/>
  <c r="X31"/>
  <c r="P31"/>
  <c r="Q31" s="1"/>
  <c r="R31" s="1"/>
  <c r="O31"/>
  <c r="N31"/>
  <c r="L31"/>
  <c r="J31"/>
  <c r="BZ30"/>
  <c r="BT30"/>
  <c r="BN30"/>
  <c r="BH30"/>
  <c r="BB30"/>
  <c r="AV30"/>
  <c r="AP30"/>
  <c r="AJ30"/>
  <c r="AD30"/>
  <c r="X30"/>
  <c r="O30"/>
  <c r="P30" s="1"/>
  <c r="Q30" s="1"/>
  <c r="R30" s="1"/>
  <c r="N30"/>
  <c r="L30"/>
  <c r="J30"/>
  <c r="BZ29"/>
  <c r="BT29"/>
  <c r="BN29"/>
  <c r="BH29"/>
  <c r="BB29"/>
  <c r="AV29"/>
  <c r="AP29"/>
  <c r="AJ29"/>
  <c r="AD29"/>
  <c r="X29"/>
  <c r="O29"/>
  <c r="P29" s="1"/>
  <c r="Q29" s="1"/>
  <c r="R29" s="1"/>
  <c r="N29"/>
  <c r="L29"/>
  <c r="J29"/>
  <c r="BX28"/>
  <c r="BZ28" s="1"/>
  <c r="BW28"/>
  <c r="BR28"/>
  <c r="BT28" s="1"/>
  <c r="BQ28"/>
  <c r="BL28"/>
  <c r="BN28" s="1"/>
  <c r="BK28"/>
  <c r="BF28"/>
  <c r="BH28" s="1"/>
  <c r="BE28"/>
  <c r="AZ28"/>
  <c r="BB28" s="1"/>
  <c r="AY28"/>
  <c r="AT28"/>
  <c r="AV28" s="1"/>
  <c r="AS28"/>
  <c r="AN28"/>
  <c r="AP28" s="1"/>
  <c r="AM28"/>
  <c r="AI28"/>
  <c r="G74" i="25" s="1"/>
  <c r="AH28" i="20"/>
  <c r="AJ28" s="1"/>
  <c r="AG28"/>
  <c r="AB28"/>
  <c r="AD28" s="1"/>
  <c r="AA28"/>
  <c r="V28"/>
  <c r="X28" s="1"/>
  <c r="U28"/>
  <c r="J28"/>
  <c r="BZ27"/>
  <c r="BT27"/>
  <c r="BN27"/>
  <c r="BH27"/>
  <c r="BB27"/>
  <c r="AV27"/>
  <c r="AP27"/>
  <c r="AJ27"/>
  <c r="AD27"/>
  <c r="X27"/>
  <c r="O27"/>
  <c r="P27" s="1"/>
  <c r="Q27" s="1"/>
  <c r="R27" s="1"/>
  <c r="N27"/>
  <c r="L27"/>
  <c r="J27"/>
  <c r="BZ26"/>
  <c r="BT26"/>
  <c r="BN26"/>
  <c r="BH26"/>
  <c r="BB26"/>
  <c r="AV26"/>
  <c r="AP26"/>
  <c r="AJ26"/>
  <c r="AD26"/>
  <c r="X26"/>
  <c r="O26"/>
  <c r="P26" s="1"/>
  <c r="Q26" s="1"/>
  <c r="R26" s="1"/>
  <c r="N26"/>
  <c r="L26"/>
  <c r="J26"/>
  <c r="BZ25"/>
  <c r="BT25"/>
  <c r="BN25"/>
  <c r="BH25"/>
  <c r="BB25"/>
  <c r="AV25"/>
  <c r="AP25"/>
  <c r="AJ25"/>
  <c r="AD25"/>
  <c r="X25"/>
  <c r="O25"/>
  <c r="P25" s="1"/>
  <c r="Q25" s="1"/>
  <c r="R25" s="1"/>
  <c r="N25"/>
  <c r="L25"/>
  <c r="J25"/>
  <c r="BZ24"/>
  <c r="BT24"/>
  <c r="BN24"/>
  <c r="BH24"/>
  <c r="BB24"/>
  <c r="AV24"/>
  <c r="AP24"/>
  <c r="AJ24"/>
  <c r="AD24"/>
  <c r="X24"/>
  <c r="O24"/>
  <c r="P24" s="1"/>
  <c r="Q24" s="1"/>
  <c r="R24" s="1"/>
  <c r="N24"/>
  <c r="L24"/>
  <c r="J24"/>
  <c r="BZ23"/>
  <c r="BX23"/>
  <c r="BY23" s="1"/>
  <c r="BW23"/>
  <c r="BR23"/>
  <c r="BS23" s="1"/>
  <c r="M73" i="25" s="1"/>
  <c r="BQ23" i="20"/>
  <c r="BL23"/>
  <c r="BM23" s="1"/>
  <c r="L73" i="25" s="1"/>
  <c r="BK23" i="20"/>
  <c r="BF23"/>
  <c r="BG23" s="1"/>
  <c r="K73" i="25" s="1"/>
  <c r="BE23" i="20"/>
  <c r="AZ23"/>
  <c r="BA23" s="1"/>
  <c r="J73" i="25" s="1"/>
  <c r="AY23" i="20"/>
  <c r="AT23"/>
  <c r="AU23" s="1"/>
  <c r="I73" i="25" s="1"/>
  <c r="AS23" i="20"/>
  <c r="AN23"/>
  <c r="AO23" s="1"/>
  <c r="H73" i="25" s="1"/>
  <c r="AM23" i="20"/>
  <c r="AH23"/>
  <c r="AI23" s="1"/>
  <c r="G73" i="25" s="1"/>
  <c r="AG23" i="20"/>
  <c r="AB23"/>
  <c r="AC23" s="1"/>
  <c r="F73" i="25" s="1"/>
  <c r="AA23" i="20"/>
  <c r="V23"/>
  <c r="W23" s="1"/>
  <c r="E73" i="25" s="1"/>
  <c r="U23" i="20"/>
  <c r="J23"/>
  <c r="BZ22"/>
  <c r="BY22"/>
  <c r="N72" i="25" s="1"/>
  <c r="BW22" i="20"/>
  <c r="BT22"/>
  <c r="BS22"/>
  <c r="M72" i="25" s="1"/>
  <c r="BQ22" i="20"/>
  <c r="BN22"/>
  <c r="BM22"/>
  <c r="L72" i="25" s="1"/>
  <c r="BK22" i="20"/>
  <c r="BH22"/>
  <c r="BG22"/>
  <c r="K72" i="25" s="1"/>
  <c r="BE22" i="20"/>
  <c r="BB22"/>
  <c r="BA22"/>
  <c r="J72" i="25" s="1"/>
  <c r="AY22" i="20"/>
  <c r="AV22"/>
  <c r="AU22"/>
  <c r="I72" i="25" s="1"/>
  <c r="AS22" i="20"/>
  <c r="AP22"/>
  <c r="AO22"/>
  <c r="AM22"/>
  <c r="AJ22"/>
  <c r="AI22"/>
  <c r="G72" i="25" s="1"/>
  <c r="AG22" i="20"/>
  <c r="AD22"/>
  <c r="AC22"/>
  <c r="F72" i="25" s="1"/>
  <c r="AA22" i="20"/>
  <c r="X22"/>
  <c r="W22"/>
  <c r="E72" i="25" s="1"/>
  <c r="U22" i="20"/>
  <c r="BZ21"/>
  <c r="BT21"/>
  <c r="BN21"/>
  <c r="BH21"/>
  <c r="BB21"/>
  <c r="AV21"/>
  <c r="AP21"/>
  <c r="AJ21"/>
  <c r="AD21"/>
  <c r="X21"/>
  <c r="O21"/>
  <c r="P21" s="1"/>
  <c r="Q21" s="1"/>
  <c r="R21" s="1"/>
  <c r="N21"/>
  <c r="L21"/>
  <c r="J21"/>
  <c r="BZ20"/>
  <c r="BY20"/>
  <c r="N71" i="25" s="1"/>
  <c r="BW20" i="20"/>
  <c r="BT20"/>
  <c r="BS20"/>
  <c r="M71" i="25" s="1"/>
  <c r="BQ20" i="20"/>
  <c r="BN20"/>
  <c r="BM20"/>
  <c r="L71" i="25" s="1"/>
  <c r="BK20" i="20"/>
  <c r="BH20"/>
  <c r="BG20"/>
  <c r="K71" i="25" s="1"/>
  <c r="BE20" i="20"/>
  <c r="BB20"/>
  <c r="BA20"/>
  <c r="J71" i="25" s="1"/>
  <c r="AY20" i="20"/>
  <c r="AV20"/>
  <c r="AU20"/>
  <c r="I71" i="25" s="1"/>
  <c r="AS20" i="20"/>
  <c r="AP20"/>
  <c r="AO20"/>
  <c r="H71" i="25" s="1"/>
  <c r="AM20" i="20"/>
  <c r="AJ20"/>
  <c r="AI20"/>
  <c r="AG20"/>
  <c r="AD20"/>
  <c r="AC20"/>
  <c r="F71" i="25" s="1"/>
  <c r="AA20" i="20"/>
  <c r="X20"/>
  <c r="W20"/>
  <c r="E71" i="25" s="1"/>
  <c r="U20" i="20"/>
  <c r="L20"/>
  <c r="J20"/>
  <c r="BZ19"/>
  <c r="BT19"/>
  <c r="BN19"/>
  <c r="BH19"/>
  <c r="BB19"/>
  <c r="AV19"/>
  <c r="AP19"/>
  <c r="AJ19"/>
  <c r="AD19"/>
  <c r="X19"/>
  <c r="O19"/>
  <c r="P19" s="1"/>
  <c r="Q19" s="1"/>
  <c r="R19" s="1"/>
  <c r="N19"/>
  <c r="BZ18"/>
  <c r="BT18"/>
  <c r="BN18"/>
  <c r="BH18"/>
  <c r="BB18"/>
  <c r="AV18"/>
  <c r="AP18"/>
  <c r="AJ18"/>
  <c r="AD18"/>
  <c r="X18"/>
  <c r="O18"/>
  <c r="P18" s="1"/>
  <c r="Q18" s="1"/>
  <c r="R18" s="1"/>
  <c r="N18"/>
  <c r="L18"/>
  <c r="J18"/>
  <c r="BZ17"/>
  <c r="BY17"/>
  <c r="N68" i="25" s="1"/>
  <c r="BT17" i="20"/>
  <c r="BS17"/>
  <c r="M68" i="25" s="1"/>
  <c r="BN17" i="20"/>
  <c r="BM17"/>
  <c r="L68" i="25" s="1"/>
  <c r="BH17" i="20"/>
  <c r="BG17"/>
  <c r="K68" i="25" s="1"/>
  <c r="BB17" i="20"/>
  <c r="BA17"/>
  <c r="J68" i="25" s="1"/>
  <c r="AV17" i="20"/>
  <c r="AU17"/>
  <c r="I68" i="25" s="1"/>
  <c r="AP17" i="20"/>
  <c r="AO17"/>
  <c r="H68" i="25" s="1"/>
  <c r="AJ17" i="20"/>
  <c r="AI17"/>
  <c r="G68" i="25" s="1"/>
  <c r="AG17" i="20"/>
  <c r="AD17"/>
  <c r="AC17"/>
  <c r="F68" i="25" s="1"/>
  <c r="X17" i="20"/>
  <c r="W17"/>
  <c r="E68" i="25" s="1"/>
  <c r="U17" i="20"/>
  <c r="L17"/>
  <c r="J17"/>
  <c r="BZ16"/>
  <c r="BT16"/>
  <c r="BN16"/>
  <c r="BH16"/>
  <c r="BB16"/>
  <c r="AV16"/>
  <c r="AP16"/>
  <c r="AJ16"/>
  <c r="AD16"/>
  <c r="X16"/>
  <c r="M16"/>
  <c r="K16"/>
  <c r="BZ15"/>
  <c r="BT15"/>
  <c r="BN15"/>
  <c r="BH15"/>
  <c r="BB15"/>
  <c r="AV15"/>
  <c r="AP15"/>
  <c r="AJ15"/>
  <c r="AD15"/>
  <c r="X15"/>
  <c r="M15"/>
  <c r="O15" s="1"/>
  <c r="P15" s="1"/>
  <c r="Q15" s="1"/>
  <c r="R15" s="1"/>
  <c r="K15"/>
  <c r="BZ14"/>
  <c r="BT14"/>
  <c r="BN14"/>
  <c r="BH14"/>
  <c r="BB14"/>
  <c r="AV14"/>
  <c r="AP14"/>
  <c r="AJ14"/>
  <c r="AD14"/>
  <c r="X14"/>
  <c r="O14"/>
  <c r="P14" s="1"/>
  <c r="Q14" s="1"/>
  <c r="R14" s="1"/>
  <c r="N14"/>
  <c r="L14"/>
  <c r="J14"/>
  <c r="BZ13"/>
  <c r="BT13"/>
  <c r="BN13"/>
  <c r="BH13"/>
  <c r="BB13"/>
  <c r="AV13"/>
  <c r="AP13"/>
  <c r="AJ13"/>
  <c r="AD13"/>
  <c r="X13"/>
  <c r="O13"/>
  <c r="P13" s="1"/>
  <c r="Q13" s="1"/>
  <c r="R13" s="1"/>
  <c r="N13"/>
  <c r="L13"/>
  <c r="J13"/>
  <c r="BX12"/>
  <c r="BZ12" s="1"/>
  <c r="BW12"/>
  <c r="BR12"/>
  <c r="BT12" s="1"/>
  <c r="BQ12"/>
  <c r="BL12"/>
  <c r="BN12" s="1"/>
  <c r="BK12"/>
  <c r="BF12"/>
  <c r="BH12" s="1"/>
  <c r="BE12"/>
  <c r="AZ12"/>
  <c r="BB12" s="1"/>
  <c r="AY12"/>
  <c r="AT12"/>
  <c r="AV12" s="1"/>
  <c r="AS12"/>
  <c r="AN12"/>
  <c r="AP12" s="1"/>
  <c r="AM12"/>
  <c r="AH12"/>
  <c r="AJ12" s="1"/>
  <c r="AG12"/>
  <c r="AB12"/>
  <c r="AD12" s="1"/>
  <c r="AA12"/>
  <c r="V12"/>
  <c r="X12" s="1"/>
  <c r="U12"/>
  <c r="J12"/>
  <c r="BZ11"/>
  <c r="BT11"/>
  <c r="BN11"/>
  <c r="BH11"/>
  <c r="BB11"/>
  <c r="AV11"/>
  <c r="AP11"/>
  <c r="AJ11"/>
  <c r="AD11"/>
  <c r="X11"/>
  <c r="O11"/>
  <c r="P11" s="1"/>
  <c r="Q11" s="1"/>
  <c r="R11" s="1"/>
  <c r="N11"/>
  <c r="L11"/>
  <c r="J11"/>
  <c r="BZ10"/>
  <c r="BT10"/>
  <c r="BN10"/>
  <c r="BH10"/>
  <c r="BB10"/>
  <c r="AV10"/>
  <c r="AP10"/>
  <c r="AJ10"/>
  <c r="AD10"/>
  <c r="X10"/>
  <c r="O10"/>
  <c r="P10" s="1"/>
  <c r="Q10" s="1"/>
  <c r="R10" s="1"/>
  <c r="N10"/>
  <c r="L10"/>
  <c r="J10"/>
  <c r="BX9"/>
  <c r="BY9" s="1"/>
  <c r="BW9"/>
  <c r="BR9"/>
  <c r="BS9" s="1"/>
  <c r="M64" i="25" s="1"/>
  <c r="BQ9" i="20"/>
  <c r="BL9"/>
  <c r="BM9" s="1"/>
  <c r="L64" i="25" s="1"/>
  <c r="BK9" i="20"/>
  <c r="BF9"/>
  <c r="BG9" s="1"/>
  <c r="K64" i="25" s="1"/>
  <c r="BE9" i="20"/>
  <c r="AZ9"/>
  <c r="BA9" s="1"/>
  <c r="J64" i="25" s="1"/>
  <c r="AY9" i="20"/>
  <c r="AT9"/>
  <c r="AU9" s="1"/>
  <c r="I64" i="25" s="1"/>
  <c r="AS9" i="20"/>
  <c r="AN9"/>
  <c r="AO9" s="1"/>
  <c r="H64" i="25" s="1"/>
  <c r="AM9" i="20"/>
  <c r="AH9"/>
  <c r="AI9" s="1"/>
  <c r="G64" i="25" s="1"/>
  <c r="AG9" i="20"/>
  <c r="AB9"/>
  <c r="AC9" s="1"/>
  <c r="F64" i="25" s="1"/>
  <c r="AA9" i="20"/>
  <c r="V9"/>
  <c r="W9" s="1"/>
  <c r="E64" i="25" s="1"/>
  <c r="U9" i="20"/>
  <c r="J9"/>
  <c r="BZ8"/>
  <c r="BT8"/>
  <c r="BN8"/>
  <c r="BH8"/>
  <c r="BB8"/>
  <c r="AV8"/>
  <c r="AP8"/>
  <c r="AJ8"/>
  <c r="AD8"/>
  <c r="X8"/>
  <c r="O8"/>
  <c r="P8" s="1"/>
  <c r="Q8" s="1"/>
  <c r="R8" s="1"/>
  <c r="N8"/>
  <c r="L8"/>
  <c r="J8"/>
  <c r="BZ7"/>
  <c r="BT7"/>
  <c r="BN7"/>
  <c r="BH7"/>
  <c r="BB7"/>
  <c r="AV7"/>
  <c r="AP7"/>
  <c r="AJ7"/>
  <c r="AD7"/>
  <c r="X7"/>
  <c r="O7"/>
  <c r="P7" s="1"/>
  <c r="Q7" s="1"/>
  <c r="R7" s="1"/>
  <c r="N7"/>
  <c r="L7"/>
  <c r="J7"/>
  <c r="BZ6"/>
  <c r="BT6"/>
  <c r="BN6"/>
  <c r="BH6"/>
  <c r="BB6"/>
  <c r="AV6"/>
  <c r="AP6"/>
  <c r="AJ6"/>
  <c r="AD6"/>
  <c r="X6"/>
  <c r="O6"/>
  <c r="P6" s="1"/>
  <c r="Q6" s="1"/>
  <c r="R6" s="1"/>
  <c r="N6"/>
  <c r="L6"/>
  <c r="J6"/>
  <c r="BX5"/>
  <c r="BY5" s="1"/>
  <c r="BW5"/>
  <c r="BR5"/>
  <c r="BS5" s="1"/>
  <c r="M63" i="25" s="1"/>
  <c r="BQ5" i="20"/>
  <c r="BL5"/>
  <c r="BM5" s="1"/>
  <c r="L63" i="25" s="1"/>
  <c r="BK5" i="20"/>
  <c r="BF5"/>
  <c r="BG5" s="1"/>
  <c r="K63" i="25" s="1"/>
  <c r="BE5" i="20"/>
  <c r="AZ5"/>
  <c r="BA5" s="1"/>
  <c r="J63" i="25" s="1"/>
  <c r="AY5" i="20"/>
  <c r="AT5"/>
  <c r="AU5" s="1"/>
  <c r="I63" i="25" s="1"/>
  <c r="AS5" i="20"/>
  <c r="AN5"/>
  <c r="AO5" s="1"/>
  <c r="H63" i="25" s="1"/>
  <c r="AM5" i="20"/>
  <c r="AH5"/>
  <c r="AI5" s="1"/>
  <c r="G63" i="25" s="1"/>
  <c r="AG5" i="20"/>
  <c r="AB5"/>
  <c r="AC5" s="1"/>
  <c r="F63" i="25" s="1"/>
  <c r="AA5" i="20"/>
  <c r="V5"/>
  <c r="W5" s="1"/>
  <c r="E63" i="25" s="1"/>
  <c r="U5" i="20"/>
  <c r="J5"/>
  <c r="BZ4"/>
  <c r="BY4"/>
  <c r="BW4"/>
  <c r="BT4"/>
  <c r="BS4"/>
  <c r="BQ4"/>
  <c r="BN4"/>
  <c r="BM4"/>
  <c r="BK4"/>
  <c r="BH4"/>
  <c r="BG4"/>
  <c r="BE4"/>
  <c r="BB4"/>
  <c r="BA4"/>
  <c r="AY4"/>
  <c r="AV4"/>
  <c r="AU4"/>
  <c r="AS4"/>
  <c r="AP4"/>
  <c r="AO4"/>
  <c r="AM4"/>
  <c r="AJ4"/>
  <c r="AI4"/>
  <c r="AG4"/>
  <c r="AD4"/>
  <c r="AC4"/>
  <c r="AA4"/>
  <c r="X4"/>
  <c r="W4"/>
  <c r="U4"/>
  <c r="L4"/>
  <c r="J4"/>
  <c r="AA3"/>
  <c r="AG3" s="1"/>
  <c r="AM3" s="1"/>
  <c r="AS3" s="1"/>
  <c r="AY3" s="1"/>
  <c r="BE3" s="1"/>
  <c r="BK3" s="1"/>
  <c r="BQ3" s="1"/>
  <c r="BW3" s="1"/>
  <c r="W3"/>
  <c r="AC3" s="1"/>
  <c r="AI3" s="1"/>
  <c r="AO3" s="1"/>
  <c r="AU3" s="1"/>
  <c r="BA3" s="1"/>
  <c r="BG3" s="1"/>
  <c r="BM3" s="1"/>
  <c r="BS3" s="1"/>
  <c r="BY3" s="1"/>
  <c r="V3"/>
  <c r="AB3" s="1"/>
  <c r="AH3" s="1"/>
  <c r="AN3" s="1"/>
  <c r="AT3" s="1"/>
  <c r="AZ3" s="1"/>
  <c r="BF3" s="1"/>
  <c r="BL3" s="1"/>
  <c r="BR3" s="1"/>
  <c r="BX3" s="1"/>
  <c r="U3"/>
  <c r="T3"/>
  <c r="Z3" s="1"/>
  <c r="AF3" s="1"/>
  <c r="AL3" s="1"/>
  <c r="AR3" s="1"/>
  <c r="AX3" s="1"/>
  <c r="BD3" s="1"/>
  <c r="BJ3" s="1"/>
  <c r="BP3" s="1"/>
  <c r="BV3" s="1"/>
  <c r="C12" i="23"/>
  <c r="C10"/>
  <c r="C8"/>
  <c r="E7"/>
  <c r="D7"/>
  <c r="C7"/>
  <c r="B7"/>
  <c r="E6"/>
  <c r="D6"/>
  <c r="B6"/>
  <c r="C5"/>
  <c r="C4"/>
  <c r="C3"/>
  <c r="B3"/>
  <c r="F3" s="1"/>
  <c r="O48" i="19"/>
  <c r="P48" s="1"/>
  <c r="Q48" s="1"/>
  <c r="R48" s="1"/>
  <c r="O47"/>
  <c r="P47" s="1"/>
  <c r="Q47" s="1"/>
  <c r="R47" s="1"/>
  <c r="BW46"/>
  <c r="BW47" s="1"/>
  <c r="BQ46"/>
  <c r="BQ47" s="1"/>
  <c r="BK46"/>
  <c r="BK47" s="1"/>
  <c r="BE46"/>
  <c r="BE47" s="1"/>
  <c r="AY46"/>
  <c r="AY47" s="1"/>
  <c r="AS46"/>
  <c r="AS47" s="1"/>
  <c r="AM46"/>
  <c r="AM47" s="1"/>
  <c r="AG46"/>
  <c r="AG47" s="1"/>
  <c r="AA46"/>
  <c r="AA47" s="1"/>
  <c r="U46"/>
  <c r="U47" s="1"/>
  <c r="O46"/>
  <c r="P46" s="1"/>
  <c r="Q46" s="1"/>
  <c r="R46" s="1"/>
  <c r="BZ40"/>
  <c r="BT40"/>
  <c r="BN40"/>
  <c r="BH40"/>
  <c r="BB40"/>
  <c r="AV40"/>
  <c r="AP40"/>
  <c r="AJ40"/>
  <c r="AD40"/>
  <c r="X40"/>
  <c r="P40"/>
  <c r="Q40" s="1"/>
  <c r="R40" s="1"/>
  <c r="L40"/>
  <c r="J40"/>
  <c r="BZ39"/>
  <c r="BT39"/>
  <c r="BN39"/>
  <c r="BH39"/>
  <c r="BB39"/>
  <c r="AV39"/>
  <c r="AP39"/>
  <c r="AJ39"/>
  <c r="AD39"/>
  <c r="X39"/>
  <c r="P39"/>
  <c r="Q39" s="1"/>
  <c r="R39" s="1"/>
  <c r="L39"/>
  <c r="J39"/>
  <c r="BZ38"/>
  <c r="BY38"/>
  <c r="BW38"/>
  <c r="BT38"/>
  <c r="BS38"/>
  <c r="BQ38"/>
  <c r="BN38"/>
  <c r="BM38"/>
  <c r="BK38"/>
  <c r="BH38"/>
  <c r="BG38"/>
  <c r="BE38"/>
  <c r="BB38"/>
  <c r="BA38"/>
  <c r="AY38"/>
  <c r="AV38"/>
  <c r="AU38"/>
  <c r="AS38"/>
  <c r="AP38"/>
  <c r="AO38"/>
  <c r="AM38"/>
  <c r="AJ38"/>
  <c r="AI38"/>
  <c r="AG38"/>
  <c r="AD38"/>
  <c r="AC38"/>
  <c r="AA38"/>
  <c r="X38"/>
  <c r="U38"/>
  <c r="L38"/>
  <c r="J38"/>
  <c r="BZ37"/>
  <c r="BY37"/>
  <c r="BT37"/>
  <c r="BS37"/>
  <c r="M60" i="25" s="1"/>
  <c r="BN37" i="19"/>
  <c r="BM37"/>
  <c r="L60" i="25" s="1"/>
  <c r="BH37" i="19"/>
  <c r="BG37"/>
  <c r="K60" i="25" s="1"/>
  <c r="BB37" i="19"/>
  <c r="BA37"/>
  <c r="J60" i="25" s="1"/>
  <c r="AV37" i="19"/>
  <c r="AU37"/>
  <c r="I60" i="25" s="1"/>
  <c r="AP37" i="19"/>
  <c r="AO37"/>
  <c r="H60" i="25" s="1"/>
  <c r="AJ37" i="19"/>
  <c r="AI37"/>
  <c r="G60" i="25" s="1"/>
  <c r="AD37" i="19"/>
  <c r="AC37"/>
  <c r="F60" i="25" s="1"/>
  <c r="X37" i="19"/>
  <c r="W37"/>
  <c r="E60" i="25" s="1"/>
  <c r="K37" i="19"/>
  <c r="BZ36"/>
  <c r="BY36"/>
  <c r="N59" i="25" s="1"/>
  <c r="BT36" i="19"/>
  <c r="BS36"/>
  <c r="M59" i="25" s="1"/>
  <c r="BN36" i="19"/>
  <c r="BM36"/>
  <c r="L59" i="25" s="1"/>
  <c r="BH36" i="19"/>
  <c r="BG36"/>
  <c r="K59" i="25" s="1"/>
  <c r="BB36" i="19"/>
  <c r="BA36"/>
  <c r="J59" i="25" s="1"/>
  <c r="AV36" i="19"/>
  <c r="AU36"/>
  <c r="I59" i="25" s="1"/>
  <c r="AP36" i="19"/>
  <c r="AO36"/>
  <c r="H59" i="25" s="1"/>
  <c r="AJ36" i="19"/>
  <c r="AI36"/>
  <c r="G59" i="25" s="1"/>
  <c r="AD36" i="19"/>
  <c r="AC36"/>
  <c r="F59" i="25" s="1"/>
  <c r="X36" i="19"/>
  <c r="W36"/>
  <c r="E59" i="25" s="1"/>
  <c r="K36" i="19"/>
  <c r="BZ35"/>
  <c r="BT35"/>
  <c r="BN35"/>
  <c r="BH35"/>
  <c r="BB35"/>
  <c r="AV35"/>
  <c r="AP35"/>
  <c r="AJ35"/>
  <c r="AD35"/>
  <c r="X35"/>
  <c r="O35"/>
  <c r="P35" s="1"/>
  <c r="Q35" s="1"/>
  <c r="R35" s="1"/>
  <c r="N35"/>
  <c r="L35"/>
  <c r="J35"/>
  <c r="BZ34"/>
  <c r="BY34"/>
  <c r="N58" i="25" s="1"/>
  <c r="BW34" i="19"/>
  <c r="BT34"/>
  <c r="BS34"/>
  <c r="BQ34"/>
  <c r="BN34"/>
  <c r="BM34"/>
  <c r="L58" i="25" s="1"/>
  <c r="BK34" i="19"/>
  <c r="BH34"/>
  <c r="BG34"/>
  <c r="K58" i="25" s="1"/>
  <c r="BE34" i="19"/>
  <c r="BB34"/>
  <c r="BA34"/>
  <c r="J58" i="25" s="1"/>
  <c r="AY34" i="19"/>
  <c r="AV34"/>
  <c r="AU34"/>
  <c r="I58" i="25" s="1"/>
  <c r="AS34" i="19"/>
  <c r="AP34"/>
  <c r="AO34"/>
  <c r="H58" i="25" s="1"/>
  <c r="AM34" i="19"/>
  <c r="AJ34"/>
  <c r="AI34"/>
  <c r="G58" i="25" s="1"/>
  <c r="AG34" i="19"/>
  <c r="AD34"/>
  <c r="AC34"/>
  <c r="F58" i="25" s="1"/>
  <c r="AA34" i="19"/>
  <c r="X34"/>
  <c r="W34"/>
  <c r="E58" i="25" s="1"/>
  <c r="U34" i="19"/>
  <c r="L34"/>
  <c r="J34"/>
  <c r="BZ33"/>
  <c r="BT33"/>
  <c r="BN33"/>
  <c r="BH33"/>
  <c r="BB33"/>
  <c r="AV33"/>
  <c r="AP33"/>
  <c r="AJ33"/>
  <c r="AD33"/>
  <c r="X33"/>
  <c r="N33"/>
  <c r="L33"/>
  <c r="J33"/>
  <c r="BZ32"/>
  <c r="BT32"/>
  <c r="BN32"/>
  <c r="BH32"/>
  <c r="BB32"/>
  <c r="AV32"/>
  <c r="AP32"/>
  <c r="AJ32"/>
  <c r="AD32"/>
  <c r="X32"/>
  <c r="O32"/>
  <c r="P32" s="1"/>
  <c r="Q32" s="1"/>
  <c r="R32" s="1"/>
  <c r="N32"/>
  <c r="L32"/>
  <c r="J32"/>
  <c r="BZ31"/>
  <c r="BY31"/>
  <c r="N56" i="25" s="1"/>
  <c r="BW31" i="19"/>
  <c r="BT31"/>
  <c r="BS31"/>
  <c r="M56" i="25" s="1"/>
  <c r="BQ31" i="19"/>
  <c r="BN31"/>
  <c r="BM31"/>
  <c r="L56" i="25" s="1"/>
  <c r="BK31" i="19"/>
  <c r="BH31"/>
  <c r="BG31"/>
  <c r="K56" i="25" s="1"/>
  <c r="BE31" i="19"/>
  <c r="BB31"/>
  <c r="BA31"/>
  <c r="AY31"/>
  <c r="AV31"/>
  <c r="AU31"/>
  <c r="I56" i="25" s="1"/>
  <c r="AS31" i="19"/>
  <c r="AP31"/>
  <c r="AO31"/>
  <c r="H56" i="25" s="1"/>
  <c r="AM31" i="19"/>
  <c r="AJ31"/>
  <c r="AI31"/>
  <c r="G56" i="25" s="1"/>
  <c r="AG31" i="19"/>
  <c r="AD31"/>
  <c r="AC31"/>
  <c r="F56" i="25" s="1"/>
  <c r="AA31" i="19"/>
  <c r="X31"/>
  <c r="W31"/>
  <c r="E56" i="25" s="1"/>
  <c r="U31" i="19"/>
  <c r="L31"/>
  <c r="J31"/>
  <c r="BZ30"/>
  <c r="BT30"/>
  <c r="BN30"/>
  <c r="BH30"/>
  <c r="BB30"/>
  <c r="AV30"/>
  <c r="AP30"/>
  <c r="AJ30"/>
  <c r="AD30"/>
  <c r="X30"/>
  <c r="O30"/>
  <c r="P30" s="1"/>
  <c r="Q30" s="1"/>
  <c r="R30" s="1"/>
  <c r="N30"/>
  <c r="L30"/>
  <c r="J30"/>
  <c r="BZ29"/>
  <c r="BY29"/>
  <c r="BW29"/>
  <c r="BT29"/>
  <c r="BS29"/>
  <c r="M53" i="25" s="1"/>
  <c r="BQ29" i="19"/>
  <c r="BN29"/>
  <c r="BM29"/>
  <c r="L53" i="25" s="1"/>
  <c r="BK29" i="19"/>
  <c r="BH29"/>
  <c r="BG29"/>
  <c r="K53" i="25" s="1"/>
  <c r="BE29" i="19"/>
  <c r="BB29"/>
  <c r="BA29"/>
  <c r="J53" i="25" s="1"/>
  <c r="AY29" i="19"/>
  <c r="AV29"/>
  <c r="AU29"/>
  <c r="AS29"/>
  <c r="AP29"/>
  <c r="AO29"/>
  <c r="H53" i="25" s="1"/>
  <c r="AM29" i="19"/>
  <c r="AJ29"/>
  <c r="AI29"/>
  <c r="G53" i="25" s="1"/>
  <c r="AG29" i="19"/>
  <c r="AD29"/>
  <c r="AC29"/>
  <c r="F53" i="25" s="1"/>
  <c r="AA29" i="19"/>
  <c r="X29"/>
  <c r="W29"/>
  <c r="E53" i="25" s="1"/>
  <c r="U29" i="19"/>
  <c r="L29"/>
  <c r="J29"/>
  <c r="BZ28"/>
  <c r="BT28"/>
  <c r="BN28"/>
  <c r="BH28"/>
  <c r="BB28"/>
  <c r="AV28"/>
  <c r="AP28"/>
  <c r="AJ28"/>
  <c r="AD28"/>
  <c r="X28"/>
  <c r="O28"/>
  <c r="P28" s="1"/>
  <c r="Q28" s="1"/>
  <c r="R28" s="1"/>
  <c r="N28"/>
  <c r="L28"/>
  <c r="J28"/>
  <c r="BZ27"/>
  <c r="BT27"/>
  <c r="BN27"/>
  <c r="BH27"/>
  <c r="BB27"/>
  <c r="AV27"/>
  <c r="AP27"/>
  <c r="AJ27"/>
  <c r="AD27"/>
  <c r="X27"/>
  <c r="O27"/>
  <c r="P27" s="1"/>
  <c r="Q27" s="1"/>
  <c r="R27" s="1"/>
  <c r="N27"/>
  <c r="L27"/>
  <c r="J27"/>
  <c r="BZ26"/>
  <c r="BT26"/>
  <c r="BN26"/>
  <c r="BH26"/>
  <c r="BB26"/>
  <c r="AV26"/>
  <c r="AP26"/>
  <c r="AJ26"/>
  <c r="AD26"/>
  <c r="X26"/>
  <c r="O26"/>
  <c r="P26" s="1"/>
  <c r="Q26" s="1"/>
  <c r="R26" s="1"/>
  <c r="N26"/>
  <c r="L26"/>
  <c r="J26"/>
  <c r="BZ25"/>
  <c r="BY25"/>
  <c r="N50" i="25" s="1"/>
  <c r="BW25" i="19"/>
  <c r="BT25"/>
  <c r="BS25"/>
  <c r="M50" i="25" s="1"/>
  <c r="BQ25" i="19"/>
  <c r="BN25"/>
  <c r="BM25"/>
  <c r="L50" i="25" s="1"/>
  <c r="BK25" i="19"/>
  <c r="BH25"/>
  <c r="BG25"/>
  <c r="K50" i="25" s="1"/>
  <c r="BE25" i="19"/>
  <c r="BB25"/>
  <c r="BA25"/>
  <c r="J50" i="25" s="1"/>
  <c r="AY25" i="19"/>
  <c r="AV25"/>
  <c r="AU25"/>
  <c r="I50" i="25" s="1"/>
  <c r="AS25" i="19"/>
  <c r="AP25"/>
  <c r="AO25"/>
  <c r="H50" i="25" s="1"/>
  <c r="AM25" i="19"/>
  <c r="AJ25"/>
  <c r="AI25"/>
  <c r="G50" i="25" s="1"/>
  <c r="AG25" i="19"/>
  <c r="AD25"/>
  <c r="AC25"/>
  <c r="AA25"/>
  <c r="X25"/>
  <c r="W25"/>
  <c r="E50" i="25" s="1"/>
  <c r="U25" i="19"/>
  <c r="L25"/>
  <c r="J25"/>
  <c r="BZ24"/>
  <c r="BT24"/>
  <c r="BN24"/>
  <c r="BH24"/>
  <c r="BB24"/>
  <c r="AV24"/>
  <c r="AP24"/>
  <c r="AJ24"/>
  <c r="AD24"/>
  <c r="O24"/>
  <c r="P24" s="1"/>
  <c r="Q24" s="1"/>
  <c r="R24" s="1"/>
  <c r="N24"/>
  <c r="L24"/>
  <c r="J24"/>
  <c r="BZ23"/>
  <c r="BT23"/>
  <c r="BN23"/>
  <c r="BH23"/>
  <c r="BB23"/>
  <c r="AV23"/>
  <c r="AP23"/>
  <c r="AJ23"/>
  <c r="AD23"/>
  <c r="X23"/>
  <c r="O23"/>
  <c r="P23" s="1"/>
  <c r="Q23" s="1"/>
  <c r="R23" s="1"/>
  <c r="N23"/>
  <c r="L23"/>
  <c r="J23"/>
  <c r="BX22"/>
  <c r="BZ22" s="1"/>
  <c r="BW22"/>
  <c r="BR22"/>
  <c r="BT22" s="1"/>
  <c r="BQ22"/>
  <c r="BL22"/>
  <c r="BN22" s="1"/>
  <c r="BK22"/>
  <c r="BF22"/>
  <c r="BH22" s="1"/>
  <c r="BE22"/>
  <c r="AZ22"/>
  <c r="BB22" s="1"/>
  <c r="AY22"/>
  <c r="AT22"/>
  <c r="AV22" s="1"/>
  <c r="AS22"/>
  <c r="AN22"/>
  <c r="AP22" s="1"/>
  <c r="AM22"/>
  <c r="AH22"/>
  <c r="AJ22" s="1"/>
  <c r="AG22"/>
  <c r="AB22"/>
  <c r="AD22" s="1"/>
  <c r="AA22"/>
  <c r="V22"/>
  <c r="X22" s="1"/>
  <c r="U22"/>
  <c r="J22"/>
  <c r="BZ21"/>
  <c r="BT21"/>
  <c r="BN21"/>
  <c r="BH21"/>
  <c r="BB21"/>
  <c r="AV21"/>
  <c r="AP21"/>
  <c r="AJ21"/>
  <c r="AD21"/>
  <c r="X21"/>
  <c r="O21"/>
  <c r="P21" s="1"/>
  <c r="Q21" s="1"/>
  <c r="R21" s="1"/>
  <c r="N21"/>
  <c r="L21"/>
  <c r="J21"/>
  <c r="BZ20"/>
  <c r="BT20"/>
  <c r="BN20"/>
  <c r="BH20"/>
  <c r="BB20"/>
  <c r="AV20"/>
  <c r="AP20"/>
  <c r="AJ20"/>
  <c r="AD20"/>
  <c r="X20"/>
  <c r="O20"/>
  <c r="P20" s="1"/>
  <c r="Q20" s="1"/>
  <c r="R20" s="1"/>
  <c r="N20"/>
  <c r="L20"/>
  <c r="J20"/>
  <c r="BX19"/>
  <c r="BY19" s="1"/>
  <c r="BW19"/>
  <c r="BR19"/>
  <c r="BS19" s="1"/>
  <c r="M48" i="25" s="1"/>
  <c r="BQ19" i="19"/>
  <c r="BL19"/>
  <c r="BM19" s="1"/>
  <c r="L48" i="25" s="1"/>
  <c r="BK19" i="19"/>
  <c r="BF19"/>
  <c r="BG19" s="1"/>
  <c r="K48" i="25" s="1"/>
  <c r="BE19" i="19"/>
  <c r="AZ19"/>
  <c r="BA19" s="1"/>
  <c r="J48" i="25" s="1"/>
  <c r="AY19" i="19"/>
  <c r="AT19"/>
  <c r="AU19" s="1"/>
  <c r="I48" i="25" s="1"/>
  <c r="AS19" i="19"/>
  <c r="AN19"/>
  <c r="AO19" s="1"/>
  <c r="H48" i="25" s="1"/>
  <c r="AM19" i="19"/>
  <c r="AH19"/>
  <c r="AI19" s="1"/>
  <c r="G48" i="25" s="1"/>
  <c r="AG19" i="19"/>
  <c r="AB19"/>
  <c r="AC19" s="1"/>
  <c r="F48" i="25" s="1"/>
  <c r="AA19" i="19"/>
  <c r="V19"/>
  <c r="W19" s="1"/>
  <c r="E48" i="25" s="1"/>
  <c r="U19" i="19"/>
  <c r="J19"/>
  <c r="BZ18"/>
  <c r="BT18"/>
  <c r="BN18"/>
  <c r="BH18"/>
  <c r="BB18"/>
  <c r="AV18"/>
  <c r="AP18"/>
  <c r="AJ18"/>
  <c r="AD18"/>
  <c r="X18"/>
  <c r="N18"/>
  <c r="L18"/>
  <c r="J18"/>
  <c r="BZ17"/>
  <c r="BT17"/>
  <c r="BN17"/>
  <c r="BH17"/>
  <c r="BB17"/>
  <c r="AV17"/>
  <c r="AP17"/>
  <c r="AJ17"/>
  <c r="AD17"/>
  <c r="X17"/>
  <c r="N17"/>
  <c r="L17"/>
  <c r="J17"/>
  <c r="BX16"/>
  <c r="BZ16" s="1"/>
  <c r="BR16"/>
  <c r="BT16" s="1"/>
  <c r="BL16"/>
  <c r="BN16" s="1"/>
  <c r="BF16"/>
  <c r="BH16" s="1"/>
  <c r="AZ16"/>
  <c r="BB16" s="1"/>
  <c r="AT16"/>
  <c r="AV16" s="1"/>
  <c r="AN16"/>
  <c r="AP16" s="1"/>
  <c r="AH16"/>
  <c r="AJ16" s="1"/>
  <c r="AB16"/>
  <c r="AD16" s="1"/>
  <c r="V16"/>
  <c r="X16" s="1"/>
  <c r="O16"/>
  <c r="P16" s="1"/>
  <c r="Q16" s="1"/>
  <c r="R16" s="1"/>
  <c r="N16"/>
  <c r="J16"/>
  <c r="BZ15"/>
  <c r="BT15"/>
  <c r="BN15"/>
  <c r="BH15"/>
  <c r="BB15"/>
  <c r="AV15"/>
  <c r="AP15"/>
  <c r="AJ15"/>
  <c r="AD15"/>
  <c r="X15"/>
  <c r="O15"/>
  <c r="P15" s="1"/>
  <c r="Q15" s="1"/>
  <c r="R15" s="1"/>
  <c r="N15"/>
  <c r="L15"/>
  <c r="J15"/>
  <c r="BZ14"/>
  <c r="BT14"/>
  <c r="BN14"/>
  <c r="BH14"/>
  <c r="BB14"/>
  <c r="AV14"/>
  <c r="AP14"/>
  <c r="AJ14"/>
  <c r="AD14"/>
  <c r="X14"/>
  <c r="O14"/>
  <c r="P14" s="1"/>
  <c r="Q14" s="1"/>
  <c r="R14" s="1"/>
  <c r="N14"/>
  <c r="L14"/>
  <c r="J14"/>
  <c r="BX13"/>
  <c r="BY13" s="1"/>
  <c r="BW13"/>
  <c r="BR13"/>
  <c r="BS13" s="1"/>
  <c r="M46" i="25" s="1"/>
  <c r="BQ13" i="19"/>
  <c r="BL13"/>
  <c r="BM13" s="1"/>
  <c r="L46" i="25" s="1"/>
  <c r="BK13" i="19"/>
  <c r="BF13"/>
  <c r="BG13" s="1"/>
  <c r="K46" i="25" s="1"/>
  <c r="BE13" i="19"/>
  <c r="AZ13"/>
  <c r="BA13" s="1"/>
  <c r="J46" i="25" s="1"/>
  <c r="AY13" i="19"/>
  <c r="AT13"/>
  <c r="AU13" s="1"/>
  <c r="I46" i="25" s="1"/>
  <c r="AS13" i="19"/>
  <c r="AN13"/>
  <c r="AO13" s="1"/>
  <c r="H46" i="25" s="1"/>
  <c r="AM13" i="19"/>
  <c r="AH13"/>
  <c r="AI13" s="1"/>
  <c r="G46" i="25" s="1"/>
  <c r="AG13" i="19"/>
  <c r="AB13"/>
  <c r="AC13" s="1"/>
  <c r="F46" i="25" s="1"/>
  <c r="AA13" i="19"/>
  <c r="V13"/>
  <c r="W13" s="1"/>
  <c r="E46" i="25" s="1"/>
  <c r="U13" i="19"/>
  <c r="J13"/>
  <c r="BZ12"/>
  <c r="BT12"/>
  <c r="BN12"/>
  <c r="BH12"/>
  <c r="BB12"/>
  <c r="AV12"/>
  <c r="AP12"/>
  <c r="AJ12"/>
  <c r="AD12"/>
  <c r="X12"/>
  <c r="M12"/>
  <c r="K12"/>
  <c r="BZ11"/>
  <c r="BY11"/>
  <c r="N44" i="25" s="1"/>
  <c r="BW11" i="19"/>
  <c r="BT11"/>
  <c r="BS11"/>
  <c r="M44" i="25" s="1"/>
  <c r="BQ11" i="19"/>
  <c r="BN11"/>
  <c r="BM11"/>
  <c r="L44" i="25" s="1"/>
  <c r="BK11" i="19"/>
  <c r="BH11"/>
  <c r="BG11"/>
  <c r="K44" i="25" s="1"/>
  <c r="BE11" i="19"/>
  <c r="BB11"/>
  <c r="BA11"/>
  <c r="J44" i="25" s="1"/>
  <c r="AY11" i="19"/>
  <c r="AV11"/>
  <c r="AU11"/>
  <c r="I44" i="25" s="1"/>
  <c r="AS11" i="19"/>
  <c r="AP11"/>
  <c r="AO11"/>
  <c r="H44" i="25" s="1"/>
  <c r="AM11" i="19"/>
  <c r="AJ11"/>
  <c r="AI11"/>
  <c r="G44" i="25" s="1"/>
  <c r="AG11" i="19"/>
  <c r="AD11"/>
  <c r="AC11"/>
  <c r="F44" i="25" s="1"/>
  <c r="AA11" i="19"/>
  <c r="X11"/>
  <c r="W11"/>
  <c r="E44" i="25" s="1"/>
  <c r="U11" i="19"/>
  <c r="L11"/>
  <c r="J11"/>
  <c r="BZ10"/>
  <c r="BT10"/>
  <c r="BN10"/>
  <c r="BH10"/>
  <c r="BB10"/>
  <c r="AV10"/>
  <c r="AP10"/>
  <c r="AJ10"/>
  <c r="AD10"/>
  <c r="X10"/>
  <c r="O10"/>
  <c r="P10" s="1"/>
  <c r="Q10" s="1"/>
  <c r="R10" s="1"/>
  <c r="N10"/>
  <c r="L10"/>
  <c r="J10"/>
  <c r="BZ9"/>
  <c r="BT9"/>
  <c r="BN9"/>
  <c r="BH9"/>
  <c r="BB9"/>
  <c r="AV9"/>
  <c r="AP9"/>
  <c r="AJ9"/>
  <c r="AD9"/>
  <c r="X9"/>
  <c r="O9"/>
  <c r="P9" s="1"/>
  <c r="Q9" s="1"/>
  <c r="R9" s="1"/>
  <c r="N9"/>
  <c r="L9"/>
  <c r="J9"/>
  <c r="BZ8"/>
  <c r="BT8"/>
  <c r="BN8"/>
  <c r="BH8"/>
  <c r="BB8"/>
  <c r="AV8"/>
  <c r="AP8"/>
  <c r="AJ8"/>
  <c r="AD8"/>
  <c r="X8"/>
  <c r="O8"/>
  <c r="P8" s="1"/>
  <c r="Q8" s="1"/>
  <c r="R8" s="1"/>
  <c r="N8"/>
  <c r="L8"/>
  <c r="J8"/>
  <c r="BX7"/>
  <c r="BY7" s="1"/>
  <c r="BW7"/>
  <c r="BR7"/>
  <c r="BS7" s="1"/>
  <c r="M43" i="25" s="1"/>
  <c r="BQ7" i="19"/>
  <c r="BL7"/>
  <c r="BM7" s="1"/>
  <c r="L43" i="25" s="1"/>
  <c r="BK7" i="19"/>
  <c r="BF7"/>
  <c r="BG7" s="1"/>
  <c r="K43" i="25" s="1"/>
  <c r="BE7" i="19"/>
  <c r="AZ7"/>
  <c r="BA7" s="1"/>
  <c r="J43" i="25" s="1"/>
  <c r="AY7" i="19"/>
  <c r="AT7"/>
  <c r="AU7" s="1"/>
  <c r="I43" i="25" s="1"/>
  <c r="AS7" i="19"/>
  <c r="AN7"/>
  <c r="AO7" s="1"/>
  <c r="H43" i="25" s="1"/>
  <c r="AM7" i="19"/>
  <c r="AH7"/>
  <c r="AI7" s="1"/>
  <c r="G43" i="25" s="1"/>
  <c r="AG7" i="19"/>
  <c r="AB7"/>
  <c r="AC7" s="1"/>
  <c r="F43" i="25" s="1"/>
  <c r="AA7" i="19"/>
  <c r="V7"/>
  <c r="W7" s="1"/>
  <c r="E43" i="25" s="1"/>
  <c r="U7" i="19"/>
  <c r="J7"/>
  <c r="BZ6"/>
  <c r="BT6"/>
  <c r="BN6"/>
  <c r="BH6"/>
  <c r="BB6"/>
  <c r="AV6"/>
  <c r="AP6"/>
  <c r="AJ6"/>
  <c r="AD6"/>
  <c r="X6"/>
  <c r="O6"/>
  <c r="P6" s="1"/>
  <c r="Q6" s="1"/>
  <c r="R6" s="1"/>
  <c r="N6"/>
  <c r="L6"/>
  <c r="J6"/>
  <c r="BZ5"/>
  <c r="BT5"/>
  <c r="BN5"/>
  <c r="BH5"/>
  <c r="BB5"/>
  <c r="AV5"/>
  <c r="AP5"/>
  <c r="AJ5"/>
  <c r="AD5"/>
  <c r="X5"/>
  <c r="O5"/>
  <c r="P5" s="1"/>
  <c r="Q5" s="1"/>
  <c r="R5" s="1"/>
  <c r="N5"/>
  <c r="L5"/>
  <c r="J5"/>
  <c r="BX4"/>
  <c r="BZ4" s="1"/>
  <c r="BW4"/>
  <c r="BR4"/>
  <c r="BT4" s="1"/>
  <c r="BQ4"/>
  <c r="BL4"/>
  <c r="BN4" s="1"/>
  <c r="BK4"/>
  <c r="BF4"/>
  <c r="BH4" s="1"/>
  <c r="BE4"/>
  <c r="AZ4"/>
  <c r="BB4" s="1"/>
  <c r="AY4"/>
  <c r="AT4"/>
  <c r="AV4" s="1"/>
  <c r="AS4"/>
  <c r="AN4"/>
  <c r="AP4" s="1"/>
  <c r="AM4"/>
  <c r="AH4"/>
  <c r="AJ4" s="1"/>
  <c r="AG4"/>
  <c r="AB4"/>
  <c r="AD4" s="1"/>
  <c r="AA4"/>
  <c r="V4"/>
  <c r="X4" s="1"/>
  <c r="U4"/>
  <c r="J4"/>
  <c r="AA3"/>
  <c r="AG3" s="1"/>
  <c r="AM3" s="1"/>
  <c r="AS3" s="1"/>
  <c r="AY3" s="1"/>
  <c r="BE3" s="1"/>
  <c r="BK3" s="1"/>
  <c r="BQ3" s="1"/>
  <c r="BW3" s="1"/>
  <c r="W3"/>
  <c r="AC3" s="1"/>
  <c r="AI3" s="1"/>
  <c r="AO3" s="1"/>
  <c r="AU3" s="1"/>
  <c r="BA3" s="1"/>
  <c r="BG3" s="1"/>
  <c r="BM3" s="1"/>
  <c r="BS3" s="1"/>
  <c r="BY3" s="1"/>
  <c r="V3"/>
  <c r="AB3" s="1"/>
  <c r="AH3" s="1"/>
  <c r="AN3" s="1"/>
  <c r="AT3" s="1"/>
  <c r="AZ3" s="1"/>
  <c r="BF3" s="1"/>
  <c r="BL3" s="1"/>
  <c r="BR3" s="1"/>
  <c r="BX3" s="1"/>
  <c r="U3"/>
  <c r="T3"/>
  <c r="Z3" s="1"/>
  <c r="AF3" s="1"/>
  <c r="AL3" s="1"/>
  <c r="AR3" s="1"/>
  <c r="AX3" s="1"/>
  <c r="BD3" s="1"/>
  <c r="BJ3" s="1"/>
  <c r="BP3" s="1"/>
  <c r="BV3" s="1"/>
  <c r="E5" i="23"/>
  <c r="E13"/>
  <c r="E12"/>
  <c r="E11"/>
  <c r="E10"/>
  <c r="E9"/>
  <c r="E8"/>
  <c r="O84" i="18"/>
  <c r="O83"/>
  <c r="P83" s="1"/>
  <c r="Q83" s="1"/>
  <c r="R83" s="1"/>
  <c r="O82"/>
  <c r="P82" s="1"/>
  <c r="Q82" s="1"/>
  <c r="R82" s="1"/>
  <c r="O81"/>
  <c r="P81" s="1"/>
  <c r="Q81" s="1"/>
  <c r="R81" s="1"/>
  <c r="M78"/>
  <c r="I76"/>
  <c r="BZ75"/>
  <c r="BT75"/>
  <c r="BN75"/>
  <c r="BH75"/>
  <c r="BB75"/>
  <c r="AV75"/>
  <c r="AP75"/>
  <c r="AJ75"/>
  <c r="AD75"/>
  <c r="X75"/>
  <c r="L75"/>
  <c r="J75"/>
  <c r="BZ74"/>
  <c r="BT74"/>
  <c r="BN74"/>
  <c r="BH74"/>
  <c r="BB74"/>
  <c r="AV74"/>
  <c r="AP74"/>
  <c r="AJ74"/>
  <c r="AD74"/>
  <c r="X74"/>
  <c r="L74"/>
  <c r="J74"/>
  <c r="BZ73"/>
  <c r="BW73"/>
  <c r="BW81" s="1"/>
  <c r="BW82" s="1"/>
  <c r="BT73"/>
  <c r="BQ73"/>
  <c r="BQ81" s="1"/>
  <c r="BQ82" s="1"/>
  <c r="BN73"/>
  <c r="BK73"/>
  <c r="BK81" s="1"/>
  <c r="BK82" s="1"/>
  <c r="BH73"/>
  <c r="BE73"/>
  <c r="BE81" s="1"/>
  <c r="BB73"/>
  <c r="AY73"/>
  <c r="AY81" s="1"/>
  <c r="AY82" s="1"/>
  <c r="AV73"/>
  <c r="AS73"/>
  <c r="AS81" s="1"/>
  <c r="AS82" s="1"/>
  <c r="AP73"/>
  <c r="AM73"/>
  <c r="AM81" s="1"/>
  <c r="AM82" s="1"/>
  <c r="AJ73"/>
  <c r="AG73"/>
  <c r="AG81" s="1"/>
  <c r="AD73"/>
  <c r="AA73"/>
  <c r="AA81" s="1"/>
  <c r="AA82" s="1"/>
  <c r="X73"/>
  <c r="U73"/>
  <c r="U81" s="1"/>
  <c r="U82" s="1"/>
  <c r="O73"/>
  <c r="P73" s="1"/>
  <c r="Q73" s="1"/>
  <c r="R73" s="1"/>
  <c r="N73"/>
  <c r="L73"/>
  <c r="J73"/>
  <c r="BZ72"/>
  <c r="BT72"/>
  <c r="BN72"/>
  <c r="BH72"/>
  <c r="BB72"/>
  <c r="AV72"/>
  <c r="AP72"/>
  <c r="AJ72"/>
  <c r="AD72"/>
  <c r="X72"/>
  <c r="M72"/>
  <c r="F40" i="27" s="1"/>
  <c r="K72" i="18"/>
  <c r="BZ71"/>
  <c r="BT71"/>
  <c r="BN71"/>
  <c r="BH71"/>
  <c r="BB71"/>
  <c r="AV71"/>
  <c r="AP71"/>
  <c r="AJ71"/>
  <c r="AD71"/>
  <c r="X71"/>
  <c r="O71"/>
  <c r="P71" s="1"/>
  <c r="Q71" s="1"/>
  <c r="R71" s="1"/>
  <c r="N71"/>
  <c r="L71"/>
  <c r="J71"/>
  <c r="BZ70"/>
  <c r="BW70"/>
  <c r="BT70"/>
  <c r="BQ70"/>
  <c r="BN70"/>
  <c r="BK70"/>
  <c r="BH70"/>
  <c r="BE70"/>
  <c r="BB70"/>
  <c r="AY70"/>
  <c r="AV70"/>
  <c r="AS70"/>
  <c r="AP70"/>
  <c r="AM70"/>
  <c r="AJ70"/>
  <c r="AG70"/>
  <c r="AD70"/>
  <c r="AA70"/>
  <c r="X70"/>
  <c r="U70"/>
  <c r="L70"/>
  <c r="J38" i="27" s="1"/>
  <c r="J70" i="18"/>
  <c r="BZ69"/>
  <c r="BT69"/>
  <c r="BN69"/>
  <c r="BH69"/>
  <c r="BB69"/>
  <c r="AP69"/>
  <c r="AJ69"/>
  <c r="AD69"/>
  <c r="X69"/>
  <c r="N69"/>
  <c r="L69"/>
  <c r="J69"/>
  <c r="BZ68"/>
  <c r="BT68"/>
  <c r="BN68"/>
  <c r="BH68"/>
  <c r="BB68"/>
  <c r="AV68"/>
  <c r="AP68"/>
  <c r="AJ68"/>
  <c r="AD68"/>
  <c r="X68"/>
  <c r="O68"/>
  <c r="P68" s="1"/>
  <c r="Q68" s="1"/>
  <c r="R68" s="1"/>
  <c r="N68"/>
  <c r="L68"/>
  <c r="J68"/>
  <c r="BZ67"/>
  <c r="BW67"/>
  <c r="BT67"/>
  <c r="BQ67"/>
  <c r="BN67"/>
  <c r="BK67"/>
  <c r="BH67"/>
  <c r="BE67"/>
  <c r="BB67"/>
  <c r="AY67"/>
  <c r="AV67"/>
  <c r="AS67"/>
  <c r="AP67"/>
  <c r="AM67"/>
  <c r="AJ67"/>
  <c r="AG67"/>
  <c r="AD67"/>
  <c r="AA67"/>
  <c r="X67"/>
  <c r="U67"/>
  <c r="M67"/>
  <c r="L67"/>
  <c r="J67"/>
  <c r="BZ66"/>
  <c r="BT66"/>
  <c r="BN66"/>
  <c r="BH66"/>
  <c r="BB66"/>
  <c r="AV66"/>
  <c r="AP66"/>
  <c r="AJ66"/>
  <c r="AD66"/>
  <c r="X66"/>
  <c r="M66"/>
  <c r="K66"/>
  <c r="BZ65"/>
  <c r="BT65"/>
  <c r="BN65"/>
  <c r="BH65"/>
  <c r="BB65"/>
  <c r="AV65"/>
  <c r="AP65"/>
  <c r="AJ65"/>
  <c r="AD65"/>
  <c r="X65"/>
  <c r="O65"/>
  <c r="P65" s="1"/>
  <c r="Q65" s="1"/>
  <c r="R65" s="1"/>
  <c r="N65"/>
  <c r="L65"/>
  <c r="J65"/>
  <c r="BZ64"/>
  <c r="BT64"/>
  <c r="BN64"/>
  <c r="BH64"/>
  <c r="BB64"/>
  <c r="AV64"/>
  <c r="AP64"/>
  <c r="AJ64"/>
  <c r="AD64"/>
  <c r="X64"/>
  <c r="O64"/>
  <c r="P64" s="1"/>
  <c r="Q64" s="1"/>
  <c r="R64" s="1"/>
  <c r="N64"/>
  <c r="L64"/>
  <c r="J64"/>
  <c r="BZ63"/>
  <c r="BW63"/>
  <c r="BT63"/>
  <c r="BQ63"/>
  <c r="BN63"/>
  <c r="BK63"/>
  <c r="BH63"/>
  <c r="BE63"/>
  <c r="BB63"/>
  <c r="AY63"/>
  <c r="AV63"/>
  <c r="AS63"/>
  <c r="AP63"/>
  <c r="AM63"/>
  <c r="AJ63"/>
  <c r="AG63"/>
  <c r="AD63"/>
  <c r="AA63"/>
  <c r="X63"/>
  <c r="U63"/>
  <c r="M63"/>
  <c r="L63"/>
  <c r="J63"/>
  <c r="BZ62"/>
  <c r="BT62"/>
  <c r="BN62"/>
  <c r="BH62"/>
  <c r="BB62"/>
  <c r="AV62"/>
  <c r="AP62"/>
  <c r="AJ62"/>
  <c r="AD62"/>
  <c r="X62"/>
  <c r="O62"/>
  <c r="P62" s="1"/>
  <c r="Q62" s="1"/>
  <c r="R62" s="1"/>
  <c r="N62"/>
  <c r="L62"/>
  <c r="J62"/>
  <c r="BZ61"/>
  <c r="BT61"/>
  <c r="BN61"/>
  <c r="BH61"/>
  <c r="BB61"/>
  <c r="AV61"/>
  <c r="AP61"/>
  <c r="AJ61"/>
  <c r="AD61"/>
  <c r="X61"/>
  <c r="O61"/>
  <c r="P61" s="1"/>
  <c r="Q61" s="1"/>
  <c r="R61" s="1"/>
  <c r="N61"/>
  <c r="L61"/>
  <c r="J61"/>
  <c r="BZ60"/>
  <c r="BT60"/>
  <c r="BN60"/>
  <c r="BH60"/>
  <c r="BB60"/>
  <c r="AV60"/>
  <c r="AP60"/>
  <c r="AJ60"/>
  <c r="AD60"/>
  <c r="X60"/>
  <c r="O60"/>
  <c r="P60" s="1"/>
  <c r="Q60" s="1"/>
  <c r="R60" s="1"/>
  <c r="N60"/>
  <c r="L60"/>
  <c r="J60"/>
  <c r="BZ59"/>
  <c r="BT59"/>
  <c r="BN59"/>
  <c r="BH59"/>
  <c r="BB59"/>
  <c r="AV59"/>
  <c r="AP59"/>
  <c r="AJ59"/>
  <c r="AD59"/>
  <c r="X59"/>
  <c r="O59"/>
  <c r="P59" s="1"/>
  <c r="Q59" s="1"/>
  <c r="R59" s="1"/>
  <c r="N59"/>
  <c r="L59"/>
  <c r="J59"/>
  <c r="BZ58"/>
  <c r="BT58"/>
  <c r="BN58"/>
  <c r="BH58"/>
  <c r="BB58"/>
  <c r="AV58"/>
  <c r="AP58"/>
  <c r="AJ58"/>
  <c r="AD58"/>
  <c r="X58"/>
  <c r="O58"/>
  <c r="P58" s="1"/>
  <c r="Q58" s="1"/>
  <c r="R58" s="1"/>
  <c r="N58"/>
  <c r="L58"/>
  <c r="J58"/>
  <c r="BZ57"/>
  <c r="BW57"/>
  <c r="BT57"/>
  <c r="BQ57"/>
  <c r="BN57"/>
  <c r="BK57"/>
  <c r="BH57"/>
  <c r="BE57"/>
  <c r="BB57"/>
  <c r="AY57"/>
  <c r="AV57"/>
  <c r="AS57"/>
  <c r="AP57"/>
  <c r="AM57"/>
  <c r="AJ57"/>
  <c r="AG57"/>
  <c r="AD57"/>
  <c r="AA57"/>
  <c r="X57"/>
  <c r="U57"/>
  <c r="M57"/>
  <c r="J33" i="27" s="1"/>
  <c r="L57" i="18"/>
  <c r="J57"/>
  <c r="BZ56"/>
  <c r="BT56"/>
  <c r="BN56"/>
  <c r="BH56"/>
  <c r="BB56"/>
  <c r="AV56"/>
  <c r="AP56"/>
  <c r="AJ56"/>
  <c r="AD56"/>
  <c r="X56"/>
  <c r="O56"/>
  <c r="P56" s="1"/>
  <c r="Q56" s="1"/>
  <c r="R56" s="1"/>
  <c r="N56"/>
  <c r="L56"/>
  <c r="J56"/>
  <c r="BZ55"/>
  <c r="BT55"/>
  <c r="BN55"/>
  <c r="BH55"/>
  <c r="BB55"/>
  <c r="AV55"/>
  <c r="AP55"/>
  <c r="AJ55"/>
  <c r="AD55"/>
  <c r="X55"/>
  <c r="O55"/>
  <c r="P55" s="1"/>
  <c r="Q55" s="1"/>
  <c r="R55" s="1"/>
  <c r="N55"/>
  <c r="L55"/>
  <c r="J55"/>
  <c r="BZ54"/>
  <c r="BT54"/>
  <c r="BN54"/>
  <c r="BH54"/>
  <c r="BB54"/>
  <c r="AV54"/>
  <c r="AP54"/>
  <c r="AJ54"/>
  <c r="AD54"/>
  <c r="X54"/>
  <c r="O54"/>
  <c r="P54" s="1"/>
  <c r="Q54" s="1"/>
  <c r="R54" s="1"/>
  <c r="N54"/>
  <c r="L54"/>
  <c r="J54"/>
  <c r="BZ53"/>
  <c r="BT53"/>
  <c r="BN53"/>
  <c r="BH53"/>
  <c r="BB53"/>
  <c r="AV53"/>
  <c r="AP53"/>
  <c r="AJ53"/>
  <c r="AD53"/>
  <c r="X53"/>
  <c r="O53"/>
  <c r="P53" s="1"/>
  <c r="Q53" s="1"/>
  <c r="R53" s="1"/>
  <c r="N53"/>
  <c r="L53"/>
  <c r="J53"/>
  <c r="BZ52"/>
  <c r="BW52"/>
  <c r="BT52"/>
  <c r="BQ52"/>
  <c r="BN52"/>
  <c r="BK52"/>
  <c r="BH52"/>
  <c r="BE52"/>
  <c r="BB52"/>
  <c r="AY52"/>
  <c r="AV52"/>
  <c r="AS52"/>
  <c r="AP52"/>
  <c r="AM52"/>
  <c r="AG52"/>
  <c r="AD52"/>
  <c r="AA52"/>
  <c r="X52"/>
  <c r="U52"/>
  <c r="M52"/>
  <c r="L52"/>
  <c r="J52"/>
  <c r="BZ51"/>
  <c r="BT51"/>
  <c r="BN51"/>
  <c r="BH51"/>
  <c r="BB51"/>
  <c r="AV51"/>
  <c r="AP51"/>
  <c r="AJ51"/>
  <c r="AD51"/>
  <c r="X51"/>
  <c r="O51"/>
  <c r="P51" s="1"/>
  <c r="Q51" s="1"/>
  <c r="R51" s="1"/>
  <c r="N51"/>
  <c r="L51"/>
  <c r="J51"/>
  <c r="BZ50"/>
  <c r="BT50"/>
  <c r="BN50"/>
  <c r="BH50"/>
  <c r="BB50"/>
  <c r="AV50"/>
  <c r="AP50"/>
  <c r="AJ50"/>
  <c r="AD50"/>
  <c r="X50"/>
  <c r="O50"/>
  <c r="P50" s="1"/>
  <c r="Q50" s="1"/>
  <c r="R50" s="1"/>
  <c r="N50"/>
  <c r="L50"/>
  <c r="J50"/>
  <c r="BZ49"/>
  <c r="BT49"/>
  <c r="BN49"/>
  <c r="BH49"/>
  <c r="BB49"/>
  <c r="AV49"/>
  <c r="AP49"/>
  <c r="AJ49"/>
  <c r="AD49"/>
  <c r="X49"/>
  <c r="O49"/>
  <c r="P49" s="1"/>
  <c r="Q49" s="1"/>
  <c r="R49" s="1"/>
  <c r="N49"/>
  <c r="L49"/>
  <c r="J49"/>
  <c r="BZ48"/>
  <c r="BW48"/>
  <c r="BT48"/>
  <c r="BQ48"/>
  <c r="BN48"/>
  <c r="BK48"/>
  <c r="BH48"/>
  <c r="BE48"/>
  <c r="BB48"/>
  <c r="AY48"/>
  <c r="AV48"/>
  <c r="AS48"/>
  <c r="AP48"/>
  <c r="AM48"/>
  <c r="AJ48"/>
  <c r="AG48"/>
  <c r="AD48"/>
  <c r="AA48"/>
  <c r="X48"/>
  <c r="U48"/>
  <c r="M48"/>
  <c r="L48"/>
  <c r="J48"/>
  <c r="BZ47"/>
  <c r="BT47"/>
  <c r="BN47"/>
  <c r="BH47"/>
  <c r="BB47"/>
  <c r="AV47"/>
  <c r="AP47"/>
  <c r="AJ47"/>
  <c r="AD47"/>
  <c r="X47"/>
  <c r="O47"/>
  <c r="P47" s="1"/>
  <c r="Q47" s="1"/>
  <c r="R47" s="1"/>
  <c r="N47"/>
  <c r="L47"/>
  <c r="J47"/>
  <c r="BZ46"/>
  <c r="BT46"/>
  <c r="BN46"/>
  <c r="BH46"/>
  <c r="BB46"/>
  <c r="AV46"/>
  <c r="AP46"/>
  <c r="AJ46"/>
  <c r="AD46"/>
  <c r="X46"/>
  <c r="O46"/>
  <c r="P46" s="1"/>
  <c r="Q46" s="1"/>
  <c r="R46" s="1"/>
  <c r="N46"/>
  <c r="L46"/>
  <c r="J46"/>
  <c r="BZ45"/>
  <c r="BW45"/>
  <c r="BT45"/>
  <c r="BQ45"/>
  <c r="BN45"/>
  <c r="BK45"/>
  <c r="BH45"/>
  <c r="BE45"/>
  <c r="BB45"/>
  <c r="AY45"/>
  <c r="AV45"/>
  <c r="AS45"/>
  <c r="AP45"/>
  <c r="AM45"/>
  <c r="AJ45"/>
  <c r="AG45"/>
  <c r="AD45"/>
  <c r="AA45"/>
  <c r="X45"/>
  <c r="U45"/>
  <c r="M45"/>
  <c r="L45"/>
  <c r="J45"/>
  <c r="BZ44"/>
  <c r="BT44"/>
  <c r="BN44"/>
  <c r="BH44"/>
  <c r="BB44"/>
  <c r="AV44"/>
  <c r="AP44"/>
  <c r="AJ44"/>
  <c r="AD44"/>
  <c r="X44"/>
  <c r="O44"/>
  <c r="P44" s="1"/>
  <c r="Q44" s="1"/>
  <c r="R44" s="1"/>
  <c r="N44"/>
  <c r="L44"/>
  <c r="J44"/>
  <c r="BZ43"/>
  <c r="BW43"/>
  <c r="BT43"/>
  <c r="BQ43"/>
  <c r="BN43"/>
  <c r="BK43"/>
  <c r="BH43"/>
  <c r="BE43"/>
  <c r="BB43"/>
  <c r="AY43"/>
  <c r="AV43"/>
  <c r="AS43"/>
  <c r="AP43"/>
  <c r="AM43"/>
  <c r="AJ43"/>
  <c r="AG43"/>
  <c r="AD43"/>
  <c r="AA43"/>
  <c r="X43"/>
  <c r="U43"/>
  <c r="M43"/>
  <c r="F29" i="27" s="1"/>
  <c r="L43" i="18"/>
  <c r="J43"/>
  <c r="BZ42"/>
  <c r="BT42"/>
  <c r="BN42"/>
  <c r="BH42"/>
  <c r="BB42"/>
  <c r="AV42"/>
  <c r="AP42"/>
  <c r="AJ42"/>
  <c r="AD42"/>
  <c r="X42"/>
  <c r="O42"/>
  <c r="P42" s="1"/>
  <c r="Q42" s="1"/>
  <c r="R42" s="1"/>
  <c r="N42"/>
  <c r="L42"/>
  <c r="J42"/>
  <c r="BZ41"/>
  <c r="BW41"/>
  <c r="BT41"/>
  <c r="BQ41"/>
  <c r="BN41"/>
  <c r="BK41"/>
  <c r="BH41"/>
  <c r="BE41"/>
  <c r="BB41"/>
  <c r="AY41"/>
  <c r="AV41"/>
  <c r="AS41"/>
  <c r="AP41"/>
  <c r="AM41"/>
  <c r="AJ41"/>
  <c r="AG41"/>
  <c r="AD41"/>
  <c r="AA41"/>
  <c r="X41"/>
  <c r="U41"/>
  <c r="M41"/>
  <c r="L41"/>
  <c r="J41"/>
  <c r="BZ40"/>
  <c r="BT40"/>
  <c r="BN40"/>
  <c r="BH40"/>
  <c r="BB40"/>
  <c r="AV40"/>
  <c r="AP40"/>
  <c r="AJ40"/>
  <c r="AD40"/>
  <c r="X40"/>
  <c r="O40"/>
  <c r="P40" s="1"/>
  <c r="Q40" s="1"/>
  <c r="R40" s="1"/>
  <c r="N40"/>
  <c r="L40"/>
  <c r="J40"/>
  <c r="BZ39"/>
  <c r="BT39"/>
  <c r="BN39"/>
  <c r="BH39"/>
  <c r="BB39"/>
  <c r="AV39"/>
  <c r="AP39"/>
  <c r="AJ39"/>
  <c r="AD39"/>
  <c r="X39"/>
  <c r="O39"/>
  <c r="P39" s="1"/>
  <c r="Q39" s="1"/>
  <c r="R39" s="1"/>
  <c r="N39"/>
  <c r="L39"/>
  <c r="J39"/>
  <c r="BZ38"/>
  <c r="BW38"/>
  <c r="BT38"/>
  <c r="BQ38"/>
  <c r="BN38"/>
  <c r="BK38"/>
  <c r="BH38"/>
  <c r="BE38"/>
  <c r="BB38"/>
  <c r="AY38"/>
  <c r="AV38"/>
  <c r="AS38"/>
  <c r="AP38"/>
  <c r="AM38"/>
  <c r="AJ38"/>
  <c r="AG38"/>
  <c r="AD38"/>
  <c r="AA38"/>
  <c r="X38"/>
  <c r="U38"/>
  <c r="M38"/>
  <c r="L38"/>
  <c r="J38"/>
  <c r="BZ37"/>
  <c r="BT37"/>
  <c r="BN37"/>
  <c r="BH37"/>
  <c r="BB37"/>
  <c r="AV37"/>
  <c r="AP37"/>
  <c r="AJ37"/>
  <c r="AD37"/>
  <c r="X37"/>
  <c r="O37"/>
  <c r="P37" s="1"/>
  <c r="Q37" s="1"/>
  <c r="R37" s="1"/>
  <c r="N37"/>
  <c r="L37"/>
  <c r="J37"/>
  <c r="BZ36"/>
  <c r="BT36"/>
  <c r="BN36"/>
  <c r="BH36"/>
  <c r="BB36"/>
  <c r="AV36"/>
  <c r="AP36"/>
  <c r="AJ36"/>
  <c r="AD36"/>
  <c r="X36"/>
  <c r="O36"/>
  <c r="P36" s="1"/>
  <c r="Q36" s="1"/>
  <c r="R36" s="1"/>
  <c r="N36"/>
  <c r="L36"/>
  <c r="J36"/>
  <c r="BZ35"/>
  <c r="BW35"/>
  <c r="BT35"/>
  <c r="BQ35"/>
  <c r="BN35"/>
  <c r="BK35"/>
  <c r="BH35"/>
  <c r="BE35"/>
  <c r="BB35"/>
  <c r="AY35"/>
  <c r="AV35"/>
  <c r="AS35"/>
  <c r="AP35"/>
  <c r="AM35"/>
  <c r="AJ35"/>
  <c r="AG35"/>
  <c r="AD35"/>
  <c r="AA35"/>
  <c r="X35"/>
  <c r="U35"/>
  <c r="M35"/>
  <c r="L35"/>
  <c r="J35"/>
  <c r="BZ34"/>
  <c r="BW34"/>
  <c r="BT34"/>
  <c r="BQ34"/>
  <c r="BN34"/>
  <c r="BK34"/>
  <c r="BH34"/>
  <c r="BE34"/>
  <c r="BB34"/>
  <c r="AY34"/>
  <c r="AV34"/>
  <c r="AS34"/>
  <c r="AP34"/>
  <c r="AM34"/>
  <c r="AJ34"/>
  <c r="AG34"/>
  <c r="AD34"/>
  <c r="AA34"/>
  <c r="X34"/>
  <c r="U34"/>
  <c r="M34"/>
  <c r="E26" i="27" s="1"/>
  <c r="BZ33" i="18"/>
  <c r="BT33"/>
  <c r="BN33"/>
  <c r="BH33"/>
  <c r="BB33"/>
  <c r="AV33"/>
  <c r="AP33"/>
  <c r="AJ33"/>
  <c r="AD33"/>
  <c r="X33"/>
  <c r="O33"/>
  <c r="P33" s="1"/>
  <c r="Q33" s="1"/>
  <c r="R33" s="1"/>
  <c r="N33"/>
  <c r="L33"/>
  <c r="J33"/>
  <c r="BZ32"/>
  <c r="BW32"/>
  <c r="BT32"/>
  <c r="BQ32"/>
  <c r="BN32"/>
  <c r="BK32"/>
  <c r="BH32"/>
  <c r="BE32"/>
  <c r="BB32"/>
  <c r="AY32"/>
  <c r="AV32"/>
  <c r="AS32"/>
  <c r="AP32"/>
  <c r="AM32"/>
  <c r="AJ32"/>
  <c r="AG32"/>
  <c r="AD32"/>
  <c r="AA32"/>
  <c r="X32"/>
  <c r="U32"/>
  <c r="M32"/>
  <c r="L32"/>
  <c r="J32"/>
  <c r="BZ31"/>
  <c r="BT31"/>
  <c r="BN31"/>
  <c r="BH31"/>
  <c r="BB31"/>
  <c r="AV31"/>
  <c r="AJ31"/>
  <c r="AD31"/>
  <c r="X31"/>
  <c r="O31"/>
  <c r="P31" s="1"/>
  <c r="Q31" s="1"/>
  <c r="R31" s="1"/>
  <c r="N31"/>
  <c r="L31"/>
  <c r="J31"/>
  <c r="BZ30"/>
  <c r="BW30"/>
  <c r="BT30"/>
  <c r="BQ30"/>
  <c r="BN30"/>
  <c r="BK30"/>
  <c r="BH30"/>
  <c r="BE30"/>
  <c r="BB30"/>
  <c r="AY30"/>
  <c r="AV30"/>
  <c r="AS30"/>
  <c r="AP30"/>
  <c r="AM30"/>
  <c r="AJ30"/>
  <c r="AG30"/>
  <c r="AA30"/>
  <c r="X30"/>
  <c r="U30"/>
  <c r="M30"/>
  <c r="L30"/>
  <c r="J30"/>
  <c r="BZ29"/>
  <c r="BT29"/>
  <c r="BN29"/>
  <c r="BH29"/>
  <c r="BB29"/>
  <c r="AV29"/>
  <c r="AP29"/>
  <c r="AJ29"/>
  <c r="AD29"/>
  <c r="X29"/>
  <c r="O29"/>
  <c r="P29" s="1"/>
  <c r="Q29" s="1"/>
  <c r="R29" s="1"/>
  <c r="L29"/>
  <c r="J29"/>
  <c r="BZ28"/>
  <c r="BW28"/>
  <c r="BT28"/>
  <c r="BQ28"/>
  <c r="BN28"/>
  <c r="BK28"/>
  <c r="BH28"/>
  <c r="BE28"/>
  <c r="BB28"/>
  <c r="AY28"/>
  <c r="AV28"/>
  <c r="AS28"/>
  <c r="AP28"/>
  <c r="AM28"/>
  <c r="AJ28"/>
  <c r="AG28"/>
  <c r="AD28"/>
  <c r="AA28"/>
  <c r="X28"/>
  <c r="U28"/>
  <c r="M28"/>
  <c r="F23" i="27" s="1"/>
  <c r="L28" i="18"/>
  <c r="J28"/>
  <c r="BZ27"/>
  <c r="BT27"/>
  <c r="BN27"/>
  <c r="BH27"/>
  <c r="BB27"/>
  <c r="AV27"/>
  <c r="AP27"/>
  <c r="AJ27"/>
  <c r="AD27"/>
  <c r="X27"/>
  <c r="O27"/>
  <c r="P27" s="1"/>
  <c r="Q27" s="1"/>
  <c r="R27" s="1"/>
  <c r="N27"/>
  <c r="L27"/>
  <c r="J27"/>
  <c r="BZ26"/>
  <c r="BT26"/>
  <c r="BN26"/>
  <c r="BH26"/>
  <c r="BB26"/>
  <c r="AV26"/>
  <c r="AP26"/>
  <c r="AJ26"/>
  <c r="AD26"/>
  <c r="X26"/>
  <c r="O26"/>
  <c r="P26" s="1"/>
  <c r="Q26" s="1"/>
  <c r="R26" s="1"/>
  <c r="N26"/>
  <c r="L26"/>
  <c r="J26"/>
  <c r="BZ25"/>
  <c r="BW25"/>
  <c r="BT25"/>
  <c r="BQ25"/>
  <c r="BN25"/>
  <c r="BK25"/>
  <c r="BH25"/>
  <c r="BE25"/>
  <c r="BB25"/>
  <c r="AY25"/>
  <c r="AV25"/>
  <c r="AS25"/>
  <c r="AP25"/>
  <c r="AM25"/>
  <c r="AJ25"/>
  <c r="AG25"/>
  <c r="AD25"/>
  <c r="AA25"/>
  <c r="X25"/>
  <c r="U25"/>
  <c r="M25"/>
  <c r="L25"/>
  <c r="J25"/>
  <c r="BZ24"/>
  <c r="BT24"/>
  <c r="BN24"/>
  <c r="BH24"/>
  <c r="BB24"/>
  <c r="AV24"/>
  <c r="AP24"/>
  <c r="AJ24"/>
  <c r="AD24"/>
  <c r="X24"/>
  <c r="O24"/>
  <c r="P24" s="1"/>
  <c r="Q24" s="1"/>
  <c r="R24" s="1"/>
  <c r="N24"/>
  <c r="L24"/>
  <c r="J24"/>
  <c r="BZ23"/>
  <c r="BT23"/>
  <c r="BN23"/>
  <c r="BH23"/>
  <c r="BB23"/>
  <c r="AV23"/>
  <c r="AP23"/>
  <c r="AJ23"/>
  <c r="AD23"/>
  <c r="X23"/>
  <c r="O23"/>
  <c r="P23" s="1"/>
  <c r="Q23" s="1"/>
  <c r="R23" s="1"/>
  <c r="N23"/>
  <c r="L23"/>
  <c r="J23"/>
  <c r="BZ22"/>
  <c r="BW22"/>
  <c r="BT22"/>
  <c r="BQ22"/>
  <c r="BN22"/>
  <c r="BK22"/>
  <c r="BH22"/>
  <c r="BE22"/>
  <c r="BB22"/>
  <c r="AY22"/>
  <c r="AV22"/>
  <c r="AS22"/>
  <c r="AP22"/>
  <c r="AM22"/>
  <c r="AJ22"/>
  <c r="AG22"/>
  <c r="AD22"/>
  <c r="AA22"/>
  <c r="X22"/>
  <c r="U22"/>
  <c r="M22"/>
  <c r="L22"/>
  <c r="J22"/>
  <c r="BZ21"/>
  <c r="BT21"/>
  <c r="BN21"/>
  <c r="BH21"/>
  <c r="BB21"/>
  <c r="AV21"/>
  <c r="AP21"/>
  <c r="AJ21"/>
  <c r="AD21"/>
  <c r="X21"/>
  <c r="O21"/>
  <c r="P21" s="1"/>
  <c r="Q21" s="1"/>
  <c r="R21" s="1"/>
  <c r="N21"/>
  <c r="L21"/>
  <c r="J21"/>
  <c r="BZ20"/>
  <c r="BT20"/>
  <c r="BN20"/>
  <c r="BH20"/>
  <c r="BB20"/>
  <c r="AV20"/>
  <c r="AP20"/>
  <c r="AJ20"/>
  <c r="AD20"/>
  <c r="X20"/>
  <c r="O20"/>
  <c r="P20" s="1"/>
  <c r="Q20" s="1"/>
  <c r="R20" s="1"/>
  <c r="N20"/>
  <c r="L20"/>
  <c r="J20"/>
  <c r="BZ19"/>
  <c r="BW19"/>
  <c r="BT19"/>
  <c r="BQ19"/>
  <c r="BN19"/>
  <c r="BK19"/>
  <c r="BH19"/>
  <c r="BE19"/>
  <c r="BB19"/>
  <c r="AY19"/>
  <c r="AV19"/>
  <c r="AS19"/>
  <c r="AP19"/>
  <c r="AM19"/>
  <c r="AJ19"/>
  <c r="AG19"/>
  <c r="AD19"/>
  <c r="AA19"/>
  <c r="X19"/>
  <c r="U19"/>
  <c r="M19"/>
  <c r="L19"/>
  <c r="J19"/>
  <c r="BZ18"/>
  <c r="BT18"/>
  <c r="BN18"/>
  <c r="BB18"/>
  <c r="AV18"/>
  <c r="AP18"/>
  <c r="AJ18"/>
  <c r="AD18"/>
  <c r="X18"/>
  <c r="O18"/>
  <c r="P18" s="1"/>
  <c r="Q18" s="1"/>
  <c r="R18" s="1"/>
  <c r="N18"/>
  <c r="L18"/>
  <c r="J18"/>
  <c r="BZ17"/>
  <c r="BT17"/>
  <c r="BN17"/>
  <c r="BH17"/>
  <c r="BB17"/>
  <c r="AV17"/>
  <c r="AP17"/>
  <c r="AJ17"/>
  <c r="AD17"/>
  <c r="X17"/>
  <c r="O17"/>
  <c r="P17" s="1"/>
  <c r="Q17" s="1"/>
  <c r="R17" s="1"/>
  <c r="N17"/>
  <c r="L17"/>
  <c r="J17"/>
  <c r="BZ16"/>
  <c r="BW16"/>
  <c r="BT16"/>
  <c r="BQ16"/>
  <c r="BN16"/>
  <c r="BK16"/>
  <c r="BH16"/>
  <c r="BE16"/>
  <c r="BB16"/>
  <c r="AY16"/>
  <c r="AV16"/>
  <c r="AS16"/>
  <c r="AP16"/>
  <c r="AM16"/>
  <c r="AJ16"/>
  <c r="AG16"/>
  <c r="AD16"/>
  <c r="AA16"/>
  <c r="X16"/>
  <c r="U16"/>
  <c r="M16"/>
  <c r="L16"/>
  <c r="J16"/>
  <c r="BZ15"/>
  <c r="BT15"/>
  <c r="BN15"/>
  <c r="BH15"/>
  <c r="BB15"/>
  <c r="AV15"/>
  <c r="AP15"/>
  <c r="AJ15"/>
  <c r="AD15"/>
  <c r="X15"/>
  <c r="M15"/>
  <c r="K15"/>
  <c r="BZ14"/>
  <c r="BW14"/>
  <c r="BT14"/>
  <c r="BQ14"/>
  <c r="BN14"/>
  <c r="BK14"/>
  <c r="BH14"/>
  <c r="BE14"/>
  <c r="BB14"/>
  <c r="AY14"/>
  <c r="AV14"/>
  <c r="AS14"/>
  <c r="AP14"/>
  <c r="AM14"/>
  <c r="AJ14"/>
  <c r="AG14"/>
  <c r="AD14"/>
  <c r="AA14"/>
  <c r="X14"/>
  <c r="U14"/>
  <c r="M14"/>
  <c r="L14"/>
  <c r="J14"/>
  <c r="BZ13"/>
  <c r="BT13"/>
  <c r="BN13"/>
  <c r="BH13"/>
  <c r="BB13"/>
  <c r="AV13"/>
  <c r="AP13"/>
  <c r="AJ13"/>
  <c r="AD13"/>
  <c r="X13"/>
  <c r="O13"/>
  <c r="P13" s="1"/>
  <c r="Q13" s="1"/>
  <c r="R13" s="1"/>
  <c r="N13"/>
  <c r="L13"/>
  <c r="J13"/>
  <c r="BZ12"/>
  <c r="BT12"/>
  <c r="BN12"/>
  <c r="BH12"/>
  <c r="BB12"/>
  <c r="AV12"/>
  <c r="AP12"/>
  <c r="AJ12"/>
  <c r="AD12"/>
  <c r="X12"/>
  <c r="O12"/>
  <c r="P12" s="1"/>
  <c r="Q12" s="1"/>
  <c r="R12" s="1"/>
  <c r="N12"/>
  <c r="L12"/>
  <c r="J12"/>
  <c r="BZ11"/>
  <c r="BT11"/>
  <c r="BN11"/>
  <c r="BH11"/>
  <c r="BB11"/>
  <c r="AV11"/>
  <c r="AP11"/>
  <c r="AJ11"/>
  <c r="AD11"/>
  <c r="X11"/>
  <c r="O11"/>
  <c r="P11" s="1"/>
  <c r="Q11" s="1"/>
  <c r="R11" s="1"/>
  <c r="N11"/>
  <c r="L11"/>
  <c r="J11"/>
  <c r="BZ10"/>
  <c r="BW10"/>
  <c r="BT10"/>
  <c r="BQ10"/>
  <c r="BN10"/>
  <c r="BK10"/>
  <c r="BH10"/>
  <c r="BE10"/>
  <c r="BB10"/>
  <c r="AY10"/>
  <c r="AV10"/>
  <c r="AS10"/>
  <c r="AP10"/>
  <c r="AM10"/>
  <c r="AJ10"/>
  <c r="AG10"/>
  <c r="AD10"/>
  <c r="AA10"/>
  <c r="X10"/>
  <c r="U10"/>
  <c r="M10"/>
  <c r="L10"/>
  <c r="J10"/>
  <c r="BZ9"/>
  <c r="BT9"/>
  <c r="BN9"/>
  <c r="BH9"/>
  <c r="BB9"/>
  <c r="AV9"/>
  <c r="AP9"/>
  <c r="AJ9"/>
  <c r="AD9"/>
  <c r="X9"/>
  <c r="O9"/>
  <c r="P9" s="1"/>
  <c r="Q9" s="1"/>
  <c r="R9" s="1"/>
  <c r="N9"/>
  <c r="L9"/>
  <c r="J9"/>
  <c r="BZ8"/>
  <c r="BT8"/>
  <c r="BN8"/>
  <c r="BH8"/>
  <c r="BB8"/>
  <c r="AV8"/>
  <c r="AP8"/>
  <c r="AJ8"/>
  <c r="AD8"/>
  <c r="X8"/>
  <c r="O8"/>
  <c r="P8" s="1"/>
  <c r="Q8" s="1"/>
  <c r="R8" s="1"/>
  <c r="N8"/>
  <c r="L8"/>
  <c r="J8"/>
  <c r="BZ7"/>
  <c r="BW7"/>
  <c r="BT7"/>
  <c r="BQ7"/>
  <c r="BN7"/>
  <c r="BK7"/>
  <c r="BH7"/>
  <c r="BE7"/>
  <c r="BB7"/>
  <c r="AY7"/>
  <c r="AV7"/>
  <c r="AS7"/>
  <c r="AP7"/>
  <c r="AM7"/>
  <c r="AJ7"/>
  <c r="AG7"/>
  <c r="AD7"/>
  <c r="AA7"/>
  <c r="X7"/>
  <c r="U7"/>
  <c r="M7"/>
  <c r="H18" i="27" s="1"/>
  <c r="L7" i="18"/>
  <c r="J7"/>
  <c r="BZ6"/>
  <c r="BT6"/>
  <c r="BN6"/>
  <c r="BH6"/>
  <c r="BB6"/>
  <c r="AV6"/>
  <c r="AP6"/>
  <c r="AJ6"/>
  <c r="AD6"/>
  <c r="X6"/>
  <c r="O6"/>
  <c r="P6" s="1"/>
  <c r="Q6" s="1"/>
  <c r="R6" s="1"/>
  <c r="N6"/>
  <c r="L6"/>
  <c r="J6"/>
  <c r="BZ5"/>
  <c r="BT5"/>
  <c r="BN5"/>
  <c r="BH5"/>
  <c r="BB5"/>
  <c r="AV5"/>
  <c r="AP5"/>
  <c r="AJ5"/>
  <c r="AD5"/>
  <c r="X5"/>
  <c r="O5"/>
  <c r="N5"/>
  <c r="L5"/>
  <c r="J5"/>
  <c r="BZ4"/>
  <c r="BW4"/>
  <c r="BT4"/>
  <c r="BQ4"/>
  <c r="BN4"/>
  <c r="BK4"/>
  <c r="BH4"/>
  <c r="BE4"/>
  <c r="BB4"/>
  <c r="AY4"/>
  <c r="AV4"/>
  <c r="AS4"/>
  <c r="AP4"/>
  <c r="AM4"/>
  <c r="AJ4"/>
  <c r="AG4"/>
  <c r="AD4"/>
  <c r="AA4"/>
  <c r="X4"/>
  <c r="U4"/>
  <c r="M4"/>
  <c r="O4" s="1"/>
  <c r="P4" s="1"/>
  <c r="Q4" s="1"/>
  <c r="R4" s="1"/>
  <c r="L4"/>
  <c r="J4"/>
  <c r="BT3"/>
  <c r="AV3"/>
  <c r="BB3" s="1"/>
  <c r="W3"/>
  <c r="AC3" s="1"/>
  <c r="AI3" s="1"/>
  <c r="AO3" s="1"/>
  <c r="AU3" s="1"/>
  <c r="BA3" s="1"/>
  <c r="BG3" s="1"/>
  <c r="BM3" s="1"/>
  <c r="BS3" s="1"/>
  <c r="BY3" s="1"/>
  <c r="V3"/>
  <c r="AB3" s="1"/>
  <c r="AH3" s="1"/>
  <c r="AN3" s="1"/>
  <c r="AT3" s="1"/>
  <c r="AZ3" s="1"/>
  <c r="BF3" s="1"/>
  <c r="BL3" s="1"/>
  <c r="BR3" s="1"/>
  <c r="BX3" s="1"/>
  <c r="U3"/>
  <c r="AA3" s="1"/>
  <c r="AG3" s="1"/>
  <c r="AM3" s="1"/>
  <c r="AS3" s="1"/>
  <c r="AY3" s="1"/>
  <c r="BE3" s="1"/>
  <c r="BK3" s="1"/>
  <c r="BQ3" s="1"/>
  <c r="BW3" s="1"/>
  <c r="T3"/>
  <c r="Z3" s="1"/>
  <c r="AF3" s="1"/>
  <c r="AL3" s="1"/>
  <c r="AR3" s="1"/>
  <c r="AX3" s="1"/>
  <c r="BD3" s="1"/>
  <c r="BJ3" s="1"/>
  <c r="BP3" s="1"/>
  <c r="BV3" s="1"/>
  <c r="E147" i="24"/>
  <c r="C146"/>
  <c r="C144"/>
  <c r="A144"/>
  <c r="A143"/>
  <c r="D135"/>
  <c r="E130"/>
  <c r="D130"/>
  <c r="D120"/>
  <c r="D119"/>
  <c r="D118"/>
  <c r="D117"/>
  <c r="D115"/>
  <c r="D114"/>
  <c r="D113"/>
  <c r="D112"/>
  <c r="D111"/>
  <c r="D110"/>
  <c r="D109"/>
  <c r="D108"/>
  <c r="F107"/>
  <c r="D107"/>
  <c r="F106"/>
  <c r="D106"/>
  <c r="F105"/>
  <c r="D105"/>
  <c r="D102"/>
  <c r="E93"/>
  <c r="D93"/>
  <c r="D92"/>
  <c r="E91"/>
  <c r="D91"/>
  <c r="D90"/>
  <c r="D89"/>
  <c r="D88"/>
  <c r="R86"/>
  <c r="Q86"/>
  <c r="P86"/>
  <c r="O86"/>
  <c r="N86"/>
  <c r="M86"/>
  <c r="L86"/>
  <c r="K86"/>
  <c r="J86"/>
  <c r="I86"/>
  <c r="R66"/>
  <c r="Q66"/>
  <c r="P66"/>
  <c r="O66"/>
  <c r="N66"/>
  <c r="M66"/>
  <c r="L66"/>
  <c r="K66"/>
  <c r="J66"/>
  <c r="I66"/>
  <c r="E31"/>
  <c r="D31" s="1"/>
  <c r="P12"/>
  <c r="D10"/>
  <c r="F10" s="1"/>
  <c r="G10" s="1"/>
  <c r="O17" s="1"/>
  <c r="D108" i="25"/>
  <c r="N107"/>
  <c r="M107"/>
  <c r="L107"/>
  <c r="K107"/>
  <c r="J107"/>
  <c r="I107"/>
  <c r="H107"/>
  <c r="G107"/>
  <c r="F107"/>
  <c r="E107"/>
  <c r="C107"/>
  <c r="N105"/>
  <c r="M105"/>
  <c r="L105"/>
  <c r="K105"/>
  <c r="J105"/>
  <c r="I105"/>
  <c r="H105"/>
  <c r="G105"/>
  <c r="F105"/>
  <c r="E105"/>
  <c r="C105"/>
  <c r="N103"/>
  <c r="M103"/>
  <c r="L103"/>
  <c r="K103"/>
  <c r="J103"/>
  <c r="I103"/>
  <c r="H103"/>
  <c r="G103"/>
  <c r="F103"/>
  <c r="E103"/>
  <c r="C103"/>
  <c r="N101"/>
  <c r="M101"/>
  <c r="L101"/>
  <c r="K101"/>
  <c r="J101"/>
  <c r="I101"/>
  <c r="H101"/>
  <c r="G101"/>
  <c r="F101"/>
  <c r="E101"/>
  <c r="C101"/>
  <c r="N99"/>
  <c r="M99"/>
  <c r="L99"/>
  <c r="K99"/>
  <c r="J99"/>
  <c r="I99"/>
  <c r="H99"/>
  <c r="G99"/>
  <c r="F99"/>
  <c r="E99"/>
  <c r="C99"/>
  <c r="N97"/>
  <c r="M97"/>
  <c r="L97"/>
  <c r="K97"/>
  <c r="J97"/>
  <c r="I97"/>
  <c r="H97"/>
  <c r="G97"/>
  <c r="F97"/>
  <c r="E97"/>
  <c r="C97"/>
  <c r="N95"/>
  <c r="M95"/>
  <c r="L95"/>
  <c r="K95"/>
  <c r="J95"/>
  <c r="I95"/>
  <c r="H95"/>
  <c r="G95"/>
  <c r="F95"/>
  <c r="E95"/>
  <c r="C95"/>
  <c r="C93"/>
  <c r="L92"/>
  <c r="I92"/>
  <c r="H92"/>
  <c r="C92"/>
  <c r="M91"/>
  <c r="L91"/>
  <c r="C91"/>
  <c r="C90"/>
  <c r="M89"/>
  <c r="E89"/>
  <c r="C89"/>
  <c r="N88"/>
  <c r="M88"/>
  <c r="L88"/>
  <c r="K88"/>
  <c r="J88"/>
  <c r="I88"/>
  <c r="H88"/>
  <c r="G88"/>
  <c r="F88"/>
  <c r="E88"/>
  <c r="C87"/>
  <c r="N86"/>
  <c r="M86"/>
  <c r="L86"/>
  <c r="K86"/>
  <c r="J86"/>
  <c r="I86"/>
  <c r="H86"/>
  <c r="G86"/>
  <c r="F86"/>
  <c r="E86"/>
  <c r="N85"/>
  <c r="M85"/>
  <c r="L85"/>
  <c r="K85"/>
  <c r="J85"/>
  <c r="I85"/>
  <c r="H85"/>
  <c r="G85"/>
  <c r="F85"/>
  <c r="E85"/>
  <c r="C84"/>
  <c r="C83"/>
  <c r="I82"/>
  <c r="E82"/>
  <c r="C82"/>
  <c r="N81"/>
  <c r="M81"/>
  <c r="L81"/>
  <c r="K81"/>
  <c r="J81"/>
  <c r="I81"/>
  <c r="H81"/>
  <c r="G81"/>
  <c r="F81"/>
  <c r="E81"/>
  <c r="N80"/>
  <c r="M80"/>
  <c r="L80"/>
  <c r="K80"/>
  <c r="J80"/>
  <c r="I80"/>
  <c r="H80"/>
  <c r="G80"/>
  <c r="F80"/>
  <c r="E80"/>
  <c r="C79"/>
  <c r="N78"/>
  <c r="C78"/>
  <c r="N77"/>
  <c r="M77"/>
  <c r="L77"/>
  <c r="K77"/>
  <c r="J77"/>
  <c r="I77"/>
  <c r="H77"/>
  <c r="G77"/>
  <c r="F77"/>
  <c r="E77"/>
  <c r="N76"/>
  <c r="M76"/>
  <c r="L76"/>
  <c r="K76"/>
  <c r="J76"/>
  <c r="I76"/>
  <c r="H76"/>
  <c r="G76"/>
  <c r="F76"/>
  <c r="E76"/>
  <c r="M75"/>
  <c r="L75"/>
  <c r="G75"/>
  <c r="C75"/>
  <c r="C74"/>
  <c r="C73"/>
  <c r="H72"/>
  <c r="C72"/>
  <c r="G71"/>
  <c r="C71"/>
  <c r="N70"/>
  <c r="M70"/>
  <c r="L70"/>
  <c r="K70"/>
  <c r="J70"/>
  <c r="I70"/>
  <c r="H70"/>
  <c r="G70"/>
  <c r="F70"/>
  <c r="E70"/>
  <c r="N69"/>
  <c r="M69"/>
  <c r="L69"/>
  <c r="K69"/>
  <c r="J69"/>
  <c r="I69"/>
  <c r="H69"/>
  <c r="G69"/>
  <c r="F69"/>
  <c r="E69"/>
  <c r="C68"/>
  <c r="N67"/>
  <c r="M67"/>
  <c r="L67"/>
  <c r="K67"/>
  <c r="J67"/>
  <c r="I67"/>
  <c r="H67"/>
  <c r="G67"/>
  <c r="F67"/>
  <c r="E67"/>
  <c r="C67"/>
  <c r="N66"/>
  <c r="M66"/>
  <c r="L66"/>
  <c r="K66"/>
  <c r="J66"/>
  <c r="I66"/>
  <c r="H66"/>
  <c r="G66"/>
  <c r="F66"/>
  <c r="E66"/>
  <c r="C66"/>
  <c r="C65"/>
  <c r="C64"/>
  <c r="C63"/>
  <c r="C62"/>
  <c r="C61"/>
  <c r="N60"/>
  <c r="C60"/>
  <c r="C59"/>
  <c r="C58"/>
  <c r="C57"/>
  <c r="R56"/>
  <c r="J56"/>
  <c r="C56"/>
  <c r="N55"/>
  <c r="M55"/>
  <c r="L55"/>
  <c r="K55"/>
  <c r="J55"/>
  <c r="I55"/>
  <c r="H55"/>
  <c r="G55"/>
  <c r="F55"/>
  <c r="E55"/>
  <c r="N54"/>
  <c r="M54"/>
  <c r="L54"/>
  <c r="K54"/>
  <c r="J54"/>
  <c r="I54"/>
  <c r="H54"/>
  <c r="G54"/>
  <c r="F54"/>
  <c r="E54"/>
  <c r="I53"/>
  <c r="C53"/>
  <c r="N52"/>
  <c r="M52"/>
  <c r="L52"/>
  <c r="K52"/>
  <c r="J52"/>
  <c r="I52"/>
  <c r="H52"/>
  <c r="G52"/>
  <c r="F52"/>
  <c r="E52"/>
  <c r="N51"/>
  <c r="M51"/>
  <c r="L51"/>
  <c r="K51"/>
  <c r="J51"/>
  <c r="I51"/>
  <c r="H51"/>
  <c r="G51"/>
  <c r="F51"/>
  <c r="E51"/>
  <c r="R50"/>
  <c r="F50"/>
  <c r="C50"/>
  <c r="C49"/>
  <c r="C48"/>
  <c r="C47"/>
  <c r="C46"/>
  <c r="N45"/>
  <c r="M45"/>
  <c r="L45"/>
  <c r="K45"/>
  <c r="J45"/>
  <c r="I45"/>
  <c r="H45"/>
  <c r="G45"/>
  <c r="F45"/>
  <c r="E45"/>
  <c r="C45"/>
  <c r="C44"/>
  <c r="C43"/>
  <c r="C42"/>
  <c r="C41"/>
  <c r="C40"/>
  <c r="C39"/>
  <c r="C38"/>
  <c r="C37"/>
  <c r="C34"/>
  <c r="C33"/>
  <c r="C32"/>
  <c r="C31"/>
  <c r="C30"/>
  <c r="C29"/>
  <c r="C28"/>
  <c r="C25"/>
  <c r="C22"/>
  <c r="C21"/>
  <c r="C20"/>
  <c r="C19"/>
  <c r="C16"/>
  <c r="C13"/>
  <c r="C10"/>
  <c r="C9"/>
  <c r="C8"/>
  <c r="C7"/>
  <c r="C6"/>
  <c r="C5"/>
  <c r="C4"/>
  <c r="C3"/>
  <c r="C2"/>
  <c r="I126" i="26"/>
  <c r="H126"/>
  <c r="G126"/>
  <c r="F126"/>
  <c r="C125"/>
  <c r="C124"/>
  <c r="G123"/>
  <c r="H123" s="1"/>
  <c r="C123"/>
  <c r="G122"/>
  <c r="H122" s="1"/>
  <c r="C122"/>
  <c r="C121"/>
  <c r="H120"/>
  <c r="C120"/>
  <c r="H119"/>
  <c r="C119"/>
  <c r="H118"/>
  <c r="C118"/>
  <c r="H117"/>
  <c r="C117"/>
  <c r="H116"/>
  <c r="C116"/>
  <c r="H115"/>
  <c r="C115"/>
  <c r="H114"/>
  <c r="C114"/>
  <c r="H113"/>
  <c r="C113"/>
  <c r="C112"/>
  <c r="G111"/>
  <c r="C111"/>
  <c r="H110"/>
  <c r="H124" s="1"/>
  <c r="G110"/>
  <c r="C110"/>
  <c r="G109"/>
  <c r="C109"/>
  <c r="G108"/>
  <c r="C108"/>
  <c r="H107"/>
  <c r="C107"/>
  <c r="G106"/>
  <c r="G124" s="1"/>
  <c r="C106"/>
  <c r="G105"/>
  <c r="C105"/>
  <c r="C104"/>
  <c r="H103"/>
  <c r="C103"/>
  <c r="H102"/>
  <c r="G102"/>
  <c r="C102"/>
  <c r="G101"/>
  <c r="H101" s="1"/>
  <c r="C101"/>
  <c r="C100"/>
  <c r="C99"/>
  <c r="H98"/>
  <c r="G98"/>
  <c r="C98"/>
  <c r="C97"/>
  <c r="C73"/>
  <c r="C72"/>
  <c r="C71"/>
  <c r="C70"/>
  <c r="C69"/>
  <c r="C68"/>
  <c r="C67"/>
  <c r="C66"/>
  <c r="F65"/>
  <c r="C65"/>
  <c r="F64"/>
  <c r="C64"/>
  <c r="C63"/>
  <c r="E62"/>
  <c r="C62"/>
  <c r="E61"/>
  <c r="E126" s="1"/>
  <c r="C61"/>
  <c r="I60"/>
  <c r="C60"/>
  <c r="I59"/>
  <c r="C59"/>
  <c r="I58"/>
  <c r="C58"/>
  <c r="I57"/>
  <c r="C57"/>
  <c r="C56"/>
  <c r="E54"/>
  <c r="C54"/>
  <c r="E53"/>
  <c r="C53"/>
  <c r="G52"/>
  <c r="C52"/>
  <c r="E50"/>
  <c r="C50"/>
  <c r="G48"/>
  <c r="E48"/>
  <c r="C48"/>
  <c r="E47"/>
  <c r="C47"/>
  <c r="E45"/>
  <c r="C45"/>
  <c r="E43"/>
  <c r="C43"/>
  <c r="E42"/>
  <c r="C42"/>
  <c r="E40"/>
  <c r="C40"/>
  <c r="E38"/>
  <c r="C38"/>
  <c r="E36"/>
  <c r="C36"/>
  <c r="E35"/>
  <c r="C35"/>
  <c r="E34"/>
  <c r="C34"/>
  <c r="E32"/>
  <c r="C32"/>
  <c r="E31"/>
  <c r="C31"/>
  <c r="E30"/>
  <c r="C30"/>
  <c r="E29"/>
  <c r="C29"/>
  <c r="E28"/>
  <c r="C28"/>
  <c r="E27"/>
  <c r="C27"/>
  <c r="E25"/>
  <c r="C25"/>
  <c r="E23"/>
  <c r="C23"/>
  <c r="E21"/>
  <c r="C21"/>
  <c r="C20"/>
  <c r="C18"/>
  <c r="C17"/>
  <c r="C16"/>
  <c r="E14"/>
  <c r="C14"/>
  <c r="E13"/>
  <c r="C13"/>
  <c r="E12"/>
  <c r="C12"/>
  <c r="C11"/>
  <c r="C10"/>
  <c r="C9"/>
  <c r="C8"/>
  <c r="C7"/>
  <c r="J82" i="27"/>
  <c r="H82"/>
  <c r="G82"/>
  <c r="F82"/>
  <c r="E82"/>
  <c r="C81"/>
  <c r="J80"/>
  <c r="I80"/>
  <c r="G80"/>
  <c r="F80"/>
  <c r="C80"/>
  <c r="C79"/>
  <c r="C78"/>
  <c r="J77"/>
  <c r="I77"/>
  <c r="H77"/>
  <c r="H80" s="1"/>
  <c r="G77"/>
  <c r="F77"/>
  <c r="C77"/>
  <c r="C74"/>
  <c r="C73"/>
  <c r="C72"/>
  <c r="J71"/>
  <c r="I71"/>
  <c r="H71"/>
  <c r="F71"/>
  <c r="C71"/>
  <c r="C70"/>
  <c r="C69"/>
  <c r="C68"/>
  <c r="C67"/>
  <c r="C66"/>
  <c r="C65"/>
  <c r="C64"/>
  <c r="C63"/>
  <c r="C62"/>
  <c r="C61"/>
  <c r="C60"/>
  <c r="C59"/>
  <c r="C58"/>
  <c r="C57"/>
  <c r="C56"/>
  <c r="C55"/>
  <c r="C54"/>
  <c r="C53"/>
  <c r="E52"/>
  <c r="C52"/>
  <c r="E51"/>
  <c r="C51"/>
  <c r="E50"/>
  <c r="C50"/>
  <c r="C49"/>
  <c r="E48"/>
  <c r="C48"/>
  <c r="C47"/>
  <c r="C46"/>
  <c r="C45"/>
  <c r="C44"/>
  <c r="C43"/>
  <c r="C42"/>
  <c r="C41"/>
  <c r="C40"/>
  <c r="C39"/>
  <c r="C37"/>
  <c r="C36"/>
  <c r="C35"/>
  <c r="C34"/>
  <c r="C33"/>
  <c r="C32"/>
  <c r="C31"/>
  <c r="C30"/>
  <c r="C29"/>
  <c r="C28"/>
  <c r="C27"/>
  <c r="C26"/>
  <c r="J25"/>
  <c r="I25"/>
  <c r="H25"/>
  <c r="G25"/>
  <c r="C25"/>
  <c r="C24"/>
  <c r="J23"/>
  <c r="I23"/>
  <c r="H23"/>
  <c r="G23"/>
  <c r="C23"/>
  <c r="C22"/>
  <c r="C21"/>
  <c r="C20"/>
  <c r="C18"/>
  <c r="C17"/>
  <c r="E16"/>
  <c r="C16"/>
  <c r="J15"/>
  <c r="I15"/>
  <c r="H15"/>
  <c r="G15"/>
  <c r="F15"/>
  <c r="C15"/>
  <c r="J14"/>
  <c r="I14"/>
  <c r="H14"/>
  <c r="G14"/>
  <c r="F14"/>
  <c r="C14"/>
  <c r="J13"/>
  <c r="I13"/>
  <c r="H13"/>
  <c r="G13"/>
  <c r="F13"/>
  <c r="C13"/>
  <c r="J12"/>
  <c r="I12"/>
  <c r="H12"/>
  <c r="G12"/>
  <c r="F12"/>
  <c r="C12"/>
  <c r="J11"/>
  <c r="I11"/>
  <c r="H11"/>
  <c r="G11"/>
  <c r="F11"/>
  <c r="C11"/>
  <c r="J10"/>
  <c r="I10"/>
  <c r="H10"/>
  <c r="G10"/>
  <c r="F10"/>
  <c r="C10"/>
  <c r="C9"/>
  <c r="C8"/>
  <c r="E7"/>
  <c r="E8" s="1"/>
  <c r="C6"/>
  <c r="J5"/>
  <c r="J6" s="1"/>
  <c r="I5"/>
  <c r="I6" s="1"/>
  <c r="H5"/>
  <c r="H6" s="1"/>
  <c r="G5"/>
  <c r="G6" s="1"/>
  <c r="F5"/>
  <c r="F6" s="1"/>
  <c r="C4"/>
  <c r="E3"/>
  <c r="C3"/>
  <c r="C2"/>
  <c r="G2" i="33"/>
  <c r="H2" s="1"/>
  <c r="G121" i="32"/>
  <c r="F121"/>
  <c r="F120"/>
  <c r="G120" s="1"/>
  <c r="G119"/>
  <c r="F119"/>
  <c r="F118"/>
  <c r="G118" s="1"/>
  <c r="G117"/>
  <c r="F117"/>
  <c r="F116"/>
  <c r="G116" s="1"/>
  <c r="G114"/>
  <c r="F114"/>
  <c r="G113"/>
  <c r="F113"/>
  <c r="G112"/>
  <c r="F112"/>
  <c r="G111"/>
  <c r="F111"/>
  <c r="G110"/>
  <c r="F110"/>
  <c r="F109"/>
  <c r="G109" s="1"/>
  <c r="F108"/>
  <c r="G108" s="1"/>
  <c r="F107"/>
  <c r="G107" s="1"/>
  <c r="F106"/>
  <c r="G106" s="1"/>
  <c r="F105"/>
  <c r="G105" s="1"/>
  <c r="G104"/>
  <c r="F104"/>
  <c r="F103"/>
  <c r="G103" s="1"/>
  <c r="G102"/>
  <c r="F102"/>
  <c r="F101"/>
  <c r="G101" s="1"/>
  <c r="G100"/>
  <c r="F100"/>
  <c r="F99"/>
  <c r="G99" s="1"/>
  <c r="G98"/>
  <c r="F98"/>
  <c r="F97"/>
  <c r="G97" s="1"/>
  <c r="G96"/>
  <c r="F96"/>
  <c r="F95"/>
  <c r="G95" s="1"/>
  <c r="G94"/>
  <c r="F94"/>
  <c r="F93"/>
  <c r="G93" s="1"/>
  <c r="G92"/>
  <c r="F92"/>
  <c r="F90"/>
  <c r="G90" s="1"/>
  <c r="G89"/>
  <c r="F89"/>
  <c r="F88"/>
  <c r="G88" s="1"/>
  <c r="G87"/>
  <c r="F87"/>
  <c r="F86"/>
  <c r="G86" s="1"/>
  <c r="F85"/>
  <c r="G85" s="1"/>
  <c r="F84"/>
  <c r="G84" s="1"/>
  <c r="F83"/>
  <c r="G83" s="1"/>
  <c r="F82"/>
  <c r="G82" s="1"/>
  <c r="G81"/>
  <c r="F81"/>
  <c r="F80"/>
  <c r="G80" s="1"/>
  <c r="G79"/>
  <c r="F79"/>
  <c r="F78"/>
  <c r="G78" s="1"/>
  <c r="F77"/>
  <c r="G77" s="1"/>
  <c r="F76"/>
  <c r="G76" s="1"/>
  <c r="F74"/>
  <c r="G74" s="1"/>
  <c r="F73"/>
  <c r="G73" s="1"/>
  <c r="F72"/>
  <c r="G72" s="1"/>
  <c r="F71"/>
  <c r="G71" s="1"/>
  <c r="F70"/>
  <c r="G70" s="1"/>
  <c r="G69"/>
  <c r="F69"/>
  <c r="F68"/>
  <c r="G68" s="1"/>
  <c r="G67"/>
  <c r="F67"/>
  <c r="F66"/>
  <c r="G66" s="1"/>
  <c r="F65"/>
  <c r="G65" s="1"/>
  <c r="F64"/>
  <c r="G64" s="1"/>
  <c r="F63"/>
  <c r="G63" s="1"/>
  <c r="F62"/>
  <c r="G62" s="1"/>
  <c r="F61"/>
  <c r="G61" s="1"/>
  <c r="G60"/>
  <c r="F60"/>
  <c r="F59"/>
  <c r="G59" s="1"/>
  <c r="G58"/>
  <c r="F58"/>
  <c r="F57"/>
  <c r="G57" s="1"/>
  <c r="G56"/>
  <c r="F56"/>
  <c r="F55"/>
  <c r="G55" s="1"/>
  <c r="G54"/>
  <c r="F54"/>
  <c r="G53"/>
  <c r="F53"/>
  <c r="F52"/>
  <c r="G52" s="1"/>
  <c r="G50"/>
  <c r="F50"/>
  <c r="G49"/>
  <c r="F49"/>
  <c r="G48"/>
  <c r="F48"/>
  <c r="G47"/>
  <c r="F47"/>
  <c r="G46"/>
  <c r="F46"/>
  <c r="F45"/>
  <c r="G45" s="1"/>
  <c r="F44"/>
  <c r="G44" s="1"/>
  <c r="F43"/>
  <c r="G43" s="1"/>
  <c r="F42"/>
  <c r="G42" s="1"/>
  <c r="F41"/>
  <c r="G41" s="1"/>
  <c r="F40"/>
  <c r="G40" s="1"/>
  <c r="F39"/>
  <c r="G39" s="1"/>
  <c r="F38"/>
  <c r="G38" s="1"/>
  <c r="G37"/>
  <c r="F37"/>
  <c r="G36"/>
  <c r="F36"/>
  <c r="G34"/>
  <c r="F34"/>
  <c r="G33"/>
  <c r="F33"/>
  <c r="G32"/>
  <c r="F32"/>
  <c r="G31"/>
  <c r="F31"/>
  <c r="G30"/>
  <c r="F30"/>
  <c r="F29"/>
  <c r="G29" s="1"/>
  <c r="F28"/>
  <c r="G28" s="1"/>
  <c r="F27"/>
  <c r="G27" s="1"/>
  <c r="F26"/>
  <c r="G26" s="1"/>
  <c r="G25"/>
  <c r="F25"/>
  <c r="F24"/>
  <c r="G24" s="1"/>
  <c r="G23"/>
  <c r="F23"/>
  <c r="F22"/>
  <c r="G22" s="1"/>
  <c r="F21"/>
  <c r="G21" s="1"/>
  <c r="G20"/>
  <c r="F20"/>
  <c r="F19"/>
  <c r="G19" s="1"/>
  <c r="G18"/>
  <c r="F18"/>
  <c r="F17"/>
  <c r="G17" s="1"/>
  <c r="G16"/>
  <c r="F16"/>
  <c r="F15"/>
  <c r="G15" s="1"/>
  <c r="G14"/>
  <c r="F14"/>
  <c r="G13"/>
  <c r="F13"/>
  <c r="G12"/>
  <c r="F12"/>
  <c r="G10"/>
  <c r="F10"/>
  <c r="G9"/>
  <c r="F9"/>
  <c r="F8"/>
  <c r="G8" s="1"/>
  <c r="G7"/>
  <c r="F7"/>
  <c r="F6"/>
  <c r="G6" s="1"/>
  <c r="F5"/>
  <c r="G5" s="1"/>
  <c r="G4"/>
  <c r="F4"/>
  <c r="F3"/>
  <c r="G3" s="1"/>
  <c r="E51" i="30"/>
  <c r="F51" s="1"/>
  <c r="E50"/>
  <c r="F50" s="1"/>
  <c r="E49"/>
  <c r="F49" s="1"/>
  <c r="E48"/>
  <c r="F48" s="1"/>
  <c r="E47"/>
  <c r="F47" s="1"/>
  <c r="E46"/>
  <c r="F46" s="1"/>
  <c r="F45"/>
  <c r="E45"/>
  <c r="E42"/>
  <c r="F42" s="1"/>
  <c r="E41"/>
  <c r="F41" s="1"/>
  <c r="E40"/>
  <c r="F40" s="1"/>
  <c r="E39"/>
  <c r="F39" s="1"/>
  <c r="E37"/>
  <c r="F37" s="1"/>
  <c r="E36"/>
  <c r="F36" s="1"/>
  <c r="E32"/>
  <c r="F32" s="1"/>
  <c r="E31"/>
  <c r="F31" s="1"/>
  <c r="F30"/>
  <c r="E30"/>
  <c r="E29"/>
  <c r="F29" s="1"/>
  <c r="F28"/>
  <c r="E28"/>
  <c r="E27"/>
  <c r="F27" s="1"/>
  <c r="F26"/>
  <c r="E26"/>
  <c r="E25"/>
  <c r="F25" s="1"/>
  <c r="F22"/>
  <c r="E22"/>
  <c r="E21"/>
  <c r="F21" s="1"/>
  <c r="E19"/>
  <c r="F19" s="1"/>
  <c r="E17"/>
  <c r="F17" s="1"/>
  <c r="E16"/>
  <c r="F16" s="1"/>
  <c r="E15"/>
  <c r="F15" s="1"/>
  <c r="E12"/>
  <c r="F12" s="1"/>
  <c r="E11"/>
  <c r="F11" s="1"/>
  <c r="E9"/>
  <c r="F9" s="1"/>
  <c r="E8"/>
  <c r="F8" s="1"/>
  <c r="E7"/>
  <c r="F7" s="1"/>
  <c r="E6"/>
  <c r="F6" s="1"/>
  <c r="E5"/>
  <c r="F5" s="1"/>
  <c r="E4"/>
  <c r="F4" s="1"/>
  <c r="E3"/>
  <c r="F3" s="1"/>
  <c r="E2"/>
  <c r="F2" s="1"/>
  <c r="E51" i="29"/>
  <c r="F51" s="1"/>
  <c r="E50"/>
  <c r="F50" s="1"/>
  <c r="E49"/>
  <c r="F49" s="1"/>
  <c r="E48"/>
  <c r="F48" s="1"/>
  <c r="E47"/>
  <c r="F47" s="1"/>
  <c r="E46"/>
  <c r="F46" s="1"/>
  <c r="F45"/>
  <c r="E45"/>
  <c r="E42"/>
  <c r="F42" s="1"/>
  <c r="F41"/>
  <c r="E41"/>
  <c r="E40"/>
  <c r="F40" s="1"/>
  <c r="E39"/>
  <c r="F39" s="1"/>
  <c r="E37"/>
  <c r="F37" s="1"/>
  <c r="E36"/>
  <c r="F36" s="1"/>
  <c r="F31"/>
  <c r="E31"/>
  <c r="E30"/>
  <c r="F30" s="1"/>
  <c r="E29"/>
  <c r="F29" s="1"/>
  <c r="E28"/>
  <c r="F28" s="1"/>
  <c r="F27"/>
  <c r="E27"/>
  <c r="E26"/>
  <c r="F26" s="1"/>
  <c r="E25"/>
  <c r="F25" s="1"/>
  <c r="F22"/>
  <c r="E22"/>
  <c r="E21"/>
  <c r="F21" s="1"/>
  <c r="E19"/>
  <c r="F19" s="1"/>
  <c r="E17"/>
  <c r="F17" s="1"/>
  <c r="E16"/>
  <c r="F16" s="1"/>
  <c r="E15"/>
  <c r="F15" s="1"/>
  <c r="E11"/>
  <c r="F11" s="1"/>
  <c r="E9"/>
  <c r="F9" s="1"/>
  <c r="E8"/>
  <c r="F8" s="1"/>
  <c r="E7"/>
  <c r="F7" s="1"/>
  <c r="E6"/>
  <c r="F6" s="1"/>
  <c r="E5"/>
  <c r="F5" s="1"/>
  <c r="E4"/>
  <c r="F4" s="1"/>
  <c r="E3"/>
  <c r="F3" s="1"/>
  <c r="F61" i="28"/>
  <c r="G61" s="1"/>
  <c r="F60"/>
  <c r="G60" s="1"/>
  <c r="F59"/>
  <c r="G59" s="1"/>
  <c r="G58"/>
  <c r="F58"/>
  <c r="F57"/>
  <c r="G57" s="1"/>
  <c r="F56"/>
  <c r="G56" s="1"/>
  <c r="F55"/>
  <c r="G55" s="1"/>
  <c r="F54"/>
  <c r="G54" s="1"/>
  <c r="F53"/>
  <c r="G53" s="1"/>
  <c r="G51"/>
  <c r="F51"/>
  <c r="F50"/>
  <c r="G50" s="1"/>
  <c r="F49"/>
  <c r="G49" s="1"/>
  <c r="F48"/>
  <c r="G48" s="1"/>
  <c r="F47"/>
  <c r="G47" s="1"/>
  <c r="F46"/>
  <c r="G46" s="1"/>
  <c r="F45"/>
  <c r="G45" s="1"/>
  <c r="F43"/>
  <c r="G43" s="1"/>
  <c r="F40"/>
  <c r="G40" s="1"/>
  <c r="F39"/>
  <c r="G39" s="1"/>
  <c r="F38"/>
  <c r="G38" s="1"/>
  <c r="F31"/>
  <c r="G31" s="1"/>
  <c r="F30"/>
  <c r="G30" s="1"/>
  <c r="F29"/>
  <c r="G29" s="1"/>
  <c r="G28"/>
  <c r="F28"/>
  <c r="F27"/>
  <c r="G27" s="1"/>
  <c r="F26"/>
  <c r="G26" s="1"/>
  <c r="F25"/>
  <c r="G25" s="1"/>
  <c r="F23"/>
  <c r="G23" s="1"/>
  <c r="F22"/>
  <c r="G22" s="1"/>
  <c r="F21"/>
  <c r="G21" s="1"/>
  <c r="F20"/>
  <c r="G20" s="1"/>
  <c r="F19"/>
  <c r="G19" s="1"/>
  <c r="F18"/>
  <c r="G18" s="1"/>
  <c r="F15"/>
  <c r="G15" s="1"/>
  <c r="F14"/>
  <c r="G14" s="1"/>
  <c r="F13"/>
  <c r="G13" s="1"/>
  <c r="F11"/>
  <c r="G11" s="1"/>
  <c r="F10"/>
  <c r="G10" s="1"/>
  <c r="F9"/>
  <c r="G9" s="1"/>
  <c r="F8"/>
  <c r="G8" s="1"/>
  <c r="F7"/>
  <c r="G7" s="1"/>
  <c r="F6"/>
  <c r="G6" s="1"/>
  <c r="F5"/>
  <c r="G5" s="1"/>
  <c r="F4"/>
  <c r="G4" s="1"/>
  <c r="F3"/>
  <c r="G3" s="1"/>
  <c r="G32" i="27"/>
  <c r="H32"/>
  <c r="J32"/>
  <c r="I32"/>
  <c r="F30"/>
  <c r="H30"/>
  <c r="I30"/>
  <c r="J30"/>
  <c r="M24" i="6" l="1"/>
  <c r="AV5" i="20"/>
  <c r="AJ23"/>
  <c r="BS28"/>
  <c r="M74" i="25" s="1"/>
  <c r="AJ5" i="20"/>
  <c r="BN5"/>
  <c r="BA28"/>
  <c r="J74" i="25" s="1"/>
  <c r="E93"/>
  <c r="I93"/>
  <c r="BT5" i="20"/>
  <c r="BB23"/>
  <c r="AO28"/>
  <c r="H74" i="25" s="1"/>
  <c r="BG28" i="20"/>
  <c r="K74" i="25" s="1"/>
  <c r="BY28" i="20"/>
  <c r="N74" i="25" s="1"/>
  <c r="BG40" i="20"/>
  <c r="K83" i="25" s="1"/>
  <c r="M50" i="20"/>
  <c r="O50" s="1"/>
  <c r="P50" s="1"/>
  <c r="Q50" s="1"/>
  <c r="R50" s="1"/>
  <c r="N91" i="25"/>
  <c r="K17" i="20"/>
  <c r="AI40"/>
  <c r="G83" i="25" s="1"/>
  <c r="BM40" i="20"/>
  <c r="L83" i="25" s="1"/>
  <c r="M48" i="20"/>
  <c r="O48" s="1"/>
  <c r="P48" s="1"/>
  <c r="Q48" s="1"/>
  <c r="R48" s="1"/>
  <c r="AO4" i="19"/>
  <c r="R60" i="25"/>
  <c r="AJ19" i="19"/>
  <c r="O5" i="24"/>
  <c r="R5" s="1"/>
  <c r="K31" i="10"/>
  <c r="K33" s="1"/>
  <c r="K36" s="1"/>
  <c r="K40" s="1"/>
  <c r="J31"/>
  <c r="J33" s="1"/>
  <c r="J36" s="1"/>
  <c r="J40" s="1"/>
  <c r="D57" i="24"/>
  <c r="K32" i="10"/>
  <c r="K34" s="1"/>
  <c r="J32"/>
  <c r="J34" s="1"/>
  <c r="I33"/>
  <c r="I36" s="1"/>
  <c r="I40" s="1"/>
  <c r="I32"/>
  <c r="I34" s="1"/>
  <c r="H39" i="27"/>
  <c r="S38" i="2"/>
  <c r="S25" i="5"/>
  <c r="T25" s="1"/>
  <c r="U25" s="1"/>
  <c r="V25" s="1"/>
  <c r="G112" i="26"/>
  <c r="O7" i="5"/>
  <c r="BG22" i="19"/>
  <c r="K49" i="25" s="1"/>
  <c r="BM4" i="19"/>
  <c r="G78" i="26"/>
  <c r="N89" i="25"/>
  <c r="N93" s="1"/>
  <c r="AP5" i="20"/>
  <c r="BH5"/>
  <c r="L93" i="25"/>
  <c r="X23" i="20"/>
  <c r="AP23"/>
  <c r="BT23"/>
  <c r="BM28"/>
  <c r="L74" i="25" s="1"/>
  <c r="G93"/>
  <c r="K93"/>
  <c r="AO40" i="20"/>
  <c r="H83" i="25" s="1"/>
  <c r="H93"/>
  <c r="BZ5" i="20"/>
  <c r="BN23"/>
  <c r="BG32"/>
  <c r="K75" i="25" s="1"/>
  <c r="BH23" i="20"/>
  <c r="L28"/>
  <c r="BB5"/>
  <c r="AU28"/>
  <c r="I74" i="25" s="1"/>
  <c r="AV23" i="20"/>
  <c r="AC28"/>
  <c r="F74" i="25" s="1"/>
  <c r="AD23" i="20"/>
  <c r="AD5"/>
  <c r="W28"/>
  <c r="L12"/>
  <c r="X5"/>
  <c r="M5"/>
  <c r="O5" s="1"/>
  <c r="P5" s="1"/>
  <c r="Q5" s="1"/>
  <c r="R5" s="1"/>
  <c r="N63" i="25"/>
  <c r="N73"/>
  <c r="M23" i="20"/>
  <c r="I72" i="27" s="1"/>
  <c r="AO63" i="20"/>
  <c r="L87" i="24" s="1"/>
  <c r="L67"/>
  <c r="BA63" i="20"/>
  <c r="N87" i="24" s="1"/>
  <c r="N67"/>
  <c r="BY63" i="20"/>
  <c r="R87" i="24" s="1"/>
  <c r="R67"/>
  <c r="W12" i="20"/>
  <c r="E65" i="25" s="1"/>
  <c r="AC12" i="20"/>
  <c r="F65" i="25" s="1"/>
  <c r="AI12" i="20"/>
  <c r="G65" i="25" s="1"/>
  <c r="AO12" i="20"/>
  <c r="H65" i="25" s="1"/>
  <c r="AU12" i="20"/>
  <c r="I65" i="25" s="1"/>
  <c r="BA12" i="20"/>
  <c r="J65" i="25" s="1"/>
  <c r="BG12" i="20"/>
  <c r="K65" i="25" s="1"/>
  <c r="BM12" i="20"/>
  <c r="L65" i="25" s="1"/>
  <c r="BS12" i="20"/>
  <c r="M65" i="25" s="1"/>
  <c r="BY12" i="20"/>
  <c r="AC32"/>
  <c r="F75" i="25" s="1"/>
  <c r="BA32" i="20"/>
  <c r="J75" i="25" s="1"/>
  <c r="BY32" i="20"/>
  <c r="AC40"/>
  <c r="F83" i="25" s="1"/>
  <c r="BA40" i="20"/>
  <c r="J83" i="25" s="1"/>
  <c r="BY40" i="20"/>
  <c r="U60"/>
  <c r="U61" s="1"/>
  <c r="U65" s="1"/>
  <c r="AS57"/>
  <c r="BQ60"/>
  <c r="BQ61" s="1"/>
  <c r="BQ65" s="1"/>
  <c r="K12"/>
  <c r="BK57"/>
  <c r="M22"/>
  <c r="G71" i="27" s="1"/>
  <c r="L32" i="20"/>
  <c r="L40"/>
  <c r="M46"/>
  <c r="G91" i="26" s="1"/>
  <c r="L5" i="20"/>
  <c r="N15"/>
  <c r="N16"/>
  <c r="L23"/>
  <c r="K28"/>
  <c r="W32"/>
  <c r="E75" i="25" s="1"/>
  <c r="AU32" i="20"/>
  <c r="I75" i="25" s="1"/>
  <c r="M35" i="20"/>
  <c r="G86" i="26" s="1"/>
  <c r="W40" i="20"/>
  <c r="E83" i="25" s="1"/>
  <c r="AU40" i="20"/>
  <c r="I83" i="25" s="1"/>
  <c r="BS40" i="20"/>
  <c r="M83" i="25" s="1"/>
  <c r="BZ19" i="19"/>
  <c r="AI22"/>
  <c r="G49" i="25" s="1"/>
  <c r="BM22" i="19"/>
  <c r="L49" i="25" s="1"/>
  <c r="W4" i="19"/>
  <c r="BA4"/>
  <c r="H61" i="25"/>
  <c r="L4" i="19"/>
  <c r="K61" i="25"/>
  <c r="L61"/>
  <c r="G61"/>
  <c r="F61"/>
  <c r="J61"/>
  <c r="N61"/>
  <c r="AC4" i="19"/>
  <c r="BY4"/>
  <c r="M11"/>
  <c r="O11" s="1"/>
  <c r="P11" s="1"/>
  <c r="Q11" s="1"/>
  <c r="R11" s="1"/>
  <c r="R58" i="25"/>
  <c r="BH19" i="19"/>
  <c r="BB19"/>
  <c r="AO22"/>
  <c r="H49" i="25" s="1"/>
  <c r="R53"/>
  <c r="AD19" i="19"/>
  <c r="M61" i="25"/>
  <c r="M34" i="19"/>
  <c r="I8" i="26" s="1"/>
  <c r="M36" i="19"/>
  <c r="R57" i="25"/>
  <c r="F66" i="24"/>
  <c r="D66" s="1"/>
  <c r="AI4" i="19"/>
  <c r="BG4"/>
  <c r="X19"/>
  <c r="AV19"/>
  <c r="BT19"/>
  <c r="AC22"/>
  <c r="F49" i="25" s="1"/>
  <c r="BA22" i="19"/>
  <c r="J49" i="25" s="1"/>
  <c r="BY22" i="19"/>
  <c r="N49" i="25" s="1"/>
  <c r="E61"/>
  <c r="AU4" i="19"/>
  <c r="BS4"/>
  <c r="L22"/>
  <c r="M31"/>
  <c r="E65" i="27" s="1"/>
  <c r="I61" i="25"/>
  <c r="M25" i="19"/>
  <c r="E60" i="27" s="1"/>
  <c r="M29" i="19"/>
  <c r="O29" s="1"/>
  <c r="P29" s="1"/>
  <c r="Q29" s="1"/>
  <c r="R29" s="1"/>
  <c r="N53" i="25"/>
  <c r="F86" i="24"/>
  <c r="D86" s="1"/>
  <c r="N12" i="19"/>
  <c r="AP19"/>
  <c r="BN19"/>
  <c r="W22"/>
  <c r="E49" i="25" s="1"/>
  <c r="AU22" i="19"/>
  <c r="I49" i="25" s="1"/>
  <c r="BS22" i="19"/>
  <c r="M49" i="25" s="1"/>
  <c r="M38" i="19"/>
  <c r="O38" s="1"/>
  <c r="P38" s="1"/>
  <c r="Q38" s="1"/>
  <c r="R38" s="1"/>
  <c r="P17" i="3"/>
  <c r="Q17" s="1"/>
  <c r="R17" s="1"/>
  <c r="S17" s="1"/>
  <c r="E42" i="27"/>
  <c r="N16" i="3"/>
  <c r="N23" s="1"/>
  <c r="P16"/>
  <c r="Q16" s="1"/>
  <c r="R16" s="1"/>
  <c r="S16" s="1"/>
  <c r="O17"/>
  <c r="L24"/>
  <c r="E49" i="27"/>
  <c r="V8" i="2"/>
  <c r="W8" s="1"/>
  <c r="X8" s="1"/>
  <c r="E18" i="26"/>
  <c r="E127" s="1"/>
  <c r="E128" s="1"/>
  <c r="D133" s="1"/>
  <c r="O12" i="4"/>
  <c r="P6"/>
  <c r="E52" i="24"/>
  <c r="D52" s="1"/>
  <c r="E32"/>
  <c r="D32" s="1"/>
  <c r="D11" s="1"/>
  <c r="F11" s="1"/>
  <c r="G11" s="1"/>
  <c r="O13" s="1"/>
  <c r="K138" i="12"/>
  <c r="E132" i="24" s="1"/>
  <c r="D132" s="1"/>
  <c r="E39" i="27"/>
  <c r="J29"/>
  <c r="J41" s="1"/>
  <c r="K14" i="18"/>
  <c r="N14" s="1"/>
  <c r="H33" i="27"/>
  <c r="F33"/>
  <c r="G38"/>
  <c r="J39"/>
  <c r="G99" i="26"/>
  <c r="P42" i="5"/>
  <c r="R42" s="1"/>
  <c r="R7"/>
  <c r="H99" i="26"/>
  <c r="S7" i="5"/>
  <c r="T7" s="1"/>
  <c r="U7" s="1"/>
  <c r="V7" s="1"/>
  <c r="E67" i="24"/>
  <c r="P46" i="5"/>
  <c r="E87" i="24" s="1"/>
  <c r="S44" i="5"/>
  <c r="T44" s="1"/>
  <c r="U44" s="1"/>
  <c r="V44" s="1"/>
  <c r="T41"/>
  <c r="U41" s="1"/>
  <c r="V41" s="1"/>
  <c r="H81" i="27"/>
  <c r="S17" i="5"/>
  <c r="T17" s="1"/>
  <c r="U17" s="1"/>
  <c r="V17" s="1"/>
  <c r="S36"/>
  <c r="T36" s="1"/>
  <c r="U36" s="1"/>
  <c r="V36" s="1"/>
  <c r="G81" i="27"/>
  <c r="H100" i="26"/>
  <c r="H121"/>
  <c r="I121" s="1"/>
  <c r="Q42" i="5"/>
  <c r="Q43" s="1"/>
  <c r="Q48" s="1"/>
  <c r="R11"/>
  <c r="R17"/>
  <c r="S23"/>
  <c r="T23" s="1"/>
  <c r="U23" s="1"/>
  <c r="V23" s="1"/>
  <c r="S43"/>
  <c r="S11"/>
  <c r="T11" s="1"/>
  <c r="U11" s="1"/>
  <c r="V11" s="1"/>
  <c r="R25"/>
  <c r="R29"/>
  <c r="Q12" i="4"/>
  <c r="R12" s="1"/>
  <c r="S12" s="1"/>
  <c r="T12" s="1"/>
  <c r="M64"/>
  <c r="Q64" s="1"/>
  <c r="R64" s="1"/>
  <c r="S64" s="1"/>
  <c r="T64" s="1"/>
  <c r="Q4"/>
  <c r="R4" s="1"/>
  <c r="S4" s="1"/>
  <c r="T4" s="1"/>
  <c r="Q9"/>
  <c r="R9" s="1"/>
  <c r="S9" s="1"/>
  <c r="T9" s="1"/>
  <c r="P12"/>
  <c r="P16"/>
  <c r="P18"/>
  <c r="P56"/>
  <c r="Q18"/>
  <c r="R18" s="1"/>
  <c r="S18" s="1"/>
  <c r="T18" s="1"/>
  <c r="F6" i="23"/>
  <c r="P53" i="4"/>
  <c r="P60"/>
  <c r="M63"/>
  <c r="P4"/>
  <c r="P9"/>
  <c r="P57"/>
  <c r="O21" i="3"/>
  <c r="N22"/>
  <c r="F7" i="23"/>
  <c r="N46" i="25"/>
  <c r="M13" i="19"/>
  <c r="M7"/>
  <c r="N43" i="25"/>
  <c r="N48"/>
  <c r="M19" i="19"/>
  <c r="R51" i="25"/>
  <c r="M58"/>
  <c r="AY41" i="19"/>
  <c r="K13"/>
  <c r="BW44"/>
  <c r="BW45" s="1"/>
  <c r="BW49" s="1"/>
  <c r="L19"/>
  <c r="BY41"/>
  <c r="R26" i="24" s="1"/>
  <c r="BY44" i="19"/>
  <c r="BY45" s="1"/>
  <c r="R54" i="25"/>
  <c r="U44" i="19"/>
  <c r="U45" s="1"/>
  <c r="U49" s="1"/>
  <c r="AA41"/>
  <c r="AG44"/>
  <c r="AG45" s="1"/>
  <c r="AG49" s="1"/>
  <c r="AM44"/>
  <c r="AM45" s="1"/>
  <c r="AS41"/>
  <c r="AY44"/>
  <c r="AY45" s="1"/>
  <c r="AY49" s="1"/>
  <c r="BE44"/>
  <c r="BE45" s="1"/>
  <c r="BE49" s="1"/>
  <c r="BQ41"/>
  <c r="BW41"/>
  <c r="X7"/>
  <c r="AD7"/>
  <c r="AJ7"/>
  <c r="AP7"/>
  <c r="AV7"/>
  <c r="BB7"/>
  <c r="BH7"/>
  <c r="BN7"/>
  <c r="BT7"/>
  <c r="BZ7"/>
  <c r="O12"/>
  <c r="P12" s="1"/>
  <c r="Q12" s="1"/>
  <c r="R12" s="1"/>
  <c r="X13"/>
  <c r="AD13"/>
  <c r="AJ13"/>
  <c r="AP13"/>
  <c r="AV13"/>
  <c r="BB13"/>
  <c r="BH13"/>
  <c r="BN13"/>
  <c r="BT13"/>
  <c r="BZ13"/>
  <c r="L16"/>
  <c r="K22"/>
  <c r="M37"/>
  <c r="BM41"/>
  <c r="P26" i="24" s="1"/>
  <c r="R49" i="25"/>
  <c r="R59"/>
  <c r="E55" i="27"/>
  <c r="L7" i="19"/>
  <c r="AS44"/>
  <c r="AS45" s="1"/>
  <c r="AS49" s="1"/>
  <c r="L13"/>
  <c r="M43" i="20"/>
  <c r="N84" i="25"/>
  <c r="AI63" i="20"/>
  <c r="K87" i="24" s="1"/>
  <c r="K67"/>
  <c r="BG63" i="20"/>
  <c r="O87" i="24" s="1"/>
  <c r="O67"/>
  <c r="BM63" i="20"/>
  <c r="P87" i="24" s="1"/>
  <c r="P67"/>
  <c r="F93" i="25"/>
  <c r="J93"/>
  <c r="N64"/>
  <c r="M9" i="20"/>
  <c r="O9" s="1"/>
  <c r="P9" s="1"/>
  <c r="Q9" s="1"/>
  <c r="R9" s="1"/>
  <c r="W63"/>
  <c r="I67" i="24"/>
  <c r="O62" i="20"/>
  <c r="P62" s="1"/>
  <c r="Q62" s="1"/>
  <c r="R62" s="1"/>
  <c r="AU63"/>
  <c r="M87" i="24" s="1"/>
  <c r="M67"/>
  <c r="BS63" i="20"/>
  <c r="Q87" i="24" s="1"/>
  <c r="Q67"/>
  <c r="AC63" i="20"/>
  <c r="J87" i="24" s="1"/>
  <c r="J67"/>
  <c r="BW60" i="20"/>
  <c r="BW61" s="1"/>
  <c r="BW65" s="1"/>
  <c r="M52"/>
  <c r="H79" i="26"/>
  <c r="H94"/>
  <c r="M4" i="20"/>
  <c r="AA57"/>
  <c r="AY60"/>
  <c r="AY61" s="1"/>
  <c r="AY65" s="1"/>
  <c r="BW57"/>
  <c r="K9"/>
  <c r="BQ57"/>
  <c r="M20"/>
  <c r="M38"/>
  <c r="K43"/>
  <c r="M78" i="25"/>
  <c r="M93" s="1"/>
  <c r="AG60" i="20"/>
  <c r="AG61" s="1"/>
  <c r="AG65" s="1"/>
  <c r="BE57"/>
  <c r="X9"/>
  <c r="AD9"/>
  <c r="AJ9"/>
  <c r="AP9"/>
  <c r="AV9"/>
  <c r="BB9"/>
  <c r="BH9"/>
  <c r="BN9"/>
  <c r="BT9"/>
  <c r="BZ9"/>
  <c r="O16"/>
  <c r="P16" s="1"/>
  <c r="Q16" s="1"/>
  <c r="R16" s="1"/>
  <c r="M17"/>
  <c r="K32"/>
  <c r="M37"/>
  <c r="K40"/>
  <c r="X43"/>
  <c r="AD43"/>
  <c r="AJ43"/>
  <c r="AP43"/>
  <c r="AV43"/>
  <c r="BB43"/>
  <c r="BH43"/>
  <c r="BN43"/>
  <c r="BT43"/>
  <c r="BZ43"/>
  <c r="G79" i="26"/>
  <c r="G94"/>
  <c r="AM60" i="20"/>
  <c r="AM61" s="1"/>
  <c r="AM65" s="1"/>
  <c r="AA60"/>
  <c r="AA61" s="1"/>
  <c r="AA65" s="1"/>
  <c r="K5"/>
  <c r="AS60"/>
  <c r="AS61" s="1"/>
  <c r="AS65" s="1"/>
  <c r="L9"/>
  <c r="K23"/>
  <c r="L43"/>
  <c r="B12" i="23"/>
  <c r="O19" i="3"/>
  <c r="E26" i="24"/>
  <c r="P19" i="3"/>
  <c r="Z9" i="6"/>
  <c r="Z26" s="1"/>
  <c r="B4" i="23" s="1"/>
  <c r="F4" s="1"/>
  <c r="L9" i="6"/>
  <c r="F127" i="26"/>
  <c r="F128" s="1"/>
  <c r="D136" s="1"/>
  <c r="F39" i="27"/>
  <c r="H24"/>
  <c r="H29"/>
  <c r="I39"/>
  <c r="R7" i="24"/>
  <c r="S7"/>
  <c r="J28" i="16"/>
  <c r="E133" i="24" s="1"/>
  <c r="D133" s="1"/>
  <c r="I24" i="27"/>
  <c r="G33"/>
  <c r="O41" i="18"/>
  <c r="P41" s="1"/>
  <c r="Q41" s="1"/>
  <c r="R41" s="1"/>
  <c r="I21" i="27"/>
  <c r="I33"/>
  <c r="J40"/>
  <c r="O19" i="6"/>
  <c r="N20"/>
  <c r="N24" s="1"/>
  <c r="P12"/>
  <c r="P14"/>
  <c r="Q14" s="1"/>
  <c r="R14" s="1"/>
  <c r="S14" s="1"/>
  <c r="P15"/>
  <c r="Q15" s="1"/>
  <c r="R15" s="1"/>
  <c r="S15" s="1"/>
  <c r="P16"/>
  <c r="Q16" s="1"/>
  <c r="R16" s="1"/>
  <c r="S16" s="1"/>
  <c r="P17"/>
  <c r="Q17" s="1"/>
  <c r="R17" s="1"/>
  <c r="S17" s="1"/>
  <c r="P18"/>
  <c r="Q18" s="1"/>
  <c r="R18" s="1"/>
  <c r="S18" s="1"/>
  <c r="O12"/>
  <c r="O13"/>
  <c r="O14"/>
  <c r="O15"/>
  <c r="O16"/>
  <c r="O17"/>
  <c r="O18"/>
  <c r="N63" i="4"/>
  <c r="N64"/>
  <c r="N66" s="1"/>
  <c r="S17" i="24"/>
  <c r="R17"/>
  <c r="S8"/>
  <c r="R8"/>
  <c r="T30" i="2"/>
  <c r="BK60" i="20"/>
  <c r="BK61" s="1"/>
  <c r="BK65" s="1"/>
  <c r="K48"/>
  <c r="K20"/>
  <c r="N20" s="1"/>
  <c r="BE60"/>
  <c r="BE61" s="1"/>
  <c r="BE65" s="1"/>
  <c r="K35"/>
  <c r="AY57"/>
  <c r="K38"/>
  <c r="K22"/>
  <c r="K37"/>
  <c r="AM57"/>
  <c r="K50"/>
  <c r="AG57"/>
  <c r="K4"/>
  <c r="K52"/>
  <c r="N52" s="1"/>
  <c r="K46"/>
  <c r="U57"/>
  <c r="K4" i="19"/>
  <c r="K19"/>
  <c r="BQ44"/>
  <c r="BQ45" s="1"/>
  <c r="BQ49" s="1"/>
  <c r="BK41"/>
  <c r="BK44"/>
  <c r="BK45" s="1"/>
  <c r="BK49" s="1"/>
  <c r="BE41"/>
  <c r="K34"/>
  <c r="K7"/>
  <c r="K25"/>
  <c r="K31"/>
  <c r="K38"/>
  <c r="AM49"/>
  <c r="K29"/>
  <c r="AM41"/>
  <c r="K11"/>
  <c r="AG41"/>
  <c r="AA44"/>
  <c r="AA45" s="1"/>
  <c r="AA49" s="1"/>
  <c r="U41"/>
  <c r="K45" i="18"/>
  <c r="N45" s="1"/>
  <c r="I29" i="27"/>
  <c r="K32" i="18"/>
  <c r="N32" s="1"/>
  <c r="K41"/>
  <c r="N41" s="1"/>
  <c r="O48"/>
  <c r="P48" s="1"/>
  <c r="Q48" s="1"/>
  <c r="R48" s="1"/>
  <c r="K22"/>
  <c r="N22" s="1"/>
  <c r="H19" i="27"/>
  <c r="K35" i="18"/>
  <c r="N35" s="1"/>
  <c r="K48"/>
  <c r="N48" s="1"/>
  <c r="E28" i="27"/>
  <c r="G29"/>
  <c r="I40"/>
  <c r="U79" i="18"/>
  <c r="U80" s="1"/>
  <c r="U84" s="1"/>
  <c r="AG79"/>
  <c r="AG80" s="1"/>
  <c r="AS79"/>
  <c r="AS80" s="1"/>
  <c r="AS84" s="1"/>
  <c r="BE79"/>
  <c r="BE80" s="1"/>
  <c r="BQ79"/>
  <c r="BQ80" s="1"/>
  <c r="BQ84" s="1"/>
  <c r="O45"/>
  <c r="P45" s="1"/>
  <c r="Q45" s="1"/>
  <c r="R45" s="1"/>
  <c r="O72"/>
  <c r="P72" s="1"/>
  <c r="Q72" s="1"/>
  <c r="R72" s="1"/>
  <c r="B11" i="23"/>
  <c r="S39" i="2"/>
  <c r="S45" s="1"/>
  <c r="U38"/>
  <c r="V38" s="1"/>
  <c r="W38" s="1"/>
  <c r="X38" s="1"/>
  <c r="T28"/>
  <c r="B10" i="23"/>
  <c r="T16" i="2"/>
  <c r="Q40"/>
  <c r="AM79" i="18"/>
  <c r="AM80" s="1"/>
  <c r="AM84" s="1"/>
  <c r="BK79"/>
  <c r="BK80" s="1"/>
  <c r="BK84" s="1"/>
  <c r="AA79"/>
  <c r="AA80" s="1"/>
  <c r="AA84" s="1"/>
  <c r="AY79"/>
  <c r="AY80" s="1"/>
  <c r="AY84" s="1"/>
  <c r="BW79"/>
  <c r="BW80" s="1"/>
  <c r="BW84" s="1"/>
  <c r="AM76"/>
  <c r="BK76"/>
  <c r="G20" i="27"/>
  <c r="G24"/>
  <c r="F25"/>
  <c r="F41" s="1"/>
  <c r="E27"/>
  <c r="H40"/>
  <c r="O14" i="18"/>
  <c r="P14" s="1"/>
  <c r="Q14" s="1"/>
  <c r="R14" s="1"/>
  <c r="O52"/>
  <c r="P52" s="1"/>
  <c r="Q52" s="1"/>
  <c r="R52" s="1"/>
  <c r="K52"/>
  <c r="N52" s="1"/>
  <c r="K67"/>
  <c r="N67" s="1"/>
  <c r="K25"/>
  <c r="K63"/>
  <c r="N63" s="1"/>
  <c r="AA76"/>
  <c r="AY76"/>
  <c r="BW76"/>
  <c r="G40" i="27"/>
  <c r="K4" i="18"/>
  <c r="N4" s="1"/>
  <c r="K7"/>
  <c r="N7" s="1"/>
  <c r="O25"/>
  <c r="P25" s="1"/>
  <c r="Q25" s="1"/>
  <c r="R25" s="1"/>
  <c r="O35"/>
  <c r="P35" s="1"/>
  <c r="Q35" s="1"/>
  <c r="R35" s="1"/>
  <c r="J18" i="27"/>
  <c r="I18"/>
  <c r="I19"/>
  <c r="E21"/>
  <c r="O7" i="18"/>
  <c r="P7" s="1"/>
  <c r="Q7" s="1"/>
  <c r="R7" s="1"/>
  <c r="O15"/>
  <c r="P15" s="1"/>
  <c r="Q15" s="1"/>
  <c r="R15" s="1"/>
  <c r="K30"/>
  <c r="N30" s="1"/>
  <c r="O34"/>
  <c r="P34" s="1"/>
  <c r="Q34" s="1"/>
  <c r="R34" s="1"/>
  <c r="K38"/>
  <c r="N38" s="1"/>
  <c r="K43"/>
  <c r="N43" s="1"/>
  <c r="K57"/>
  <c r="N57" s="1"/>
  <c r="K70"/>
  <c r="N70" s="1"/>
  <c r="K19"/>
  <c r="N19" s="1"/>
  <c r="F18" i="27"/>
  <c r="G19"/>
  <c r="H21"/>
  <c r="E36"/>
  <c r="K16" i="18"/>
  <c r="N16" s="1"/>
  <c r="O32"/>
  <c r="P32" s="1"/>
  <c r="Q32" s="1"/>
  <c r="R32" s="1"/>
  <c r="O63"/>
  <c r="P63" s="1"/>
  <c r="Q63" s="1"/>
  <c r="R63" s="1"/>
  <c r="N72"/>
  <c r="M41" i="25"/>
  <c r="K10" i="18"/>
  <c r="N10" s="1"/>
  <c r="E18" i="27"/>
  <c r="F21"/>
  <c r="AG76" i="18"/>
  <c r="BE76"/>
  <c r="U76"/>
  <c r="AS76"/>
  <c r="BQ76"/>
  <c r="O22"/>
  <c r="P22" s="1"/>
  <c r="Q22" s="1"/>
  <c r="R22" s="1"/>
  <c r="K28"/>
  <c r="N28" s="1"/>
  <c r="K34"/>
  <c r="N34" s="1"/>
  <c r="O67"/>
  <c r="P67" s="1"/>
  <c r="Q67" s="1"/>
  <c r="R67" s="1"/>
  <c r="AG82"/>
  <c r="BE82"/>
  <c r="I20" i="27"/>
  <c r="E35"/>
  <c r="E38"/>
  <c r="I38"/>
  <c r="O19" i="18"/>
  <c r="P19" s="1"/>
  <c r="Q19" s="1"/>
  <c r="R19" s="1"/>
  <c r="O66"/>
  <c r="P66" s="1"/>
  <c r="Q66" s="1"/>
  <c r="R66" s="1"/>
  <c r="O70"/>
  <c r="P70" s="1"/>
  <c r="Q70" s="1"/>
  <c r="R70" s="1"/>
  <c r="M77"/>
  <c r="H20" i="27"/>
  <c r="H38"/>
  <c r="P5" i="18"/>
  <c r="Q5" s="1"/>
  <c r="R5" s="1"/>
  <c r="N66"/>
  <c r="G18" i="27"/>
  <c r="F20"/>
  <c r="J20"/>
  <c r="F38"/>
  <c r="G39"/>
  <c r="O10" i="18"/>
  <c r="P10" s="1"/>
  <c r="Q10" s="1"/>
  <c r="R10" s="1"/>
  <c r="N15"/>
  <c r="O16"/>
  <c r="P16" s="1"/>
  <c r="Q16" s="1"/>
  <c r="R16" s="1"/>
  <c r="O28"/>
  <c r="P28" s="1"/>
  <c r="Q28" s="1"/>
  <c r="R28" s="1"/>
  <c r="O30"/>
  <c r="P30" s="1"/>
  <c r="Q30" s="1"/>
  <c r="R30" s="1"/>
  <c r="O38"/>
  <c r="P38" s="1"/>
  <c r="Q38" s="1"/>
  <c r="R38" s="1"/>
  <c r="O43"/>
  <c r="P43" s="1"/>
  <c r="Q43" s="1"/>
  <c r="R43" s="1"/>
  <c r="O57"/>
  <c r="P57" s="1"/>
  <c r="Q57" s="1"/>
  <c r="R57" s="1"/>
  <c r="Q41" i="2"/>
  <c r="V41"/>
  <c r="W41" s="1"/>
  <c r="X41" s="1"/>
  <c r="T22"/>
  <c r="T23"/>
  <c r="T27"/>
  <c r="V40"/>
  <c r="W40" s="1"/>
  <c r="X40" s="1"/>
  <c r="B9" i="23"/>
  <c r="B8"/>
  <c r="F8" s="1"/>
  <c r="T29" i="2"/>
  <c r="T35"/>
  <c r="BA44" i="19" l="1"/>
  <c r="BA45" s="1"/>
  <c r="N46" i="24" s="1"/>
  <c r="AU44" i="19"/>
  <c r="AU45" s="1"/>
  <c r="AU49" s="1"/>
  <c r="M126" i="24" s="1"/>
  <c r="BG44" i="19"/>
  <c r="BG45" s="1"/>
  <c r="BG49" s="1"/>
  <c r="O126" i="24" s="1"/>
  <c r="O31" i="19"/>
  <c r="P31" s="1"/>
  <c r="Q31" s="1"/>
  <c r="R31" s="1"/>
  <c r="E54" i="27"/>
  <c r="BS44" i="19"/>
  <c r="BS45" s="1"/>
  <c r="Q46" i="24" s="1"/>
  <c r="AO44" i="19"/>
  <c r="AO45" s="1"/>
  <c r="L46" i="24" s="1"/>
  <c r="N17" i="20"/>
  <c r="AI60"/>
  <c r="AI61" s="1"/>
  <c r="AI65" s="1"/>
  <c r="K127" i="24" s="1"/>
  <c r="BY60" i="20"/>
  <c r="BY61" s="1"/>
  <c r="R47" i="24" s="1"/>
  <c r="N48" i="20"/>
  <c r="BM44" i="19"/>
  <c r="BM45" s="1"/>
  <c r="BM49" s="1"/>
  <c r="P126" i="24" s="1"/>
  <c r="AO41" i="19"/>
  <c r="L26" i="24" s="1"/>
  <c r="BG41" i="19"/>
  <c r="O26" i="24" s="1"/>
  <c r="H92" i="26"/>
  <c r="BG60" i="20"/>
  <c r="BG61" s="1"/>
  <c r="O47" i="24" s="1"/>
  <c r="O35" i="20"/>
  <c r="P35" s="1"/>
  <c r="Q35" s="1"/>
  <c r="R35" s="1"/>
  <c r="O22"/>
  <c r="P22" s="1"/>
  <c r="Q22" s="1"/>
  <c r="R22" s="1"/>
  <c r="W60"/>
  <c r="W61" s="1"/>
  <c r="N50"/>
  <c r="I94" i="26"/>
  <c r="H91"/>
  <c r="O34" i="19"/>
  <c r="P34" s="1"/>
  <c r="Q34" s="1"/>
  <c r="R34" s="1"/>
  <c r="S5" i="24"/>
  <c r="Q5" s="1"/>
  <c r="T38" i="2"/>
  <c r="P63" i="4"/>
  <c r="AC44" i="19"/>
  <c r="AC45" s="1"/>
  <c r="J46" i="24" s="1"/>
  <c r="AI44" i="19"/>
  <c r="AI45" s="1"/>
  <c r="AI49" s="1"/>
  <c r="K126" i="24" s="1"/>
  <c r="N38" i="20"/>
  <c r="N46"/>
  <c r="AO60"/>
  <c r="AO61" s="1"/>
  <c r="L47" i="24" s="1"/>
  <c r="AU60" i="20"/>
  <c r="AU61" s="1"/>
  <c r="M47" i="24" s="1"/>
  <c r="AC60" i="20"/>
  <c r="AC61" s="1"/>
  <c r="AC65" s="1"/>
  <c r="J127" i="24" s="1"/>
  <c r="O46" i="20"/>
  <c r="P46" s="1"/>
  <c r="Q46" s="1"/>
  <c r="R46" s="1"/>
  <c r="N22"/>
  <c r="N35"/>
  <c r="BM60"/>
  <c r="BM61" s="1"/>
  <c r="P47" i="24" s="1"/>
  <c r="BS60" i="20"/>
  <c r="BS61" s="1"/>
  <c r="Q47" i="24" s="1"/>
  <c r="BA60" i="20"/>
  <c r="BA61" s="1"/>
  <c r="N47" i="24" s="1"/>
  <c r="G82" i="26"/>
  <c r="BY57" i="20"/>
  <c r="R27" i="24" s="1"/>
  <c r="BS57" i="20"/>
  <c r="Q27" i="24" s="1"/>
  <c r="BM57" i="20"/>
  <c r="P27" i="24" s="1"/>
  <c r="F67"/>
  <c r="D67" s="1"/>
  <c r="D74" s="1"/>
  <c r="D78" s="1"/>
  <c r="D80" s="1"/>
  <c r="D62" s="1"/>
  <c r="N23" i="20"/>
  <c r="AO57"/>
  <c r="L27" i="24" s="1"/>
  <c r="AC57" i="20"/>
  <c r="J27" i="24" s="1"/>
  <c r="G72" i="27"/>
  <c r="H83" i="26"/>
  <c r="H72" i="27"/>
  <c r="E74" i="25"/>
  <c r="M28" i="20"/>
  <c r="N28" s="1"/>
  <c r="N5"/>
  <c r="G75" i="26"/>
  <c r="H75"/>
  <c r="N4" i="20"/>
  <c r="N43"/>
  <c r="N9"/>
  <c r="M40"/>
  <c r="N83" i="25"/>
  <c r="AI57" i="20"/>
  <c r="K27" i="24" s="1"/>
  <c r="G108" i="25"/>
  <c r="G109" s="1"/>
  <c r="G113" s="1"/>
  <c r="D124" s="1"/>
  <c r="BA57" i="20"/>
  <c r="N27" i="24" s="1"/>
  <c r="W57" i="20"/>
  <c r="I27" i="24" s="1"/>
  <c r="M32" i="20"/>
  <c r="N32" s="1"/>
  <c r="N75" i="25"/>
  <c r="N65"/>
  <c r="M12" i="20"/>
  <c r="O23"/>
  <c r="P23" s="1"/>
  <c r="Q23" s="1"/>
  <c r="R23" s="1"/>
  <c r="J72" i="27"/>
  <c r="F72"/>
  <c r="N37" i="20"/>
  <c r="BG57"/>
  <c r="O27" i="24" s="1"/>
  <c r="AU57" i="20"/>
  <c r="M27" i="24" s="1"/>
  <c r="W41" i="19"/>
  <c r="I26" i="24" s="1"/>
  <c r="BA41" i="19"/>
  <c r="N26" i="24" s="1"/>
  <c r="BS41" i="19"/>
  <c r="Q26" i="24" s="1"/>
  <c r="O25" i="19"/>
  <c r="P25" s="1"/>
  <c r="Q25" s="1"/>
  <c r="R25" s="1"/>
  <c r="AC41"/>
  <c r="J26" i="24" s="1"/>
  <c r="N13" i="19"/>
  <c r="W44"/>
  <c r="W45" s="1"/>
  <c r="I46" i="24" s="1"/>
  <c r="G41" i="27"/>
  <c r="O46" i="24"/>
  <c r="N19" i="19"/>
  <c r="AI41"/>
  <c r="K26" i="24" s="1"/>
  <c r="E67" i="27"/>
  <c r="M4" i="19"/>
  <c r="O4" s="1"/>
  <c r="P4" s="1"/>
  <c r="Q4" s="1"/>
  <c r="R4" s="1"/>
  <c r="M22"/>
  <c r="N22" s="1"/>
  <c r="O36"/>
  <c r="P36" s="1"/>
  <c r="Q36" s="1"/>
  <c r="R36" s="1"/>
  <c r="I9" i="26"/>
  <c r="N36" i="19"/>
  <c r="E68" i="27"/>
  <c r="AU41" i="19"/>
  <c r="M26" i="24" s="1"/>
  <c r="E64" i="27"/>
  <c r="E70" s="1"/>
  <c r="H41"/>
  <c r="O16" i="3"/>
  <c r="R13" i="24"/>
  <c r="S13"/>
  <c r="E41" i="27"/>
  <c r="T43" i="5"/>
  <c r="U43" s="1"/>
  <c r="V43" s="1"/>
  <c r="E127" i="24"/>
  <c r="P43" i="5"/>
  <c r="E27" i="24"/>
  <c r="S42" i="5"/>
  <c r="T42" s="1"/>
  <c r="U42" s="1"/>
  <c r="V42" s="1"/>
  <c r="Q63" i="4"/>
  <c r="R63" s="1"/>
  <c r="S63" s="1"/>
  <c r="T63" s="1"/>
  <c r="E28" i="24"/>
  <c r="D28" s="1"/>
  <c r="D7" s="1"/>
  <c r="F7" s="1"/>
  <c r="G7" s="1"/>
  <c r="E48"/>
  <c r="D48" s="1"/>
  <c r="M66" i="4"/>
  <c r="E53" i="27"/>
  <c r="O7" i="19"/>
  <c r="P7" s="1"/>
  <c r="Q7" s="1"/>
  <c r="R7" s="1"/>
  <c r="O13"/>
  <c r="P13" s="1"/>
  <c r="Q13" s="1"/>
  <c r="R13" s="1"/>
  <c r="N7"/>
  <c r="E69" i="27"/>
  <c r="I10" i="26"/>
  <c r="O37" i="19"/>
  <c r="P37" s="1"/>
  <c r="Q37" s="1"/>
  <c r="R37" s="1"/>
  <c r="N37"/>
  <c r="R48" i="25"/>
  <c r="T48" s="1"/>
  <c r="BY49" i="19"/>
  <c r="R126" i="24" s="1"/>
  <c r="R46"/>
  <c r="O19" i="19"/>
  <c r="P19" s="1"/>
  <c r="Q19" s="1"/>
  <c r="R19" s="1"/>
  <c r="E58" i="27"/>
  <c r="H74" i="26"/>
  <c r="G74"/>
  <c r="O4" i="20"/>
  <c r="G79" i="27"/>
  <c r="G90" i="26"/>
  <c r="H79" i="27"/>
  <c r="O43" i="20"/>
  <c r="P43" s="1"/>
  <c r="Q43" s="1"/>
  <c r="R43" s="1"/>
  <c r="H80" i="26"/>
  <c r="O17" i="20"/>
  <c r="P17" s="1"/>
  <c r="Q17" s="1"/>
  <c r="R17" s="1"/>
  <c r="BG65"/>
  <c r="O127" i="24" s="1"/>
  <c r="H81" i="26"/>
  <c r="O20" i="20"/>
  <c r="P20" s="1"/>
  <c r="Q20" s="1"/>
  <c r="R20" s="1"/>
  <c r="G96" i="26"/>
  <c r="O37" i="20"/>
  <c r="P37" s="1"/>
  <c r="Q37" s="1"/>
  <c r="R37" s="1"/>
  <c r="G87" i="26"/>
  <c r="J47" i="24"/>
  <c r="O38" i="20"/>
  <c r="P38" s="1"/>
  <c r="Q38" s="1"/>
  <c r="R38" s="1"/>
  <c r="H88" i="26"/>
  <c r="O52" i="20"/>
  <c r="P52" s="1"/>
  <c r="Q52" s="1"/>
  <c r="R52" s="1"/>
  <c r="G95" i="26"/>
  <c r="H95"/>
  <c r="I95"/>
  <c r="O63" i="20"/>
  <c r="P63" s="1"/>
  <c r="Q63" s="1"/>
  <c r="R63" s="1"/>
  <c r="I87" i="24"/>
  <c r="F87" s="1"/>
  <c r="D87" s="1"/>
  <c r="D94" s="1"/>
  <c r="D98" s="1"/>
  <c r="D100" s="1"/>
  <c r="D82" s="1"/>
  <c r="C143" s="1"/>
  <c r="Q19" i="3"/>
  <c r="R19" s="1"/>
  <c r="S19" s="1"/>
  <c r="P22"/>
  <c r="Q22" s="1"/>
  <c r="R22" s="1"/>
  <c r="S22" s="1"/>
  <c r="I41" i="27"/>
  <c r="P20" i="6"/>
  <c r="Q12"/>
  <c r="R12" s="1"/>
  <c r="S12" s="1"/>
  <c r="N29" i="19"/>
  <c r="N25"/>
  <c r="N38"/>
  <c r="N31"/>
  <c r="N34"/>
  <c r="N11"/>
  <c r="D13" i="23"/>
  <c r="F13" s="1"/>
  <c r="D11"/>
  <c r="F11" s="1"/>
  <c r="D12"/>
  <c r="F12" s="1"/>
  <c r="O76" i="18"/>
  <c r="P76" s="1"/>
  <c r="Q76" s="1"/>
  <c r="R76" s="1"/>
  <c r="D9" i="23"/>
  <c r="F9" s="1"/>
  <c r="D10"/>
  <c r="F10" s="1"/>
  <c r="O77" i="18"/>
  <c r="P77" s="1"/>
  <c r="Q77" s="1"/>
  <c r="R77" s="1"/>
  <c r="AG84"/>
  <c r="D8" i="23"/>
  <c r="BE84" i="18"/>
  <c r="BA49" i="19" l="1"/>
  <c r="N126" i="24" s="1"/>
  <c r="M46"/>
  <c r="P46"/>
  <c r="BS49" i="19"/>
  <c r="Q126" i="24" s="1"/>
  <c r="AO49" i="19"/>
  <c r="L126" i="24" s="1"/>
  <c r="K47"/>
  <c r="BY65" i="20"/>
  <c r="R127" i="24" s="1"/>
  <c r="BS65" i="20"/>
  <c r="Q127" i="24" s="1"/>
  <c r="I127" i="26"/>
  <c r="I128" s="1"/>
  <c r="D137" s="1"/>
  <c r="AO65" i="20"/>
  <c r="L127" i="24" s="1"/>
  <c r="BA65" i="20"/>
  <c r="N127" i="24" s="1"/>
  <c r="O60" i="20"/>
  <c r="AU65"/>
  <c r="M127" i="24" s="1"/>
  <c r="O44" i="19"/>
  <c r="AC49"/>
  <c r="J126" i="24" s="1"/>
  <c r="K46"/>
  <c r="O45" i="19"/>
  <c r="BM65" i="20"/>
  <c r="P127" i="24" s="1"/>
  <c r="M58" i="20"/>
  <c r="H73" i="27"/>
  <c r="J73"/>
  <c r="J83" s="1"/>
  <c r="J84" s="1"/>
  <c r="D88" s="1"/>
  <c r="F73"/>
  <c r="F83" s="1"/>
  <c r="F84" s="1"/>
  <c r="D92" s="1"/>
  <c r="H84" i="26"/>
  <c r="G73" i="27"/>
  <c r="O28" i="20"/>
  <c r="P28" s="1"/>
  <c r="Q28" s="1"/>
  <c r="R28" s="1"/>
  <c r="I73" i="27"/>
  <c r="I83" s="1"/>
  <c r="I84" s="1"/>
  <c r="D87" s="1"/>
  <c r="O40" i="20"/>
  <c r="P40" s="1"/>
  <c r="Q40" s="1"/>
  <c r="R40" s="1"/>
  <c r="H78" i="27"/>
  <c r="G89" i="26"/>
  <c r="N40" i="20"/>
  <c r="O12"/>
  <c r="P12" s="1"/>
  <c r="Q12" s="1"/>
  <c r="R12" s="1"/>
  <c r="G77" i="26"/>
  <c r="H77"/>
  <c r="G74" i="27"/>
  <c r="O32" i="20"/>
  <c r="P32" s="1"/>
  <c r="Q32" s="1"/>
  <c r="R32" s="1"/>
  <c r="H85" i="26"/>
  <c r="M57" i="20"/>
  <c r="F27" i="24"/>
  <c r="D27" s="1"/>
  <c r="D6" s="1"/>
  <c r="F6" s="1"/>
  <c r="N12" i="20"/>
  <c r="W49" i="19"/>
  <c r="I126" i="24" s="1"/>
  <c r="N4" i="19"/>
  <c r="F26" i="24"/>
  <c r="D26" s="1"/>
  <c r="D5" s="1"/>
  <c r="F5" s="1"/>
  <c r="G5" s="1"/>
  <c r="M42" i="19"/>
  <c r="E59" i="27"/>
  <c r="E83" s="1"/>
  <c r="E84" s="1"/>
  <c r="D90" s="1"/>
  <c r="O22" i="19"/>
  <c r="P22" s="1"/>
  <c r="Q22" s="1"/>
  <c r="R22" s="1"/>
  <c r="M41"/>
  <c r="E47" i="24"/>
  <c r="P48" i="5"/>
  <c r="Q66" i="4"/>
  <c r="R66" s="1"/>
  <c r="S66" s="1"/>
  <c r="T66" s="1"/>
  <c r="E128" i="24"/>
  <c r="D128" s="1"/>
  <c r="V48" i="25"/>
  <c r="X48"/>
  <c r="O61" i="20"/>
  <c r="W65"/>
  <c r="I47" i="24"/>
  <c r="P4" i="20"/>
  <c r="Q4" s="1"/>
  <c r="R4" s="1"/>
  <c r="Q23" i="3"/>
  <c r="R23" s="1"/>
  <c r="S23" s="1"/>
  <c r="E126" i="24"/>
  <c r="L23" i="3"/>
  <c r="E131" i="24"/>
  <c r="D131" s="1"/>
  <c r="Q20" i="6"/>
  <c r="R20" s="1"/>
  <c r="S20" s="1"/>
  <c r="D5" i="23"/>
  <c r="F5" s="1"/>
  <c r="F46" i="24" l="1"/>
  <c r="D46" s="1"/>
  <c r="F47"/>
  <c r="D47" s="1"/>
  <c r="G127" i="26"/>
  <c r="G128" s="1"/>
  <c r="D134" s="1"/>
  <c r="F126" i="24"/>
  <c r="D126" s="1"/>
  <c r="G83" i="27"/>
  <c r="G84" s="1"/>
  <c r="D89" s="1"/>
  <c r="O6" i="24"/>
  <c r="R6" s="1"/>
  <c r="O49" i="19"/>
  <c r="O42"/>
  <c r="P42" s="1"/>
  <c r="Q42" s="1"/>
  <c r="R42" s="1"/>
  <c r="H127" i="26"/>
  <c r="H128" s="1"/>
  <c r="D135" s="1"/>
  <c r="H83" i="27"/>
  <c r="H84" s="1"/>
  <c r="D91" s="1"/>
  <c r="O58" i="20"/>
  <c r="P58" s="1"/>
  <c r="Q58" s="1"/>
  <c r="R58" s="1"/>
  <c r="O57"/>
  <c r="P57" s="1"/>
  <c r="Q57" s="1"/>
  <c r="R57" s="1"/>
  <c r="N57"/>
  <c r="D34" i="24"/>
  <c r="D38" s="1"/>
  <c r="D17" s="1"/>
  <c r="G6"/>
  <c r="O16" s="1"/>
  <c r="R16" s="1"/>
  <c r="O41" i="19"/>
  <c r="P41" s="1"/>
  <c r="Q41" s="1"/>
  <c r="R41" s="1"/>
  <c r="S58" i="25"/>
  <c r="L47" s="1"/>
  <c r="L108" s="1"/>
  <c r="L109" s="1"/>
  <c r="L113" s="1"/>
  <c r="D119" s="1"/>
  <c r="S56"/>
  <c r="J47" s="1"/>
  <c r="J108" s="1"/>
  <c r="J109" s="1"/>
  <c r="J113" s="1"/>
  <c r="D118" s="1"/>
  <c r="S60"/>
  <c r="N47" s="1"/>
  <c r="N108" s="1"/>
  <c r="N109" s="1"/>
  <c r="N113" s="1"/>
  <c r="D117" s="1"/>
  <c r="S50"/>
  <c r="F47" s="1"/>
  <c r="F108" s="1"/>
  <c r="F109" s="1"/>
  <c r="F113" s="1"/>
  <c r="D121" s="1"/>
  <c r="S53"/>
  <c r="H47" s="1"/>
  <c r="H108" s="1"/>
  <c r="H109" s="1"/>
  <c r="H113" s="1"/>
  <c r="D126" s="1"/>
  <c r="S57"/>
  <c r="K47" s="1"/>
  <c r="K108" s="1"/>
  <c r="K109" s="1"/>
  <c r="K113" s="1"/>
  <c r="D125" s="1"/>
  <c r="S51"/>
  <c r="S49"/>
  <c r="E47" s="1"/>
  <c r="E108" s="1"/>
  <c r="E109" s="1"/>
  <c r="E113" s="1"/>
  <c r="D123" s="1"/>
  <c r="S54"/>
  <c r="I47" s="1"/>
  <c r="I108" s="1"/>
  <c r="I109" s="1"/>
  <c r="I113" s="1"/>
  <c r="D122" s="1"/>
  <c r="S59"/>
  <c r="M47" s="1"/>
  <c r="M108" s="1"/>
  <c r="M109" s="1"/>
  <c r="M113" s="1"/>
  <c r="D120" s="1"/>
  <c r="O65" i="20"/>
  <c r="I127" i="24"/>
  <c r="F127" s="1"/>
  <c r="D127" s="1"/>
  <c r="D54" l="1"/>
  <c r="D58" s="1"/>
  <c r="D60" s="1"/>
  <c r="D42" s="1"/>
  <c r="F22" s="1"/>
  <c r="S6"/>
  <c r="Q6" s="1"/>
  <c r="D134"/>
  <c r="C145" s="1"/>
  <c r="G13"/>
  <c r="S16"/>
  <c r="D40"/>
  <c r="D13"/>
  <c r="F13" s="1"/>
  <c r="O9"/>
  <c r="Q16" l="1"/>
  <c r="Q12" s="1"/>
  <c r="D138"/>
  <c r="D140" s="1"/>
  <c r="D122" s="1"/>
  <c r="D22"/>
  <c r="E22" s="1"/>
  <c r="D19"/>
  <c r="F19" s="1"/>
  <c r="Q15" l="1"/>
  <c r="Q17" s="1"/>
  <c r="Q11" s="1"/>
  <c r="Q13"/>
  <c r="Q7" l="1"/>
  <c r="Q14" s="1"/>
  <c r="Q8" s="1"/>
  <c r="Q9" s="1"/>
</calcChain>
</file>

<file path=xl/comments1.xml><?xml version="1.0" encoding="utf-8"?>
<comments xmlns="http://schemas.openxmlformats.org/spreadsheetml/2006/main">
  <authors>
    <author>徐梦薇/Mengwei Xu</author>
  </authors>
  <commentList>
    <comment ref="B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根据</t>
        </r>
        <r>
          <rPr>
            <sz val="9"/>
            <color indexed="81"/>
            <rFont val="Tahoma"/>
            <family val="2"/>
          </rPr>
          <t>HR</t>
        </r>
        <r>
          <rPr>
            <sz val="9"/>
            <color indexed="81"/>
            <rFont val="宋体"/>
            <family val="3"/>
            <charset val="134"/>
          </rPr>
          <t>提供分公司数据得出结论</t>
        </r>
      </text>
    </comment>
    <comment ref="B2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根据客服提供数据得出</t>
        </r>
      </text>
    </comment>
    <comment ref="B2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根据客服提供数据得出</t>
        </r>
      </text>
    </comment>
    <comment ref="B3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找财务刘敏和</t>
        </r>
        <r>
          <rPr>
            <sz val="9"/>
            <color indexed="81"/>
            <rFont val="Tahoma"/>
            <family val="2"/>
          </rPr>
          <t>IT</t>
        </r>
        <r>
          <rPr>
            <sz val="9"/>
            <color indexed="81"/>
            <rFont val="宋体"/>
            <family val="3"/>
            <charset val="134"/>
          </rPr>
          <t xml:space="preserve">刷数
</t>
        </r>
      </text>
    </comment>
    <comment ref="B7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查台账</t>
        </r>
      </text>
    </comment>
  </commentList>
</comments>
</file>

<file path=xl/comments10.xml><?xml version="1.0" encoding="utf-8"?>
<comments xmlns="http://schemas.openxmlformats.org/spreadsheetml/2006/main">
  <authors>
    <author>徐梦薇/Mengwei Xu</author>
  </authors>
  <commentList>
    <comment ref="L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向好</t>
        </r>
      </text>
    </comment>
    <comment ref="K1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增加李琳洁，魏然（已满</t>
        </r>
        <r>
          <rPr>
            <sz val="9"/>
            <color indexed="81"/>
            <rFont val="Tahoma"/>
            <family val="2"/>
          </rPr>
          <t>3</t>
        </r>
        <r>
          <rPr>
            <sz val="9"/>
            <color indexed="81"/>
            <rFont val="宋体"/>
            <family val="3"/>
            <charset val="134"/>
          </rPr>
          <t>年），谭艺，于洋，张逸轩，李岳</t>
        </r>
      </text>
    </comment>
    <comment ref="L1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向好</t>
        </r>
      </text>
    </comment>
    <comment ref="K1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增加李琳洁，张延龙，谭艺</t>
        </r>
      </text>
    </comment>
  </commentList>
</comments>
</file>

<file path=xl/comments11.xml><?xml version="1.0" encoding="utf-8"?>
<comments xmlns="http://schemas.openxmlformats.org/spreadsheetml/2006/main">
  <authors>
    <author>刘辉</author>
    <author>徐梦薇/Mengwei Xu</author>
  </authors>
  <commentList>
    <comment ref="J9" authorId="0">
      <text>
        <r>
          <rPr>
            <sz val="9"/>
            <color indexed="81"/>
            <rFont val="宋体"/>
            <family val="3"/>
            <charset val="134"/>
          </rPr>
          <t>公司未收到表扬或处罚，因此，得基础分1分。</t>
        </r>
      </text>
    </comment>
    <comment ref="K9" authorId="0">
      <text>
        <r>
          <rPr>
            <sz val="9"/>
            <color indexed="81"/>
            <rFont val="宋体"/>
            <family val="3"/>
            <charset val="134"/>
          </rPr>
          <t>公司未收到表扬或处罚，因此，得基础分1分。</t>
        </r>
      </text>
    </comment>
    <comment ref="J11" authorId="1">
      <text>
        <r>
          <rPr>
            <sz val="9"/>
            <color indexed="81"/>
            <rFont val="宋体"/>
            <family val="3"/>
            <charset val="134"/>
          </rPr>
          <t>扣1分。更新后的《HASL反欺诈政策》中暂未制定规范的欺诈风险管理操作规程和操作标准及反欺诈重大风险处置机制；。</t>
        </r>
      </text>
    </comment>
    <comment ref="K11" authorId="0">
      <text>
        <r>
          <rPr>
            <sz val="9"/>
            <color indexed="81"/>
            <rFont val="宋体"/>
            <family val="3"/>
            <charset val="134"/>
          </rPr>
          <t>扣1分。现有《HASL反欺诈政策》中未明确交易对手欺诈风险的评估、识别和管控建立制度规范。已在更新后的《HASL反欺诈政策》中明确，并将由投资部落实，改制度下一步将提交审计及风险管理委员会审批，审批后生效。</t>
        </r>
      </text>
    </comment>
    <comment ref="J15" authorId="1">
      <text>
        <r>
          <rPr>
            <sz val="9"/>
            <color indexed="81"/>
            <rFont val="宋体"/>
            <family val="3"/>
            <charset val="134"/>
          </rPr>
          <t>扣</t>
        </r>
        <r>
          <rPr>
            <sz val="9"/>
            <color indexed="81"/>
            <rFont val="Tahoma"/>
            <family val="2"/>
          </rPr>
          <t>1</t>
        </r>
        <r>
          <rPr>
            <sz val="9"/>
            <color indexed="81"/>
            <rFont val="宋体"/>
            <family val="3"/>
            <charset val="134"/>
          </rPr>
          <t>分。欺诈风险的识别、计量、检测信息系统尚需完善。</t>
        </r>
      </text>
    </comment>
    <comment ref="K15" authorId="1">
      <text>
        <r>
          <rPr>
            <sz val="9"/>
            <color indexed="81"/>
            <rFont val="宋体"/>
            <family val="3"/>
            <charset val="134"/>
          </rPr>
          <t>扣</t>
        </r>
        <r>
          <rPr>
            <sz val="9"/>
            <color indexed="81"/>
            <rFont val="Tahoma"/>
            <family val="2"/>
          </rPr>
          <t>1</t>
        </r>
        <r>
          <rPr>
            <sz val="9"/>
            <color indexed="81"/>
            <rFont val="宋体"/>
            <family val="3"/>
            <charset val="134"/>
          </rPr>
          <t>分。欺诈风险的识别、计量、检测信息系统尚需完善。</t>
        </r>
      </text>
    </comment>
  </commentList>
</comments>
</file>

<file path=xl/comments12.xml><?xml version="1.0" encoding="utf-8"?>
<comments xmlns="http://schemas.openxmlformats.org/spreadsheetml/2006/main">
  <authors>
    <author>徐梦薇/Mengwei Xu</author>
    <author>刘辉</author>
  </authors>
  <commentList>
    <comment ref="H33" authorId="0">
      <text>
        <r>
          <rPr>
            <b/>
            <sz val="9"/>
            <color indexed="81"/>
            <rFont val="宋体"/>
            <family val="3"/>
            <charset val="134"/>
          </rPr>
          <t>徐梦薇</t>
        </r>
        <r>
          <rPr>
            <b/>
            <sz val="9"/>
            <color indexed="81"/>
            <rFont val="Tahoma"/>
            <family val="2"/>
            <charset val="134"/>
          </rPr>
          <t>/Mengwei Xu:</t>
        </r>
        <r>
          <rPr>
            <sz val="9"/>
            <color indexed="81"/>
            <rFont val="Tahoma"/>
            <family val="2"/>
            <charset val="134"/>
          </rPr>
          <t xml:space="preserve">
Q4评价标准中删除了监管评价的10分，流动性满分变为90. 保监会群中有人问是否计算方法变为：实际得分/90*100？ 回答：是的。</t>
        </r>
      </text>
    </comment>
    <comment ref="I33" authorId="1">
      <text>
        <r>
          <rPr>
            <sz val="9"/>
            <color indexed="81"/>
            <rFont val="Tahoma"/>
            <family val="2"/>
          </rPr>
          <t>Q4</t>
        </r>
        <r>
          <rPr>
            <sz val="9"/>
            <color indexed="81"/>
            <rFont val="宋体"/>
            <family val="3"/>
            <charset val="134"/>
          </rPr>
          <t>评价标准中删除了监管评价的</t>
        </r>
        <r>
          <rPr>
            <sz val="9"/>
            <color indexed="81"/>
            <rFont val="Tahoma"/>
            <family val="2"/>
          </rPr>
          <t>10</t>
        </r>
        <r>
          <rPr>
            <sz val="9"/>
            <color indexed="81"/>
            <rFont val="宋体"/>
            <family val="3"/>
            <charset val="134"/>
          </rPr>
          <t>分，流动性满分变为</t>
        </r>
        <r>
          <rPr>
            <sz val="9"/>
            <color indexed="81"/>
            <rFont val="Tahoma"/>
            <family val="2"/>
          </rPr>
          <t xml:space="preserve">90. </t>
        </r>
        <r>
          <rPr>
            <sz val="9"/>
            <color indexed="81"/>
            <rFont val="宋体"/>
            <family val="3"/>
            <charset val="134"/>
          </rPr>
          <t>保监会群中有人问是否计算方法变为：实际得分</t>
        </r>
        <r>
          <rPr>
            <sz val="9"/>
            <color indexed="81"/>
            <rFont val="Tahoma"/>
            <family val="2"/>
          </rPr>
          <t>/90*100</t>
        </r>
        <r>
          <rPr>
            <sz val="9"/>
            <color indexed="81"/>
            <rFont val="宋体"/>
            <family val="3"/>
            <charset val="134"/>
          </rPr>
          <t>？</t>
        </r>
        <r>
          <rPr>
            <sz val="9"/>
            <color indexed="81"/>
            <rFont val="Tahoma"/>
            <family val="2"/>
          </rPr>
          <t xml:space="preserve"> </t>
        </r>
        <r>
          <rPr>
            <sz val="9"/>
            <color indexed="81"/>
            <rFont val="宋体"/>
            <family val="3"/>
            <charset val="134"/>
          </rPr>
          <t>回答：是的。</t>
        </r>
      </text>
    </comment>
    <comment ref="J33" authorId="1">
      <text>
        <r>
          <rPr>
            <sz val="9"/>
            <color indexed="81"/>
            <rFont val="Tahoma"/>
            <family val="2"/>
          </rPr>
          <t>Q4</t>
        </r>
        <r>
          <rPr>
            <sz val="9"/>
            <color indexed="81"/>
            <rFont val="宋体"/>
            <family val="3"/>
            <charset val="134"/>
          </rPr>
          <t>评价标准中删除了监管评价的</t>
        </r>
        <r>
          <rPr>
            <sz val="9"/>
            <color indexed="81"/>
            <rFont val="Tahoma"/>
            <family val="2"/>
          </rPr>
          <t>10</t>
        </r>
        <r>
          <rPr>
            <sz val="9"/>
            <color indexed="81"/>
            <rFont val="宋体"/>
            <family val="3"/>
            <charset val="134"/>
          </rPr>
          <t>分，流动性满分变为</t>
        </r>
        <r>
          <rPr>
            <sz val="9"/>
            <color indexed="81"/>
            <rFont val="Tahoma"/>
            <family val="2"/>
          </rPr>
          <t xml:space="preserve">90. </t>
        </r>
        <r>
          <rPr>
            <sz val="9"/>
            <color indexed="81"/>
            <rFont val="宋体"/>
            <family val="3"/>
            <charset val="134"/>
          </rPr>
          <t>保监会群中有人问是否计算方法变为：实际得分</t>
        </r>
        <r>
          <rPr>
            <sz val="9"/>
            <color indexed="81"/>
            <rFont val="Tahoma"/>
            <family val="2"/>
          </rPr>
          <t>/90*100</t>
        </r>
        <r>
          <rPr>
            <sz val="9"/>
            <color indexed="81"/>
            <rFont val="宋体"/>
            <family val="3"/>
            <charset val="134"/>
          </rPr>
          <t>？</t>
        </r>
        <r>
          <rPr>
            <sz val="9"/>
            <color indexed="81"/>
            <rFont val="Tahoma"/>
            <family val="2"/>
          </rPr>
          <t xml:space="preserve"> </t>
        </r>
        <r>
          <rPr>
            <sz val="9"/>
            <color indexed="81"/>
            <rFont val="宋体"/>
            <family val="3"/>
            <charset val="134"/>
          </rPr>
          <t>回答：是的。</t>
        </r>
      </text>
    </comment>
    <comment ref="K33" authorId="1">
      <text>
        <r>
          <rPr>
            <sz val="9"/>
            <color indexed="81"/>
            <rFont val="Tahoma"/>
            <family val="2"/>
          </rPr>
          <t>Q4</t>
        </r>
        <r>
          <rPr>
            <sz val="9"/>
            <color indexed="81"/>
            <rFont val="宋体"/>
            <family val="3"/>
            <charset val="134"/>
          </rPr>
          <t>评价标准中删除了监管评价的</t>
        </r>
        <r>
          <rPr>
            <sz val="9"/>
            <color indexed="81"/>
            <rFont val="Tahoma"/>
            <family val="2"/>
          </rPr>
          <t>10</t>
        </r>
        <r>
          <rPr>
            <sz val="9"/>
            <color indexed="81"/>
            <rFont val="宋体"/>
            <family val="3"/>
            <charset val="134"/>
          </rPr>
          <t>分，流动性满分变为</t>
        </r>
        <r>
          <rPr>
            <sz val="9"/>
            <color indexed="81"/>
            <rFont val="Tahoma"/>
            <family val="2"/>
          </rPr>
          <t xml:space="preserve">90. </t>
        </r>
        <r>
          <rPr>
            <sz val="9"/>
            <color indexed="81"/>
            <rFont val="宋体"/>
            <family val="3"/>
            <charset val="134"/>
          </rPr>
          <t>保监会群中有人问是否计算方法变为：实际得分</t>
        </r>
        <r>
          <rPr>
            <sz val="9"/>
            <color indexed="81"/>
            <rFont val="Tahoma"/>
            <family val="2"/>
          </rPr>
          <t>/90*100</t>
        </r>
        <r>
          <rPr>
            <sz val="9"/>
            <color indexed="81"/>
            <rFont val="宋体"/>
            <family val="3"/>
            <charset val="134"/>
          </rPr>
          <t>？</t>
        </r>
        <r>
          <rPr>
            <sz val="9"/>
            <color indexed="81"/>
            <rFont val="Tahoma"/>
            <family val="2"/>
          </rPr>
          <t xml:space="preserve"> </t>
        </r>
        <r>
          <rPr>
            <sz val="9"/>
            <color indexed="81"/>
            <rFont val="宋体"/>
            <family val="3"/>
            <charset val="134"/>
          </rPr>
          <t>回答：是的。</t>
        </r>
      </text>
    </comment>
  </commentList>
</comments>
</file>

<file path=xl/comments13.xml><?xml version="1.0" encoding="utf-8"?>
<comments xmlns="http://schemas.openxmlformats.org/spreadsheetml/2006/main">
  <authors>
    <author>徐梦薇</author>
  </authors>
  <commentList>
    <comment ref="H18" authorId="0">
      <text>
        <r>
          <rPr>
            <b/>
            <sz val="9"/>
            <color indexed="81"/>
            <rFont val="宋体"/>
            <family val="3"/>
            <charset val="134"/>
          </rPr>
          <t>徐梦薇</t>
        </r>
        <r>
          <rPr>
            <b/>
            <sz val="9"/>
            <color indexed="81"/>
            <rFont val="Tahoma"/>
            <family val="2"/>
          </rPr>
          <t>:</t>
        </r>
        <r>
          <rPr>
            <sz val="9"/>
            <color indexed="81"/>
            <rFont val="Tahoma"/>
            <family val="2"/>
          </rPr>
          <t xml:space="preserve">
2071</t>
        </r>
        <r>
          <rPr>
            <sz val="9"/>
            <color indexed="81"/>
            <rFont val="宋体"/>
            <family val="3"/>
            <charset val="134"/>
          </rPr>
          <t>年</t>
        </r>
        <r>
          <rPr>
            <sz val="9"/>
            <color indexed="81"/>
            <rFont val="Tahoma"/>
            <family val="2"/>
          </rPr>
          <t>6</t>
        </r>
        <r>
          <rPr>
            <sz val="9"/>
            <color indexed="81"/>
            <rFont val="宋体"/>
            <family val="3"/>
            <charset val="134"/>
          </rPr>
          <t>月</t>
        </r>
        <r>
          <rPr>
            <sz val="9"/>
            <color indexed="81"/>
            <rFont val="Tahoma"/>
            <family val="2"/>
          </rPr>
          <t>21</t>
        </r>
        <r>
          <rPr>
            <sz val="9"/>
            <color indexed="81"/>
            <rFont val="宋体"/>
            <family val="3"/>
            <charset val="134"/>
          </rPr>
          <t>日发布、</t>
        </r>
        <r>
          <rPr>
            <sz val="9"/>
            <color indexed="81"/>
            <rFont val="Tahoma"/>
            <family val="2"/>
          </rPr>
          <t>2017</t>
        </r>
        <r>
          <rPr>
            <sz val="9"/>
            <color indexed="81"/>
            <rFont val="宋体"/>
            <family val="3"/>
            <charset val="134"/>
          </rPr>
          <t>年</t>
        </r>
        <r>
          <rPr>
            <sz val="9"/>
            <color indexed="81"/>
            <rFont val="Tahoma"/>
            <family val="2"/>
          </rPr>
          <t>7</t>
        </r>
        <r>
          <rPr>
            <sz val="9"/>
            <color indexed="81"/>
            <rFont val="宋体"/>
            <family val="3"/>
            <charset val="134"/>
          </rPr>
          <t>月</t>
        </r>
        <r>
          <rPr>
            <sz val="9"/>
            <color indexed="81"/>
            <rFont val="Tahoma"/>
            <family val="2"/>
          </rPr>
          <t>1</t>
        </r>
        <r>
          <rPr>
            <sz val="9"/>
            <color indexed="81"/>
            <rFont val="宋体"/>
            <family val="3"/>
            <charset val="134"/>
          </rPr>
          <t>日生效
《恒安标准人寿董事及高管人员培训管理办法》（负责部门</t>
        </r>
        <r>
          <rPr>
            <sz val="9"/>
            <color indexed="81"/>
            <rFont val="Tahoma"/>
            <family val="2"/>
          </rPr>
          <t>:</t>
        </r>
        <r>
          <rPr>
            <sz val="9"/>
            <color indexed="81"/>
            <rFont val="宋体"/>
            <family val="3"/>
            <charset val="134"/>
          </rPr>
          <t xml:space="preserve">人力资源部）
</t>
        </r>
      </text>
    </comment>
    <comment ref="J18" authorId="0">
      <text>
        <r>
          <rPr>
            <b/>
            <sz val="9"/>
            <color indexed="81"/>
            <rFont val="宋体"/>
            <family val="3"/>
            <charset val="134"/>
          </rPr>
          <t>徐梦薇</t>
        </r>
        <r>
          <rPr>
            <b/>
            <sz val="9"/>
            <color indexed="81"/>
            <rFont val="Tahoma"/>
            <family val="2"/>
          </rPr>
          <t>:</t>
        </r>
        <r>
          <rPr>
            <sz val="9"/>
            <color indexed="81"/>
            <rFont val="Tahoma"/>
            <family val="2"/>
          </rPr>
          <t xml:space="preserve">
2071</t>
        </r>
        <r>
          <rPr>
            <sz val="9"/>
            <color indexed="81"/>
            <rFont val="宋体"/>
            <family val="3"/>
            <charset val="134"/>
          </rPr>
          <t>年</t>
        </r>
        <r>
          <rPr>
            <sz val="9"/>
            <color indexed="81"/>
            <rFont val="Tahoma"/>
            <family val="2"/>
          </rPr>
          <t>6</t>
        </r>
        <r>
          <rPr>
            <sz val="9"/>
            <color indexed="81"/>
            <rFont val="宋体"/>
            <family val="3"/>
            <charset val="134"/>
          </rPr>
          <t>月</t>
        </r>
        <r>
          <rPr>
            <sz val="9"/>
            <color indexed="81"/>
            <rFont val="Tahoma"/>
            <family val="2"/>
          </rPr>
          <t>21</t>
        </r>
        <r>
          <rPr>
            <sz val="9"/>
            <color indexed="81"/>
            <rFont val="宋体"/>
            <family val="3"/>
            <charset val="134"/>
          </rPr>
          <t>日发布、</t>
        </r>
        <r>
          <rPr>
            <sz val="9"/>
            <color indexed="81"/>
            <rFont val="Tahoma"/>
            <family val="2"/>
          </rPr>
          <t>2017</t>
        </r>
        <r>
          <rPr>
            <sz val="9"/>
            <color indexed="81"/>
            <rFont val="宋体"/>
            <family val="3"/>
            <charset val="134"/>
          </rPr>
          <t>年</t>
        </r>
        <r>
          <rPr>
            <sz val="9"/>
            <color indexed="81"/>
            <rFont val="Tahoma"/>
            <family val="2"/>
          </rPr>
          <t>7</t>
        </r>
        <r>
          <rPr>
            <sz val="9"/>
            <color indexed="81"/>
            <rFont val="宋体"/>
            <family val="3"/>
            <charset val="134"/>
          </rPr>
          <t>月</t>
        </r>
        <r>
          <rPr>
            <sz val="9"/>
            <color indexed="81"/>
            <rFont val="Tahoma"/>
            <family val="2"/>
          </rPr>
          <t>1</t>
        </r>
        <r>
          <rPr>
            <sz val="9"/>
            <color indexed="81"/>
            <rFont val="宋体"/>
            <family val="3"/>
            <charset val="134"/>
          </rPr>
          <t>日生效
《恒安标准人寿董事及高管人员培训管理办法》（负责部门</t>
        </r>
        <r>
          <rPr>
            <sz val="9"/>
            <color indexed="81"/>
            <rFont val="Tahoma"/>
            <family val="2"/>
          </rPr>
          <t>:</t>
        </r>
        <r>
          <rPr>
            <sz val="9"/>
            <color indexed="81"/>
            <rFont val="宋体"/>
            <family val="3"/>
            <charset val="134"/>
          </rPr>
          <t xml:space="preserve">人力资源部）
</t>
        </r>
      </text>
    </comment>
  </commentList>
</comments>
</file>

<file path=xl/comments2.xml><?xml version="1.0" encoding="utf-8"?>
<comments xmlns="http://schemas.openxmlformats.org/spreadsheetml/2006/main">
  <authors>
    <author>徐梦薇/Mengwei Xu</author>
  </authors>
  <commentList>
    <comment ref="G8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江苏</t>
        </r>
      </text>
    </comment>
  </commentList>
</comments>
</file>

<file path=xl/comments3.xml><?xml version="1.0" encoding="utf-8"?>
<comments xmlns="http://schemas.openxmlformats.org/spreadsheetml/2006/main">
  <authors>
    <author>徐梦薇/Mengwei Xu</author>
  </authors>
  <commentList>
    <comment ref="H1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有监管发现的</t>
        </r>
      </text>
    </comment>
    <comment ref="B4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更新公式
</t>
        </r>
      </text>
    </comment>
    <comment ref="B47" authorId="0">
      <text>
        <r>
          <rPr>
            <b/>
            <sz val="9"/>
            <color indexed="81"/>
            <rFont val="宋体"/>
            <family val="3"/>
            <charset val="134"/>
          </rPr>
          <t>徐梦薇</t>
        </r>
        <r>
          <rPr>
            <b/>
            <sz val="9"/>
            <color indexed="81"/>
            <rFont val="Tahoma"/>
            <family val="2"/>
          </rPr>
          <t>/Mengwei Xu:</t>
        </r>
        <r>
          <rPr>
            <sz val="9"/>
            <color indexed="81"/>
            <rFont val="Tahoma"/>
            <family val="2"/>
          </rPr>
          <t xml:space="preserve">
10</t>
        </r>
        <r>
          <rPr>
            <sz val="9"/>
            <color indexed="81"/>
            <rFont val="宋体"/>
            <family val="3"/>
            <charset val="134"/>
          </rPr>
          <t xml:space="preserve">家分公司排序
</t>
        </r>
      </text>
    </comment>
    <comment ref="B9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每季度找</t>
        </r>
        <r>
          <rPr>
            <sz val="9"/>
            <color indexed="81"/>
            <rFont val="Tahoma"/>
            <family val="2"/>
          </rPr>
          <t>HR</t>
        </r>
        <r>
          <rPr>
            <sz val="9"/>
            <color indexed="81"/>
            <rFont val="宋体"/>
            <family val="3"/>
            <charset val="134"/>
          </rPr>
          <t>王晨提供追责台账</t>
        </r>
      </text>
    </comment>
    <comment ref="B9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从台账中手动添加
</t>
        </r>
      </text>
    </comment>
    <comment ref="B10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从台账中手动添加
</t>
        </r>
      </text>
    </comment>
  </commentList>
</comments>
</file>

<file path=xl/comments4.xml><?xml version="1.0" encoding="utf-8"?>
<comments xmlns="http://schemas.openxmlformats.org/spreadsheetml/2006/main">
  <authors>
    <author>徐梦薇/Mengwei Xu</author>
    <author>徐梦薇</author>
    <author>pe0826</author>
    <author>刘辉</author>
  </authors>
  <commentList>
    <comment ref="D4" authorId="0">
      <text>
        <r>
          <rPr>
            <b/>
            <sz val="9"/>
            <color indexed="81"/>
            <rFont val="宋体"/>
            <family val="3"/>
            <charset val="134"/>
          </rPr>
          <t>徐梦薇</t>
        </r>
        <r>
          <rPr>
            <b/>
            <sz val="9"/>
            <color indexed="81"/>
            <rFont val="Tahoma"/>
            <family val="2"/>
            <charset val="134"/>
          </rPr>
          <t>/Mengwei Xu:</t>
        </r>
        <r>
          <rPr>
            <sz val="9"/>
            <color indexed="81"/>
            <rFont val="Tahoma"/>
            <family val="2"/>
            <charset val="134"/>
          </rPr>
          <t xml:space="preserve">
青岛失分</t>
        </r>
      </text>
    </comment>
    <comment ref="AD5" authorId="0">
      <text>
        <r>
          <rPr>
            <b/>
            <sz val="9"/>
            <color indexed="81"/>
            <rFont val="宋体"/>
            <family val="3"/>
            <charset val="134"/>
          </rPr>
          <t>徐梦薇</t>
        </r>
        <r>
          <rPr>
            <b/>
            <sz val="9"/>
            <color indexed="81"/>
            <rFont val="Tahoma"/>
            <family val="2"/>
            <charset val="134"/>
          </rPr>
          <t>/Mengwei Xu:</t>
        </r>
        <r>
          <rPr>
            <sz val="9"/>
            <color indexed="81"/>
            <rFont val="Tahoma"/>
            <family val="2"/>
            <charset val="134"/>
          </rPr>
          <t xml:space="preserve">
过期</t>
        </r>
      </text>
    </comment>
    <comment ref="AT5" authorId="0">
      <text>
        <r>
          <rPr>
            <b/>
            <sz val="9"/>
            <color indexed="81"/>
            <rFont val="宋体"/>
            <family val="3"/>
            <charset val="134"/>
          </rPr>
          <t>徐梦薇</t>
        </r>
        <r>
          <rPr>
            <b/>
            <sz val="9"/>
            <color indexed="81"/>
            <rFont val="Tahoma"/>
            <family val="2"/>
            <charset val="134"/>
          </rPr>
          <t>/Mengwei Xu:</t>
        </r>
        <r>
          <rPr>
            <sz val="9"/>
            <color indexed="81"/>
            <rFont val="Tahoma"/>
            <family val="2"/>
            <charset val="134"/>
          </rPr>
          <t xml:space="preserve">
评估期内分公司总经理助理（分管个险）方炜、南通中心支公司总经理（负责人）钟耀国离职。</t>
        </r>
      </text>
    </comment>
    <comment ref="AX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临沂：王展</t>
        </r>
        <r>
          <rPr>
            <sz val="9"/>
            <color indexed="81"/>
            <rFont val="Tahoma"/>
            <family val="2"/>
          </rPr>
          <t xml:space="preserve">2017/10/15  </t>
        </r>
        <r>
          <rPr>
            <sz val="9"/>
            <color indexed="81"/>
            <rFont val="宋体"/>
            <family val="3"/>
            <charset val="134"/>
          </rPr>
          <t>济南：齐宏杰</t>
        </r>
        <r>
          <rPr>
            <sz val="9"/>
            <color indexed="81"/>
            <rFont val="Tahoma"/>
            <family val="2"/>
          </rPr>
          <t xml:space="preserve">2017/11/28  </t>
        </r>
        <r>
          <rPr>
            <sz val="9"/>
            <color indexed="81"/>
            <rFont val="宋体"/>
            <family val="3"/>
            <charset val="134"/>
          </rPr>
          <t>淄博：车杰</t>
        </r>
        <r>
          <rPr>
            <sz val="9"/>
            <color indexed="81"/>
            <rFont val="Tahoma"/>
            <family val="2"/>
          </rPr>
          <t xml:space="preserve">2018/5/10        </t>
        </r>
        <r>
          <rPr>
            <sz val="9"/>
            <color indexed="81"/>
            <rFont val="宋体"/>
            <family val="3"/>
            <charset val="134"/>
          </rPr>
          <t>临沂：刘勇</t>
        </r>
        <r>
          <rPr>
            <sz val="9"/>
            <color indexed="81"/>
            <rFont val="Tahoma"/>
            <family val="2"/>
          </rPr>
          <t>2018/9/2</t>
        </r>
      </text>
    </comment>
    <comment ref="BH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总经理助理秦岩于</t>
        </r>
        <r>
          <rPr>
            <sz val="9"/>
            <color indexed="81"/>
            <rFont val="Tahoma"/>
            <family val="2"/>
          </rPr>
          <t>20180821</t>
        </r>
        <r>
          <rPr>
            <sz val="9"/>
            <color indexed="81"/>
            <rFont val="宋体"/>
            <family val="3"/>
            <charset val="134"/>
          </rPr>
          <t>离职</t>
        </r>
      </text>
    </comment>
    <comment ref="BN5" authorId="0">
      <text>
        <r>
          <rPr>
            <b/>
            <sz val="9"/>
            <color indexed="81"/>
            <rFont val="宋体"/>
            <family val="3"/>
            <charset val="134"/>
          </rPr>
          <t>徐梦薇</t>
        </r>
        <r>
          <rPr>
            <b/>
            <sz val="9"/>
            <color indexed="81"/>
            <rFont val="Tahoma"/>
            <family val="2"/>
          </rPr>
          <t>/Mengwei Xu:</t>
        </r>
        <r>
          <rPr>
            <sz val="9"/>
            <color indexed="81"/>
            <rFont val="Tahoma"/>
            <family val="2"/>
          </rPr>
          <t xml:space="preserve">
1</t>
        </r>
        <r>
          <rPr>
            <sz val="9"/>
            <color indexed="81"/>
            <rFont val="宋体"/>
            <family val="3"/>
            <charset val="134"/>
          </rPr>
          <t>、漯河中支负责人段可、三门峡中支负责人朱林最后工作日均为</t>
        </r>
        <r>
          <rPr>
            <sz val="9"/>
            <color indexed="81"/>
            <rFont val="Tahoma"/>
            <family val="2"/>
          </rPr>
          <t xml:space="preserve">2018-8-31( </t>
        </r>
        <r>
          <rPr>
            <sz val="9"/>
            <color indexed="81"/>
            <rFont val="宋体"/>
            <family val="3"/>
            <charset val="134"/>
          </rPr>
          <t>免职文号</t>
        </r>
        <r>
          <rPr>
            <sz val="9"/>
            <color indexed="81"/>
            <rFont val="Tahoma"/>
            <family val="2"/>
          </rPr>
          <t xml:space="preserve">: </t>
        </r>
        <r>
          <rPr>
            <sz val="9"/>
            <color indexed="81"/>
            <rFont val="宋体"/>
            <family val="3"/>
            <charset val="134"/>
          </rPr>
          <t>恒安标准发</t>
        </r>
        <r>
          <rPr>
            <sz val="9"/>
            <color indexed="81"/>
            <rFont val="Tahoma"/>
            <family val="2"/>
          </rPr>
          <t>[2018]177</t>
        </r>
        <r>
          <rPr>
            <sz val="9"/>
            <color indexed="81"/>
            <rFont val="宋体"/>
            <family val="3"/>
            <charset val="134"/>
          </rPr>
          <t>号</t>
        </r>
        <r>
          <rPr>
            <sz val="9"/>
            <color indexed="81"/>
            <rFont val="Tahoma"/>
            <family val="2"/>
          </rPr>
          <t xml:space="preserve">) </t>
        </r>
        <r>
          <rPr>
            <sz val="9"/>
            <color indexed="81"/>
            <rFont val="宋体"/>
            <family val="3"/>
            <charset val="134"/>
          </rPr>
          <t>；</t>
        </r>
        <r>
          <rPr>
            <sz val="9"/>
            <color indexed="81"/>
            <rFont val="Tahoma"/>
            <family val="2"/>
          </rPr>
          <t xml:space="preserve">                 2</t>
        </r>
        <r>
          <rPr>
            <sz val="9"/>
            <color indexed="81"/>
            <rFont val="宋体"/>
            <family val="3"/>
            <charset val="134"/>
          </rPr>
          <t>、焦作中支负责人马宁最后工作日为</t>
        </r>
        <r>
          <rPr>
            <sz val="9"/>
            <color indexed="81"/>
            <rFont val="Tahoma"/>
            <family val="2"/>
          </rPr>
          <t xml:space="preserve">2019-5-31( </t>
        </r>
        <r>
          <rPr>
            <sz val="9"/>
            <color indexed="81"/>
            <rFont val="宋体"/>
            <family val="3"/>
            <charset val="134"/>
          </rPr>
          <t>免职文号</t>
        </r>
        <r>
          <rPr>
            <sz val="9"/>
            <color indexed="81"/>
            <rFont val="Tahoma"/>
            <family val="2"/>
          </rPr>
          <t xml:space="preserve">: </t>
        </r>
        <r>
          <rPr>
            <sz val="9"/>
            <color indexed="81"/>
            <rFont val="宋体"/>
            <family val="3"/>
            <charset val="134"/>
          </rPr>
          <t>恒安标准发</t>
        </r>
        <r>
          <rPr>
            <sz val="9"/>
            <color indexed="81"/>
            <rFont val="Tahoma"/>
            <family val="2"/>
          </rPr>
          <t>[2019]176</t>
        </r>
        <r>
          <rPr>
            <sz val="9"/>
            <color indexed="81"/>
            <rFont val="宋体"/>
            <family val="3"/>
            <charset val="134"/>
          </rPr>
          <t>号</t>
        </r>
        <r>
          <rPr>
            <sz val="9"/>
            <color indexed="81"/>
            <rFont val="Tahoma"/>
            <family val="2"/>
          </rPr>
          <t>)</t>
        </r>
        <r>
          <rPr>
            <sz val="9"/>
            <color indexed="81"/>
            <rFont val="宋体"/>
            <family val="3"/>
            <charset val="134"/>
          </rPr>
          <t>。</t>
        </r>
      </text>
    </comment>
    <comment ref="BP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广分总经理助理兼银保渠道负责人梁巧玲</t>
        </r>
        <r>
          <rPr>
            <sz val="9"/>
            <color indexed="81"/>
            <rFont val="Tahoma"/>
            <family val="2"/>
          </rPr>
          <t>2017-12-29</t>
        </r>
        <r>
          <rPr>
            <sz val="9"/>
            <color indexed="81"/>
            <rFont val="宋体"/>
            <family val="3"/>
            <charset val="134"/>
          </rPr>
          <t>离职
广分江门中心支公司总经理甘建荣</t>
        </r>
        <r>
          <rPr>
            <sz val="9"/>
            <color indexed="81"/>
            <rFont val="Tahoma"/>
            <family val="2"/>
          </rPr>
          <t>2018-03-16</t>
        </r>
        <r>
          <rPr>
            <sz val="9"/>
            <color indexed="81"/>
            <rFont val="宋体"/>
            <family val="3"/>
            <charset val="134"/>
          </rPr>
          <t>离职</t>
        </r>
      </text>
    </comment>
    <comment ref="BT5" authorId="0">
      <text>
        <r>
          <rPr>
            <b/>
            <sz val="9"/>
            <color indexed="81"/>
            <rFont val="宋体"/>
            <family val="3"/>
            <charset val="134"/>
          </rPr>
          <t>徐梦薇</t>
        </r>
        <r>
          <rPr>
            <b/>
            <sz val="9"/>
            <color indexed="81"/>
            <rFont val="Tahoma"/>
            <family val="2"/>
            <charset val="134"/>
          </rPr>
          <t>/Mengwei Xu:</t>
        </r>
        <r>
          <rPr>
            <sz val="9"/>
            <color indexed="81"/>
            <rFont val="Tahoma"/>
            <family val="2"/>
            <charset val="134"/>
          </rPr>
          <t xml:space="preserve">
18Q3-19Q2</t>
        </r>
        <r>
          <rPr>
            <sz val="9"/>
            <color indexed="81"/>
            <rFont val="宋体"/>
            <family val="3"/>
            <charset val="134"/>
          </rPr>
          <t>离职人员：李晖（</t>
        </r>
        <r>
          <rPr>
            <sz val="9"/>
            <color indexed="81"/>
            <rFont val="Tahoma"/>
            <family val="2"/>
            <charset val="134"/>
          </rPr>
          <t>19Q2</t>
        </r>
        <r>
          <rPr>
            <sz val="9"/>
            <color indexed="81"/>
            <rFont val="宋体"/>
            <family val="3"/>
            <charset val="134"/>
          </rPr>
          <t>）</t>
        </r>
      </text>
    </comment>
    <comment ref="AX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山分：崔涛、郑恒永、王洪燕</t>
        </r>
        <r>
          <rPr>
            <sz val="9"/>
            <color indexed="81"/>
            <rFont val="Tahoma"/>
            <family val="2"/>
          </rPr>
          <t xml:space="preserve">                               </t>
        </r>
        <r>
          <rPr>
            <sz val="9"/>
            <color indexed="81"/>
            <rFont val="宋体"/>
            <family val="3"/>
            <charset val="134"/>
          </rPr>
          <t>济南：潘若建</t>
        </r>
        <r>
          <rPr>
            <sz val="9"/>
            <color indexed="81"/>
            <rFont val="Tahoma"/>
            <family val="2"/>
          </rPr>
          <t xml:space="preserve">                                                           </t>
        </r>
        <r>
          <rPr>
            <sz val="9"/>
            <color indexed="81"/>
            <rFont val="宋体"/>
            <family val="3"/>
            <charset val="134"/>
          </rPr>
          <t>烟台：刘敬斌
济宁：李建英
潍坊：董海东
威海：郑寿智
泰安：王竣
枣庄：王静
德州：秦文霞</t>
        </r>
        <r>
          <rPr>
            <sz val="9"/>
            <color indexed="81"/>
            <rFont val="Tahoma"/>
            <family val="2"/>
          </rPr>
          <t xml:space="preserve">            </t>
        </r>
        <r>
          <rPr>
            <sz val="9"/>
            <color indexed="81"/>
            <rFont val="宋体"/>
            <family val="3"/>
            <charset val="134"/>
          </rPr>
          <t>淄博：许森</t>
        </r>
      </text>
    </comment>
    <comment ref="BH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王森林于</t>
        </r>
        <r>
          <rPr>
            <sz val="9"/>
            <color indexed="81"/>
            <rFont val="Tahoma"/>
            <family val="2"/>
          </rPr>
          <t>20190529</t>
        </r>
        <r>
          <rPr>
            <sz val="9"/>
            <color indexed="81"/>
            <rFont val="宋体"/>
            <family val="3"/>
            <charset val="134"/>
          </rPr>
          <t>正式任命为总经理助理</t>
        </r>
      </text>
    </comment>
    <comment ref="BP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省级分公司总经理室成员为</t>
        </r>
        <r>
          <rPr>
            <sz val="9"/>
            <color indexed="81"/>
            <rFont val="Tahoma"/>
            <family val="2"/>
          </rPr>
          <t>2</t>
        </r>
        <r>
          <rPr>
            <sz val="9"/>
            <color indexed="81"/>
            <rFont val="宋体"/>
            <family val="3"/>
            <charset val="134"/>
          </rPr>
          <t>人，中心支公司主要负责人为</t>
        </r>
        <r>
          <rPr>
            <sz val="9"/>
            <color indexed="81"/>
            <rFont val="Tahoma"/>
            <family val="2"/>
          </rPr>
          <t>2</t>
        </r>
        <r>
          <rPr>
            <sz val="9"/>
            <color indexed="81"/>
            <rFont val="宋体"/>
            <family val="3"/>
            <charset val="134"/>
          </rPr>
          <t>人，合共</t>
        </r>
        <r>
          <rPr>
            <sz val="9"/>
            <color indexed="81"/>
            <rFont val="Tahoma"/>
            <family val="2"/>
          </rPr>
          <t>4</t>
        </r>
        <r>
          <rPr>
            <sz val="9"/>
            <color indexed="81"/>
            <rFont val="宋体"/>
            <family val="3"/>
            <charset val="134"/>
          </rPr>
          <t>人</t>
        </r>
      </text>
    </comment>
    <comment ref="Z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去除了石家庄人数，其次，原个险培训负责人白春蕊</t>
        </r>
        <r>
          <rPr>
            <sz val="9"/>
            <color indexed="81"/>
            <rFont val="Tahoma"/>
            <family val="2"/>
          </rPr>
          <t>6.15</t>
        </r>
        <r>
          <rPr>
            <sz val="9"/>
            <color indexed="81"/>
            <rFont val="宋体"/>
            <family val="3"/>
            <charset val="134"/>
          </rPr>
          <t>离职</t>
        </r>
      </text>
    </comment>
    <comment ref="AF8" authorId="1">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分公司</t>
        </r>
        <r>
          <rPr>
            <sz val="9"/>
            <color indexed="81"/>
            <rFont val="Tahoma"/>
            <family val="2"/>
          </rPr>
          <t>ID3</t>
        </r>
        <r>
          <rPr>
            <sz val="9"/>
            <color indexed="81"/>
            <rFont val="宋体"/>
            <family val="3"/>
            <charset val="134"/>
          </rPr>
          <t>、分公司</t>
        </r>
        <r>
          <rPr>
            <sz val="9"/>
            <color indexed="81"/>
            <rFont val="Tahoma"/>
            <family val="2"/>
          </rPr>
          <t>AD1</t>
        </r>
        <r>
          <rPr>
            <sz val="9"/>
            <color indexed="81"/>
            <rFont val="宋体"/>
            <family val="3"/>
            <charset val="134"/>
          </rPr>
          <t>、分公司</t>
        </r>
        <r>
          <rPr>
            <sz val="9"/>
            <color indexed="81"/>
            <rFont val="Tahoma"/>
            <family val="2"/>
          </rPr>
          <t>RP1</t>
        </r>
        <r>
          <rPr>
            <sz val="9"/>
            <color indexed="81"/>
            <rFont val="宋体"/>
            <family val="3"/>
            <charset val="134"/>
          </rPr>
          <t>、分公司</t>
        </r>
        <r>
          <rPr>
            <sz val="9"/>
            <color indexed="81"/>
            <rFont val="Tahoma"/>
            <family val="2"/>
          </rPr>
          <t>CS1</t>
        </r>
        <r>
          <rPr>
            <sz val="9"/>
            <color indexed="81"/>
            <rFont val="宋体"/>
            <family val="3"/>
            <charset val="134"/>
          </rPr>
          <t>、沈阳</t>
        </r>
        <r>
          <rPr>
            <sz val="9"/>
            <color indexed="81"/>
            <rFont val="Tahoma"/>
            <family val="2"/>
          </rPr>
          <t>1</t>
        </r>
        <r>
          <rPr>
            <sz val="9"/>
            <color indexed="81"/>
            <rFont val="宋体"/>
            <family val="3"/>
            <charset val="134"/>
          </rPr>
          <t>、铁岭</t>
        </r>
        <r>
          <rPr>
            <sz val="9"/>
            <color indexed="81"/>
            <rFont val="Tahoma"/>
            <family val="2"/>
          </rPr>
          <t>1</t>
        </r>
        <r>
          <rPr>
            <sz val="9"/>
            <color indexed="81"/>
            <rFont val="宋体"/>
            <family val="3"/>
            <charset val="134"/>
          </rPr>
          <t>、抚顺</t>
        </r>
        <r>
          <rPr>
            <sz val="9"/>
            <color indexed="81"/>
            <rFont val="Tahoma"/>
            <family val="2"/>
          </rPr>
          <t>1</t>
        </r>
        <r>
          <rPr>
            <sz val="9"/>
            <color indexed="81"/>
            <rFont val="宋体"/>
            <family val="3"/>
            <charset val="134"/>
          </rPr>
          <t>、锦州</t>
        </r>
        <r>
          <rPr>
            <sz val="9"/>
            <color indexed="81"/>
            <rFont val="Tahoma"/>
            <family val="2"/>
          </rPr>
          <t>2</t>
        </r>
        <r>
          <rPr>
            <sz val="9"/>
            <color indexed="81"/>
            <rFont val="宋体"/>
            <family val="3"/>
            <charset val="134"/>
          </rPr>
          <t>、丹东</t>
        </r>
        <r>
          <rPr>
            <sz val="9"/>
            <color indexed="81"/>
            <rFont val="Tahoma"/>
            <family val="2"/>
          </rPr>
          <t>2</t>
        </r>
        <r>
          <rPr>
            <sz val="9"/>
            <color indexed="81"/>
            <rFont val="宋体"/>
            <family val="3"/>
            <charset val="134"/>
          </rPr>
          <t>、辽阳</t>
        </r>
        <r>
          <rPr>
            <sz val="9"/>
            <color indexed="81"/>
            <rFont val="Tahoma"/>
            <family val="2"/>
          </rPr>
          <t>2</t>
        </r>
        <r>
          <rPr>
            <sz val="9"/>
            <color indexed="81"/>
            <rFont val="宋体"/>
            <family val="3"/>
            <charset val="134"/>
          </rPr>
          <t>、本溪</t>
        </r>
        <r>
          <rPr>
            <sz val="9"/>
            <color indexed="81"/>
            <rFont val="Tahoma"/>
            <family val="2"/>
          </rPr>
          <t>2</t>
        </r>
      </text>
    </comment>
    <comment ref="AR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新增保费部负责人徐祥寅、苏州临时负责胡堃；原保费部负责人郑小丽异动至南京中支个险培训部负责人</t>
        </r>
        <r>
          <rPr>
            <sz val="9"/>
            <color indexed="81"/>
            <rFont val="Tahoma"/>
            <family val="2"/>
          </rPr>
          <t>,</t>
        </r>
        <r>
          <rPr>
            <sz val="9"/>
            <color indexed="81"/>
            <rFont val="宋体"/>
            <family val="3"/>
            <charset val="134"/>
          </rPr>
          <t>原苏州中支负责人尤建芳离职</t>
        </r>
      </text>
    </comment>
    <comment ref="AX8" authorId="0">
      <text>
        <r>
          <rPr>
            <b/>
            <sz val="9"/>
            <color indexed="81"/>
            <rFont val="宋体"/>
            <family val="3"/>
            <charset val="134"/>
          </rPr>
          <t>徐梦薇</t>
        </r>
        <r>
          <rPr>
            <b/>
            <sz val="9"/>
            <color indexed="81"/>
            <rFont val="Tahoma"/>
            <family val="2"/>
          </rPr>
          <t>/Mengwei Xu:</t>
        </r>
        <r>
          <rPr>
            <sz val="9"/>
            <color indexed="81"/>
            <rFont val="宋体"/>
            <family val="3"/>
            <charset val="134"/>
          </rPr>
          <t xml:space="preserve">
山东省分公司客户服务部负责人赵建元
山东省分公司多元行销负责人王洪燕
山东省分公司续期保费部负责人梁仕永
山东省分公司个险销售支持部负责人陈艳
山东省分公司个险培训部负责人杨凯
山东省分公司个险人力发展部负责人李庆福
山东省分公司个险业务发展部负责人刘震
</t>
        </r>
        <r>
          <rPr>
            <sz val="9"/>
            <color indexed="81"/>
            <rFont val="Tahoma"/>
            <family val="2"/>
          </rPr>
          <t xml:space="preserve"> </t>
        </r>
        <r>
          <rPr>
            <sz val="9"/>
            <color indexed="81"/>
            <rFont val="宋体"/>
            <family val="3"/>
            <charset val="134"/>
          </rPr>
          <t>烟台中心支公司个险业务发展部负责人焦修伟
烟台中心支公司团险渠道负责人曹爱文
烟台中心支公司个险培训部负责人于晓荣
济宁中心支公司团险渠道负责人刘小利
济宁中心支公司个险业务发展部负责人陈智川
潍坊中心支公司个险业务发展部负责人王俊娜
枣庄中心支公司个险业务发展部负责人周全伟
威海中心支公司个险业务发展部负责人李广升
德州中心支公司个险培训部负责人胡萍萍
德州中心支公司个险业务发展部负责人任龙飞
泰安中心支公司个险业务发展部负责人李明军
临沂中心支公司个险业务发展部负责人张杰</t>
        </r>
      </text>
    </comment>
    <comment ref="BD8" authorId="1">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个险</t>
        </r>
        <r>
          <rPr>
            <sz val="9"/>
            <color indexed="81"/>
            <rFont val="Tahoma"/>
            <family val="2"/>
          </rPr>
          <t xml:space="preserve">2 </t>
        </r>
        <r>
          <rPr>
            <sz val="9"/>
            <color indexed="81"/>
            <rFont val="宋体"/>
            <family val="3"/>
            <charset val="134"/>
          </rPr>
          <t>续期</t>
        </r>
        <r>
          <rPr>
            <sz val="9"/>
            <color indexed="81"/>
            <rFont val="Tahoma"/>
            <family val="2"/>
          </rPr>
          <t xml:space="preserve">1 </t>
        </r>
        <r>
          <rPr>
            <sz val="9"/>
            <color indexed="81"/>
            <rFont val="宋体"/>
            <family val="3"/>
            <charset val="134"/>
          </rPr>
          <t>客服</t>
        </r>
        <r>
          <rPr>
            <sz val="9"/>
            <color indexed="81"/>
            <rFont val="Tahoma"/>
            <family val="2"/>
          </rPr>
          <t>1</t>
        </r>
      </text>
    </comment>
    <comment ref="BJ8" authorId="1">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部门负责人个人简历</t>
        </r>
      </text>
    </comment>
    <comment ref="BV8" authorId="1">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团险</t>
        </r>
        <r>
          <rPr>
            <sz val="9"/>
            <color indexed="81"/>
            <rFont val="Tahoma"/>
            <family val="2"/>
          </rPr>
          <t>-</t>
        </r>
        <r>
          <rPr>
            <sz val="9"/>
            <color indexed="81"/>
            <rFont val="宋体"/>
            <family val="3"/>
            <charset val="134"/>
          </rPr>
          <t>尹冬，银保</t>
        </r>
        <r>
          <rPr>
            <sz val="9"/>
            <color indexed="81"/>
            <rFont val="Tahoma"/>
            <family val="2"/>
          </rPr>
          <t>-</t>
        </r>
        <r>
          <rPr>
            <sz val="9"/>
            <color indexed="81"/>
            <rFont val="宋体"/>
            <family val="3"/>
            <charset val="134"/>
          </rPr>
          <t>黄娟，客户</t>
        </r>
        <r>
          <rPr>
            <sz val="9"/>
            <color indexed="81"/>
            <rFont val="Tahoma"/>
            <family val="2"/>
          </rPr>
          <t>-</t>
        </r>
        <r>
          <rPr>
            <sz val="9"/>
            <color indexed="81"/>
            <rFont val="宋体"/>
            <family val="3"/>
            <charset val="134"/>
          </rPr>
          <t>黎伟，</t>
        </r>
        <r>
          <rPr>
            <sz val="9"/>
            <color indexed="81"/>
            <rFont val="Tahoma"/>
            <family val="2"/>
          </rPr>
          <t>SC</t>
        </r>
        <r>
          <rPr>
            <sz val="9"/>
            <color indexed="81"/>
            <rFont val="宋体"/>
            <family val="3"/>
            <charset val="134"/>
          </rPr>
          <t>培训</t>
        </r>
        <r>
          <rPr>
            <sz val="9"/>
            <color indexed="81"/>
            <rFont val="Tahoma"/>
            <family val="2"/>
          </rPr>
          <t>-</t>
        </r>
        <r>
          <rPr>
            <sz val="9"/>
            <color indexed="81"/>
            <rFont val="宋体"/>
            <family val="3"/>
            <charset val="134"/>
          </rPr>
          <t>胡妲，</t>
        </r>
        <r>
          <rPr>
            <sz val="9"/>
            <color indexed="81"/>
            <rFont val="Tahoma"/>
            <family val="2"/>
          </rPr>
          <t>SC</t>
        </r>
        <r>
          <rPr>
            <sz val="9"/>
            <color indexed="81"/>
            <rFont val="宋体"/>
            <family val="3"/>
            <charset val="134"/>
          </rPr>
          <t>业务</t>
        </r>
        <r>
          <rPr>
            <sz val="9"/>
            <color indexed="81"/>
            <rFont val="Tahoma"/>
            <family val="2"/>
          </rPr>
          <t>-</t>
        </r>
        <r>
          <rPr>
            <sz val="9"/>
            <color indexed="81"/>
            <rFont val="宋体"/>
            <family val="3"/>
            <charset val="134"/>
          </rPr>
          <t>晏成怀；</t>
        </r>
        <r>
          <rPr>
            <sz val="9"/>
            <color indexed="81"/>
            <rFont val="Tahoma"/>
            <family val="2"/>
          </rPr>
          <t>SC</t>
        </r>
        <r>
          <rPr>
            <sz val="9"/>
            <color indexed="81"/>
            <rFont val="宋体"/>
            <family val="3"/>
            <charset val="134"/>
          </rPr>
          <t>人力</t>
        </r>
        <r>
          <rPr>
            <sz val="9"/>
            <color indexed="81"/>
            <rFont val="Tahoma"/>
            <family val="2"/>
          </rPr>
          <t>-</t>
        </r>
        <r>
          <rPr>
            <sz val="9"/>
            <color indexed="81"/>
            <rFont val="宋体"/>
            <family val="3"/>
            <charset val="134"/>
          </rPr>
          <t>甘勋；</t>
        </r>
        <r>
          <rPr>
            <sz val="9"/>
            <color indexed="81"/>
            <rFont val="Tahoma"/>
            <family val="2"/>
          </rPr>
          <t>LS</t>
        </r>
        <r>
          <rPr>
            <sz val="9"/>
            <color indexed="81"/>
            <rFont val="宋体"/>
            <family val="3"/>
            <charset val="134"/>
          </rPr>
          <t>业务</t>
        </r>
        <r>
          <rPr>
            <sz val="9"/>
            <color indexed="81"/>
            <rFont val="Tahoma"/>
            <family val="2"/>
          </rPr>
          <t>-</t>
        </r>
        <r>
          <rPr>
            <sz val="9"/>
            <color indexed="81"/>
            <rFont val="宋体"/>
            <family val="3"/>
            <charset val="134"/>
          </rPr>
          <t>张晓波，</t>
        </r>
        <r>
          <rPr>
            <sz val="9"/>
            <color indexed="81"/>
            <rFont val="Tahoma"/>
            <family val="2"/>
          </rPr>
          <t>LS</t>
        </r>
        <r>
          <rPr>
            <sz val="9"/>
            <color indexed="81"/>
            <rFont val="宋体"/>
            <family val="3"/>
            <charset val="134"/>
          </rPr>
          <t>培训</t>
        </r>
        <r>
          <rPr>
            <sz val="9"/>
            <color indexed="81"/>
            <rFont val="Tahoma"/>
            <family val="2"/>
          </rPr>
          <t>-</t>
        </r>
        <r>
          <rPr>
            <sz val="9"/>
            <color indexed="81"/>
            <rFont val="宋体"/>
            <family val="3"/>
            <charset val="134"/>
          </rPr>
          <t>唐文佳；</t>
        </r>
        <r>
          <rPr>
            <sz val="9"/>
            <color indexed="81"/>
            <rFont val="Tahoma"/>
            <family val="2"/>
          </rPr>
          <t>DZ-</t>
        </r>
        <r>
          <rPr>
            <sz val="9"/>
            <color indexed="81"/>
            <rFont val="宋体"/>
            <family val="3"/>
            <charset val="134"/>
          </rPr>
          <t>李美安，</t>
        </r>
        <r>
          <rPr>
            <sz val="9"/>
            <color indexed="81"/>
            <rFont val="Tahoma"/>
            <family val="2"/>
          </rPr>
          <t>NC-</t>
        </r>
        <r>
          <rPr>
            <sz val="9"/>
            <color indexed="81"/>
            <rFont val="宋体"/>
            <family val="3"/>
            <charset val="134"/>
          </rPr>
          <t>王蓉，</t>
        </r>
        <r>
          <rPr>
            <sz val="9"/>
            <color indexed="81"/>
            <rFont val="Tahoma"/>
            <family val="2"/>
          </rPr>
          <t>ZG-</t>
        </r>
        <r>
          <rPr>
            <sz val="9"/>
            <color indexed="81"/>
            <rFont val="宋体"/>
            <family val="3"/>
            <charset val="134"/>
          </rPr>
          <t>王强，</t>
        </r>
        <r>
          <rPr>
            <sz val="9"/>
            <color indexed="81"/>
            <rFont val="Tahoma"/>
            <family val="2"/>
          </rPr>
          <t>ZG</t>
        </r>
        <r>
          <rPr>
            <sz val="9"/>
            <color indexed="81"/>
            <rFont val="宋体"/>
            <family val="3"/>
            <charset val="134"/>
          </rPr>
          <t>：王梦兰</t>
        </r>
      </text>
    </comment>
    <comment ref="Z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同上
</t>
        </r>
      </text>
    </comment>
    <comment ref="AF9" authorId="1">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同上</t>
        </r>
      </text>
    </comment>
    <comment ref="AR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新增保费部负责人徐祥寅、苏州临时负责胡堃；原保费部负责人郑小丽异动至南京中支个险培训部负责人</t>
        </r>
        <r>
          <rPr>
            <sz val="9"/>
            <color indexed="81"/>
            <rFont val="Tahoma"/>
            <family val="2"/>
          </rPr>
          <t>,</t>
        </r>
        <r>
          <rPr>
            <sz val="9"/>
            <color indexed="81"/>
            <rFont val="宋体"/>
            <family val="3"/>
            <charset val="134"/>
          </rPr>
          <t>原苏州中支负责人尤建芳离职</t>
        </r>
      </text>
    </comment>
    <comment ref="AX9" authorId="2">
      <text>
        <r>
          <rPr>
            <b/>
            <sz val="9"/>
            <color indexed="81"/>
            <rFont val="宋体"/>
            <family val="3"/>
            <charset val="134"/>
          </rPr>
          <t>同上</t>
        </r>
      </text>
    </comment>
    <comment ref="BD9" authorId="1">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同上</t>
        </r>
      </text>
    </comment>
    <comment ref="BJ9" authorId="1">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相关部门负责人（叶红、张进林、吴畏、刘辉、张瑞强、芦培贞、刘博、孙昭海、姚梅、王艳丽、张建萍、彭波、李丽、李学双、吴小强）</t>
        </r>
      </text>
    </comment>
    <comment ref="BV9" authorId="1">
      <text>
        <r>
          <rPr>
            <b/>
            <sz val="9"/>
            <color indexed="81"/>
            <rFont val="宋体"/>
            <family val="3"/>
            <charset val="134"/>
          </rPr>
          <t>徐梦薇</t>
        </r>
        <r>
          <rPr>
            <b/>
            <sz val="9"/>
            <color indexed="81"/>
            <rFont val="Tahoma"/>
            <family val="2"/>
          </rPr>
          <t xml:space="preserve">:
</t>
        </r>
        <r>
          <rPr>
            <b/>
            <sz val="9"/>
            <color indexed="81"/>
            <rFont val="宋体"/>
            <family val="3"/>
            <charset val="134"/>
          </rPr>
          <t>同上</t>
        </r>
      </text>
    </comment>
    <comment ref="D10" authorId="0">
      <text>
        <r>
          <rPr>
            <b/>
            <sz val="9"/>
            <color indexed="81"/>
            <rFont val="宋体"/>
            <family val="3"/>
            <charset val="134"/>
          </rPr>
          <t>徐梦薇</t>
        </r>
        <r>
          <rPr>
            <b/>
            <sz val="9"/>
            <color indexed="81"/>
            <rFont val="Tahoma"/>
            <family val="2"/>
            <charset val="134"/>
          </rPr>
          <t>/Mengwei Xu:</t>
        </r>
        <r>
          <rPr>
            <sz val="9"/>
            <color indexed="81"/>
            <rFont val="Tahoma"/>
            <family val="2"/>
            <charset val="134"/>
          </rPr>
          <t xml:space="preserve">
除天津均失分</t>
        </r>
      </text>
    </comment>
    <comment ref="BP1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离职共</t>
        </r>
        <r>
          <rPr>
            <sz val="9"/>
            <color indexed="81"/>
            <rFont val="Tahoma"/>
            <family val="2"/>
          </rPr>
          <t>36</t>
        </r>
        <r>
          <rPr>
            <sz val="9"/>
            <color indexed="81"/>
            <rFont val="宋体"/>
            <family val="3"/>
            <charset val="134"/>
          </rPr>
          <t>人次，统计数据不包括分公司总经理</t>
        </r>
        <r>
          <rPr>
            <sz val="9"/>
            <color indexed="81"/>
            <rFont val="Tahoma"/>
            <family val="2"/>
          </rPr>
          <t>,</t>
        </r>
        <r>
          <rPr>
            <sz val="9"/>
            <color indexed="81"/>
            <rFont val="宋体"/>
            <family val="3"/>
            <charset val="134"/>
          </rPr>
          <t>包含分公司总经理助理兼渠道负责人。（其中有一人</t>
        </r>
        <r>
          <rPr>
            <sz val="9"/>
            <color indexed="81"/>
            <rFont val="Tahoma"/>
            <family val="2"/>
          </rPr>
          <t>6</t>
        </r>
        <r>
          <rPr>
            <sz val="9"/>
            <color indexed="81"/>
            <rFont val="宋体"/>
            <family val="3"/>
            <charset val="134"/>
          </rPr>
          <t>月</t>
        </r>
        <r>
          <rPr>
            <sz val="9"/>
            <color indexed="81"/>
            <rFont val="Tahoma"/>
            <family val="2"/>
          </rPr>
          <t>30</t>
        </r>
        <r>
          <rPr>
            <sz val="9"/>
            <color indexed="81"/>
            <rFont val="宋体"/>
            <family val="3"/>
            <charset val="134"/>
          </rPr>
          <t>日最后工作日，计入第三季度离职）</t>
        </r>
      </text>
    </comment>
    <comment ref="BP1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前</t>
        </r>
        <r>
          <rPr>
            <sz val="9"/>
            <color indexed="81"/>
            <rFont val="Tahoma"/>
            <family val="2"/>
          </rPr>
          <t>4</t>
        </r>
        <r>
          <rPr>
            <sz val="9"/>
            <color indexed="81"/>
            <rFont val="宋体"/>
            <family val="3"/>
            <charset val="134"/>
          </rPr>
          <t>个季度初省级分公司及以下分支机构有</t>
        </r>
        <r>
          <rPr>
            <sz val="9"/>
            <color indexed="81"/>
            <rFont val="Tahoma"/>
            <family val="2"/>
          </rPr>
          <t>48</t>
        </r>
        <r>
          <rPr>
            <sz val="9"/>
            <color indexed="81"/>
            <rFont val="宋体"/>
            <family val="3"/>
            <charset val="134"/>
          </rPr>
          <t>人</t>
        </r>
      </text>
    </comment>
    <comment ref="BP13" authorId="0">
      <text>
        <r>
          <rPr>
            <b/>
            <sz val="9"/>
            <color indexed="81"/>
            <rFont val="宋体"/>
            <family val="3"/>
            <charset val="134"/>
          </rPr>
          <t>徐梦薇</t>
        </r>
        <r>
          <rPr>
            <b/>
            <sz val="9"/>
            <color indexed="81"/>
            <rFont val="Tahoma"/>
            <family val="2"/>
          </rPr>
          <t>/Mengwei Xu:</t>
        </r>
        <r>
          <rPr>
            <sz val="9"/>
            <color indexed="81"/>
            <rFont val="Tahoma"/>
            <family val="2"/>
          </rPr>
          <t xml:space="preserve">
17.7-18.6</t>
        </r>
        <r>
          <rPr>
            <sz val="9"/>
            <color indexed="81"/>
            <rFont val="宋体"/>
            <family val="3"/>
            <charset val="134"/>
          </rPr>
          <t>增加员工</t>
        </r>
        <r>
          <rPr>
            <sz val="9"/>
            <color indexed="81"/>
            <rFont val="Tahoma"/>
            <family val="2"/>
          </rPr>
          <t>25</t>
        </r>
        <r>
          <rPr>
            <sz val="9"/>
            <color indexed="81"/>
            <rFont val="宋体"/>
            <family val="3"/>
            <charset val="134"/>
          </rPr>
          <t>人</t>
        </r>
      </text>
    </comment>
    <comment ref="X1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要求每季度开展</t>
        </r>
      </text>
    </comment>
    <comment ref="BJ14" authorId="1">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每季度总部合规培训共</t>
        </r>
        <r>
          <rPr>
            <sz val="9"/>
            <color indexed="81"/>
            <rFont val="Tahoma"/>
            <family val="2"/>
          </rPr>
          <t>4</t>
        </r>
        <r>
          <rPr>
            <sz val="9"/>
            <color indexed="81"/>
            <rFont val="宋体"/>
            <family val="3"/>
            <charset val="134"/>
          </rPr>
          <t>次。</t>
        </r>
      </text>
    </comment>
    <comment ref="BP1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本季度组织了扫黑除恶、金融知识普及、合规知识、标准化工作、三季度合规培训共</t>
        </r>
        <r>
          <rPr>
            <sz val="9"/>
            <color indexed="81"/>
            <rFont val="Tahoma"/>
            <family val="2"/>
          </rPr>
          <t>5</t>
        </r>
        <r>
          <rPr>
            <sz val="9"/>
            <color indexed="81"/>
            <rFont val="宋体"/>
            <family val="3"/>
            <charset val="134"/>
          </rPr>
          <t>次培训。前三季度共举办了</t>
        </r>
        <r>
          <rPr>
            <sz val="9"/>
            <color indexed="81"/>
            <rFont val="Tahoma"/>
            <family val="2"/>
          </rPr>
          <t>9</t>
        </r>
        <r>
          <rPr>
            <sz val="9"/>
            <color indexed="81"/>
            <rFont val="宋体"/>
            <family val="3"/>
            <charset val="134"/>
          </rPr>
          <t>次</t>
        </r>
        <r>
          <rPr>
            <sz val="9"/>
            <color indexed="81"/>
            <rFont val="Tahoma"/>
            <family val="2"/>
          </rPr>
          <t xml:space="preserve"> </t>
        </r>
        <r>
          <rPr>
            <sz val="9"/>
            <color indexed="81"/>
            <rFont val="宋体"/>
            <family val="3"/>
            <charset val="134"/>
          </rPr>
          <t>，一起发生</t>
        </r>
        <r>
          <rPr>
            <sz val="9"/>
            <color indexed="81"/>
            <rFont val="Tahoma"/>
            <family val="2"/>
          </rPr>
          <t>14</t>
        </r>
        <r>
          <rPr>
            <sz val="9"/>
            <color indexed="81"/>
            <rFont val="宋体"/>
            <family val="3"/>
            <charset val="134"/>
          </rPr>
          <t>次，导致变动幅度较大。</t>
        </r>
      </text>
    </comment>
    <comment ref="BV14" authorId="1">
      <text>
        <r>
          <rPr>
            <b/>
            <sz val="9"/>
            <color indexed="81"/>
            <rFont val="宋体"/>
            <family val="3"/>
            <charset val="134"/>
          </rPr>
          <t>徐梦薇</t>
        </r>
        <r>
          <rPr>
            <b/>
            <sz val="9"/>
            <color indexed="81"/>
            <rFont val="Tahoma"/>
            <family val="2"/>
          </rPr>
          <t>:</t>
        </r>
        <r>
          <rPr>
            <sz val="9"/>
            <color indexed="81"/>
            <rFont val="Tahoma"/>
            <family val="2"/>
          </rPr>
          <t xml:space="preserve">
2017.9.8</t>
        </r>
        <r>
          <rPr>
            <sz val="9"/>
            <color indexed="81"/>
            <rFont val="宋体"/>
            <family val="3"/>
            <charset val="134"/>
          </rPr>
          <t>合规与风险培训，</t>
        </r>
        <r>
          <rPr>
            <sz val="9"/>
            <color indexed="81"/>
            <rFont val="Tahoma"/>
            <family val="2"/>
          </rPr>
          <t>2017</t>
        </r>
        <r>
          <rPr>
            <sz val="9"/>
            <color indexed="81"/>
            <rFont val="宋体"/>
            <family val="3"/>
            <charset val="134"/>
          </rPr>
          <t>年四季度系统合规培训，</t>
        </r>
        <r>
          <rPr>
            <sz val="9"/>
            <color indexed="81"/>
            <rFont val="Tahoma"/>
            <family val="2"/>
          </rPr>
          <t>2018</t>
        </r>
        <r>
          <rPr>
            <sz val="9"/>
            <color indexed="81"/>
            <rFont val="宋体"/>
            <family val="3"/>
            <charset val="134"/>
          </rPr>
          <t>年</t>
        </r>
        <r>
          <rPr>
            <sz val="9"/>
            <color indexed="81"/>
            <rFont val="Tahoma"/>
            <family val="2"/>
          </rPr>
          <t>1</t>
        </r>
        <r>
          <rPr>
            <sz val="9"/>
            <color indexed="81"/>
            <rFont val="宋体"/>
            <family val="3"/>
            <charset val="134"/>
          </rPr>
          <t>季度合规培训</t>
        </r>
      </text>
    </comment>
    <comment ref="AF17" authorId="1">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新增（金山、恒荣汇彬）</t>
        </r>
        <r>
          <rPr>
            <sz val="9"/>
            <color indexed="81"/>
            <rFont val="Tahoma"/>
            <family val="2"/>
          </rPr>
          <t>2</t>
        </r>
        <r>
          <rPr>
            <sz val="9"/>
            <color indexed="81"/>
            <rFont val="宋体"/>
            <family val="3"/>
            <charset val="134"/>
          </rPr>
          <t>家</t>
        </r>
      </text>
    </comment>
    <comment ref="AR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团险：无锡华美代理合同到期
团险：</t>
        </r>
        <r>
          <rPr>
            <sz val="9"/>
            <color indexed="81"/>
            <rFont val="Tahoma"/>
            <family val="2"/>
          </rPr>
          <t>10,</t>
        </r>
        <r>
          <rPr>
            <sz val="9"/>
            <color indexed="81"/>
            <rFont val="宋体"/>
            <family val="3"/>
            <charset val="134"/>
          </rPr>
          <t>截至</t>
        </r>
        <r>
          <rPr>
            <sz val="9"/>
            <color indexed="81"/>
            <rFont val="Tahoma"/>
            <family val="2"/>
          </rPr>
          <t>20180930</t>
        </r>
        <r>
          <rPr>
            <sz val="9"/>
            <color indexed="81"/>
            <rFont val="宋体"/>
            <family val="3"/>
            <charset val="134"/>
          </rPr>
          <t>有效的代理合同：上海隆华保险经纪有限公司、圣源祥保险经纪有限公司江苏分公司、上海中安融合保险经纪有限公司常州分公司、江苏华远保险销售有限公司、江苏华尊保险代理有限公司、华阳保险销售有限公司、江苏一迪保险代理有限公司南通分公司、南京泰恒保险代理有限公司、华泰保险经纪有限公司江苏分公司、江苏惠多利保险代理有限公司
多元：</t>
        </r>
        <r>
          <rPr>
            <sz val="9"/>
            <color indexed="81"/>
            <rFont val="Tahoma"/>
            <family val="2"/>
          </rPr>
          <t>27(</t>
        </r>
        <r>
          <rPr>
            <sz val="9"/>
            <color indexed="81"/>
            <rFont val="宋体"/>
            <family val="3"/>
            <charset val="134"/>
          </rPr>
          <t>分公司签：华邦、恒生、红叶、江天民生、万舜、祺顺、盛大众联、荣泰、统一、华厦、华成、华阳、通鼎、嘉隆、享安、汇金永信、明亚、玄元、中联金安、万联、安邦国际；总公司签：鑫山、黎明</t>
        </r>
        <r>
          <rPr>
            <sz val="9"/>
            <color indexed="81"/>
            <rFont val="Tahoma"/>
            <family val="2"/>
          </rPr>
          <t>)</t>
        </r>
        <r>
          <rPr>
            <sz val="9"/>
            <color indexed="81"/>
            <rFont val="宋体"/>
            <family val="3"/>
            <charset val="134"/>
          </rPr>
          <t>新增</t>
        </r>
        <r>
          <rPr>
            <sz val="9"/>
            <color indexed="81"/>
            <rFont val="Tahoma"/>
            <family val="2"/>
          </rPr>
          <t>4</t>
        </r>
        <r>
          <rPr>
            <sz val="9"/>
            <color indexed="81"/>
            <rFont val="宋体"/>
            <family val="3"/>
            <charset val="134"/>
          </rPr>
          <t>家（安康、中驰、华夏在线、总部签：中捷、）
银行：</t>
        </r>
        <r>
          <rPr>
            <sz val="9"/>
            <color indexed="81"/>
            <rFont val="Tahoma"/>
            <family val="2"/>
          </rPr>
          <t>2(</t>
        </r>
        <r>
          <rPr>
            <sz val="9"/>
            <color indexed="81"/>
            <rFont val="宋体"/>
            <family val="3"/>
            <charset val="134"/>
          </rPr>
          <t>工行、招行）</t>
        </r>
      </text>
    </comment>
    <comment ref="AX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银保：</t>
        </r>
        <r>
          <rPr>
            <sz val="9"/>
            <color indexed="81"/>
            <rFont val="Tahoma"/>
            <family val="2"/>
          </rPr>
          <t>3</t>
        </r>
        <r>
          <rPr>
            <sz val="9"/>
            <color indexed="81"/>
            <rFont val="宋体"/>
            <family val="3"/>
            <charset val="134"/>
          </rPr>
          <t>，多元：</t>
        </r>
        <r>
          <rPr>
            <sz val="9"/>
            <color indexed="81"/>
            <rFont val="Tahoma"/>
            <family val="2"/>
          </rPr>
          <t xml:space="preserve">44 </t>
        </r>
        <r>
          <rPr>
            <sz val="9"/>
            <color indexed="81"/>
            <rFont val="宋体"/>
            <family val="3"/>
            <charset val="134"/>
          </rPr>
          <t>团险</t>
        </r>
        <r>
          <rPr>
            <sz val="9"/>
            <color indexed="81"/>
            <rFont val="Tahoma"/>
            <family val="2"/>
          </rPr>
          <t xml:space="preserve">; 9
</t>
        </r>
      </text>
    </comment>
    <comment ref="BD17" authorId="1">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团险</t>
        </r>
        <r>
          <rPr>
            <sz val="9"/>
            <color indexed="81"/>
            <rFont val="Tahoma"/>
            <family val="2"/>
          </rPr>
          <t xml:space="preserve">4 </t>
        </r>
        <r>
          <rPr>
            <sz val="9"/>
            <color indexed="81"/>
            <rFont val="宋体"/>
            <family val="3"/>
            <charset val="134"/>
          </rPr>
          <t>银保</t>
        </r>
        <r>
          <rPr>
            <sz val="9"/>
            <color indexed="81"/>
            <rFont val="Tahoma"/>
            <family val="2"/>
          </rPr>
          <t xml:space="preserve"> 1
</t>
        </r>
        <r>
          <rPr>
            <sz val="9"/>
            <color indexed="81"/>
            <rFont val="宋体"/>
            <family val="3"/>
            <charset val="134"/>
          </rPr>
          <t>青岛银保渠道</t>
        </r>
        <r>
          <rPr>
            <sz val="9"/>
            <color indexed="81"/>
            <rFont val="Tahoma"/>
            <family val="2"/>
          </rPr>
          <t>2016</t>
        </r>
        <r>
          <rPr>
            <sz val="9"/>
            <color indexed="81"/>
            <rFont val="宋体"/>
            <family val="3"/>
            <charset val="134"/>
          </rPr>
          <t>年</t>
        </r>
        <r>
          <rPr>
            <sz val="9"/>
            <color indexed="81"/>
            <rFont val="Tahoma"/>
            <family val="2"/>
          </rPr>
          <t>11</t>
        </r>
        <r>
          <rPr>
            <sz val="9"/>
            <color indexed="81"/>
            <rFont val="宋体"/>
            <family val="3"/>
            <charset val="134"/>
          </rPr>
          <t>月起暂时关闭</t>
        </r>
      </text>
    </comment>
    <comment ref="BH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新设多元渠道增加签订协议</t>
        </r>
      </text>
    </comment>
    <comment ref="BJ17" authorId="1">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签订的合作协议</t>
        </r>
      </text>
    </comment>
    <comment ref="BV17" authorId="2">
      <text>
        <r>
          <rPr>
            <b/>
            <sz val="9"/>
            <color indexed="81"/>
            <rFont val="宋体"/>
            <family val="3"/>
            <charset val="134"/>
          </rPr>
          <t>银保——建行：全面业务合作补充协议 ；工行：总部签署准入协议；天津银行：总部签署；大连银行：总部签署                   团险——  签订23家                             多元——分对分签订14家，总对总签订2家，合计16家</t>
        </r>
      </text>
    </comment>
    <comment ref="AF18" authorId="1">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同上</t>
        </r>
      </text>
    </comment>
    <comment ref="AR1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团险：无锡华美代理合同到期
团险：</t>
        </r>
        <r>
          <rPr>
            <sz val="9"/>
            <color indexed="81"/>
            <rFont val="Tahoma"/>
            <family val="2"/>
          </rPr>
          <t>10,</t>
        </r>
        <r>
          <rPr>
            <sz val="9"/>
            <color indexed="81"/>
            <rFont val="宋体"/>
            <family val="3"/>
            <charset val="134"/>
          </rPr>
          <t>截至</t>
        </r>
        <r>
          <rPr>
            <sz val="9"/>
            <color indexed="81"/>
            <rFont val="Tahoma"/>
            <family val="2"/>
          </rPr>
          <t>20180930</t>
        </r>
        <r>
          <rPr>
            <sz val="9"/>
            <color indexed="81"/>
            <rFont val="宋体"/>
            <family val="3"/>
            <charset val="134"/>
          </rPr>
          <t>有效的代理合同：上海隆华保险经纪有限公司、圣源祥保险经纪有限公司江苏分公司、上海中安融合保险经纪有限公司常州分公司、江苏华远保险销售有限公司、江苏华尊保险代理有限公司、华阳保险销售有限公司、江苏一迪保险代理有限公司南通分公司、南京泰恒保险代理有限公司、华泰保险经纪有限公司江苏分公司、江苏惠多利保险代理有限公司
多元：</t>
        </r>
        <r>
          <rPr>
            <sz val="9"/>
            <color indexed="81"/>
            <rFont val="Tahoma"/>
            <family val="2"/>
          </rPr>
          <t>27(</t>
        </r>
        <r>
          <rPr>
            <sz val="9"/>
            <color indexed="81"/>
            <rFont val="宋体"/>
            <family val="3"/>
            <charset val="134"/>
          </rPr>
          <t>分公司签：华邦、恒生、红叶、江天民生、万舜、祺顺、盛大众联、荣泰、统一、华厦、华成、华阳、通鼎、嘉隆、享安、汇金永信、明亚、玄元、中联金安、万联、安邦国际；总公司签：鑫山、黎明</t>
        </r>
        <r>
          <rPr>
            <sz val="9"/>
            <color indexed="81"/>
            <rFont val="Tahoma"/>
            <family val="2"/>
          </rPr>
          <t>)</t>
        </r>
        <r>
          <rPr>
            <sz val="9"/>
            <color indexed="81"/>
            <rFont val="宋体"/>
            <family val="3"/>
            <charset val="134"/>
          </rPr>
          <t>新增</t>
        </r>
        <r>
          <rPr>
            <sz val="9"/>
            <color indexed="81"/>
            <rFont val="Tahoma"/>
            <family val="2"/>
          </rPr>
          <t>4</t>
        </r>
        <r>
          <rPr>
            <sz val="9"/>
            <color indexed="81"/>
            <rFont val="宋体"/>
            <family val="3"/>
            <charset val="134"/>
          </rPr>
          <t>家（安康、中驰、华夏在线、总部签：中捷、）
银行：</t>
        </r>
        <r>
          <rPr>
            <sz val="9"/>
            <color indexed="81"/>
            <rFont val="Tahoma"/>
            <family val="2"/>
          </rPr>
          <t>2(</t>
        </r>
        <r>
          <rPr>
            <sz val="9"/>
            <color indexed="81"/>
            <rFont val="宋体"/>
            <family val="3"/>
            <charset val="134"/>
          </rPr>
          <t>工行、招行）</t>
        </r>
      </text>
    </comment>
    <comment ref="AX1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BD18" authorId="1">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 xml:space="preserve">同上
</t>
        </r>
      </text>
    </comment>
    <comment ref="BH1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新设多元渠道增加签订协议</t>
        </r>
      </text>
    </comment>
    <comment ref="BJ18" authorId="1">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实际合作的机构情况</t>
        </r>
      </text>
    </comment>
    <comment ref="BV18" authorId="2">
      <text>
        <r>
          <rPr>
            <b/>
            <sz val="9"/>
            <color indexed="81"/>
            <rFont val="宋体"/>
            <family val="3"/>
            <charset val="134"/>
          </rPr>
          <t>同上</t>
        </r>
      </text>
    </comment>
    <comment ref="V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103</t>
        </r>
        <r>
          <rPr>
            <sz val="9"/>
            <color indexed="81"/>
            <rFont val="宋体"/>
            <family val="3"/>
            <charset val="134"/>
          </rPr>
          <t>，团险</t>
        </r>
        <r>
          <rPr>
            <sz val="9"/>
            <color indexed="81"/>
            <rFont val="Tahoma"/>
            <family val="2"/>
          </rPr>
          <t>4</t>
        </r>
        <r>
          <rPr>
            <sz val="9"/>
            <color indexed="81"/>
            <rFont val="宋体"/>
            <family val="3"/>
            <charset val="134"/>
          </rPr>
          <t>，银保</t>
        </r>
        <r>
          <rPr>
            <sz val="9"/>
            <color indexed="81"/>
            <rFont val="Tahoma"/>
            <family val="2"/>
          </rPr>
          <t>4</t>
        </r>
        <r>
          <rPr>
            <sz val="9"/>
            <color indexed="81"/>
            <rFont val="宋体"/>
            <family val="3"/>
            <charset val="134"/>
          </rPr>
          <t>，多元</t>
        </r>
        <r>
          <rPr>
            <sz val="9"/>
            <color indexed="81"/>
            <rFont val="Tahoma"/>
            <family val="2"/>
          </rPr>
          <t>3</t>
        </r>
        <r>
          <rPr>
            <sz val="9"/>
            <color indexed="81"/>
            <rFont val="宋体"/>
            <family val="3"/>
            <charset val="134"/>
          </rPr>
          <t>，收展</t>
        </r>
        <r>
          <rPr>
            <sz val="9"/>
            <color indexed="81"/>
            <rFont val="Tahoma"/>
            <family val="2"/>
          </rPr>
          <t>3</t>
        </r>
      </text>
    </comment>
    <comment ref="AB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753
</t>
        </r>
        <r>
          <rPr>
            <sz val="9"/>
            <color indexed="81"/>
            <rFont val="宋体"/>
            <family val="3"/>
            <charset val="134"/>
          </rPr>
          <t>银保、团险、收展</t>
        </r>
        <r>
          <rPr>
            <sz val="9"/>
            <color indexed="81"/>
            <rFont val="Tahoma"/>
            <family val="2"/>
          </rPr>
          <t>56</t>
        </r>
      </text>
    </comment>
    <comment ref="AF20" authorId="1">
      <text>
        <r>
          <rPr>
            <b/>
            <sz val="9"/>
            <color indexed="81"/>
            <rFont val="宋体"/>
            <family val="3"/>
            <charset val="134"/>
          </rPr>
          <t>徐梦薇</t>
        </r>
        <r>
          <rPr>
            <b/>
            <sz val="9"/>
            <color indexed="81"/>
            <rFont val="Tahoma"/>
            <family val="2"/>
          </rPr>
          <t>:</t>
        </r>
        <r>
          <rPr>
            <sz val="9"/>
            <color indexed="81"/>
            <rFont val="Tahoma"/>
            <family val="2"/>
          </rPr>
          <t xml:space="preserve">
ID1341</t>
        </r>
        <r>
          <rPr>
            <sz val="9"/>
            <color indexed="81"/>
            <rFont val="宋体"/>
            <family val="3"/>
            <charset val="134"/>
          </rPr>
          <t>、</t>
        </r>
        <r>
          <rPr>
            <sz val="9"/>
            <color indexed="81"/>
            <rFont val="Tahoma"/>
            <family val="2"/>
          </rPr>
          <t>AD 7</t>
        </r>
        <r>
          <rPr>
            <sz val="9"/>
            <color indexed="81"/>
            <rFont val="宋体"/>
            <family val="3"/>
            <charset val="134"/>
          </rPr>
          <t>、</t>
        </r>
        <r>
          <rPr>
            <sz val="9"/>
            <color indexed="81"/>
            <rFont val="Tahoma"/>
            <family val="2"/>
          </rPr>
          <t>RP 15</t>
        </r>
      </text>
    </comment>
    <comment ref="AH20" authorId="0">
      <text>
        <r>
          <rPr>
            <b/>
            <sz val="9"/>
            <color indexed="81"/>
            <rFont val="宋体"/>
            <family val="3"/>
            <charset val="134"/>
          </rPr>
          <t>徐梦薇</t>
        </r>
        <r>
          <rPr>
            <b/>
            <sz val="9"/>
            <color indexed="81"/>
            <rFont val="Tahoma"/>
            <family val="2"/>
          </rPr>
          <t>/Mengwei Xu:</t>
        </r>
        <r>
          <rPr>
            <sz val="9"/>
            <color indexed="81"/>
            <rFont val="Tahoma"/>
            <family val="2"/>
          </rPr>
          <t xml:space="preserve">
ID 1152</t>
        </r>
        <r>
          <rPr>
            <sz val="9"/>
            <color indexed="81"/>
            <rFont val="宋体"/>
            <family val="3"/>
            <charset val="134"/>
          </rPr>
          <t>、</t>
        </r>
        <r>
          <rPr>
            <sz val="9"/>
            <color indexed="81"/>
            <rFont val="Tahoma"/>
            <family val="2"/>
          </rPr>
          <t>AD 6</t>
        </r>
        <r>
          <rPr>
            <sz val="9"/>
            <color indexed="81"/>
            <rFont val="宋体"/>
            <family val="3"/>
            <charset val="134"/>
          </rPr>
          <t>、</t>
        </r>
        <r>
          <rPr>
            <sz val="9"/>
            <color indexed="81"/>
            <rFont val="Tahoma"/>
            <family val="2"/>
          </rPr>
          <t>RP 15</t>
        </r>
      </text>
    </comment>
    <comment ref="AL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258 </t>
        </r>
        <r>
          <rPr>
            <sz val="9"/>
            <color indexed="81"/>
            <rFont val="宋体"/>
            <family val="3"/>
            <charset val="134"/>
          </rPr>
          <t>银保</t>
        </r>
        <r>
          <rPr>
            <sz val="9"/>
            <color indexed="81"/>
            <rFont val="Tahoma"/>
            <family val="2"/>
          </rPr>
          <t xml:space="preserve">18 </t>
        </r>
        <r>
          <rPr>
            <sz val="9"/>
            <color indexed="81"/>
            <rFont val="宋体"/>
            <family val="3"/>
            <charset val="134"/>
          </rPr>
          <t>续期</t>
        </r>
        <r>
          <rPr>
            <sz val="9"/>
            <color indexed="81"/>
            <rFont val="Tahoma"/>
            <family val="2"/>
          </rPr>
          <t>+</t>
        </r>
        <r>
          <rPr>
            <sz val="9"/>
            <color indexed="81"/>
            <rFont val="宋体"/>
            <family val="3"/>
            <charset val="134"/>
          </rPr>
          <t>综拓</t>
        </r>
        <r>
          <rPr>
            <sz val="9"/>
            <color indexed="81"/>
            <rFont val="Tahoma"/>
            <family val="2"/>
          </rPr>
          <t>4</t>
        </r>
      </text>
    </comment>
    <comment ref="AN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143 </t>
        </r>
        <r>
          <rPr>
            <sz val="9"/>
            <color indexed="81"/>
            <rFont val="宋体"/>
            <family val="3"/>
            <charset val="134"/>
          </rPr>
          <t>银保</t>
        </r>
        <r>
          <rPr>
            <sz val="9"/>
            <color indexed="81"/>
            <rFont val="Tahoma"/>
            <family val="2"/>
          </rPr>
          <t xml:space="preserve">18 </t>
        </r>
        <r>
          <rPr>
            <sz val="9"/>
            <color indexed="81"/>
            <rFont val="宋体"/>
            <family val="3"/>
            <charset val="134"/>
          </rPr>
          <t>续期</t>
        </r>
        <r>
          <rPr>
            <sz val="9"/>
            <color indexed="81"/>
            <rFont val="Tahoma"/>
            <family val="2"/>
          </rPr>
          <t>2</t>
        </r>
      </text>
    </comment>
    <comment ref="AR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847
</t>
        </r>
        <r>
          <rPr>
            <sz val="9"/>
            <color indexed="81"/>
            <rFont val="宋体"/>
            <family val="3"/>
            <charset val="134"/>
          </rPr>
          <t>保费部：</t>
        </r>
        <r>
          <rPr>
            <sz val="9"/>
            <color indexed="81"/>
            <rFont val="Tahoma"/>
            <family val="2"/>
          </rPr>
          <t>12</t>
        </r>
        <r>
          <rPr>
            <sz val="9"/>
            <color indexed="81"/>
            <rFont val="宋体"/>
            <family val="3"/>
            <charset val="134"/>
          </rPr>
          <t>人（余利民、张源、倪亮、姚菊萍、张园、王雪、丁子惠、钟倩云、张海燕、朱雅倩、房艳、杨洁）
多元</t>
        </r>
        <r>
          <rPr>
            <sz val="9"/>
            <color indexed="81"/>
            <rFont val="Tahoma"/>
            <family val="2"/>
          </rPr>
          <t>3</t>
        </r>
        <r>
          <rPr>
            <sz val="9"/>
            <color indexed="81"/>
            <rFont val="宋体"/>
            <family val="3"/>
            <charset val="134"/>
          </rPr>
          <t>（杨杰、毛小燕、刘晓青）</t>
        </r>
      </text>
    </comment>
    <comment ref="AT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877
</t>
        </r>
        <r>
          <rPr>
            <sz val="9"/>
            <color indexed="81"/>
            <rFont val="宋体"/>
            <family val="3"/>
            <charset val="134"/>
          </rPr>
          <t>团险</t>
        </r>
        <r>
          <rPr>
            <sz val="9"/>
            <color indexed="81"/>
            <rFont val="Tahoma"/>
            <family val="2"/>
          </rPr>
          <t xml:space="preserve">9
</t>
        </r>
        <r>
          <rPr>
            <sz val="9"/>
            <color indexed="81"/>
            <rFont val="宋体"/>
            <family val="3"/>
            <charset val="134"/>
          </rPr>
          <t>银保</t>
        </r>
        <r>
          <rPr>
            <sz val="9"/>
            <color indexed="81"/>
            <rFont val="Tahoma"/>
            <family val="2"/>
          </rPr>
          <t xml:space="preserve">2
</t>
        </r>
        <r>
          <rPr>
            <sz val="9"/>
            <color indexed="81"/>
            <rFont val="宋体"/>
            <family val="3"/>
            <charset val="134"/>
          </rPr>
          <t>多元</t>
        </r>
        <r>
          <rPr>
            <sz val="9"/>
            <color indexed="81"/>
            <rFont val="Tahoma"/>
            <family val="2"/>
          </rPr>
          <t xml:space="preserve">3
</t>
        </r>
        <r>
          <rPr>
            <sz val="9"/>
            <color indexed="81"/>
            <rFont val="宋体"/>
            <family val="3"/>
            <charset val="134"/>
          </rPr>
          <t>收展</t>
        </r>
        <r>
          <rPr>
            <sz val="9"/>
            <color indexed="81"/>
            <rFont val="Tahoma"/>
            <family val="2"/>
          </rPr>
          <t>17</t>
        </r>
      </text>
    </comment>
    <comment ref="AX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团险：</t>
        </r>
        <r>
          <rPr>
            <sz val="9"/>
            <color indexed="81"/>
            <rFont val="Tahoma"/>
            <family val="2"/>
          </rPr>
          <t>15</t>
        </r>
        <r>
          <rPr>
            <sz val="9"/>
            <color indexed="81"/>
            <rFont val="宋体"/>
            <family val="3"/>
            <charset val="134"/>
          </rPr>
          <t>，银保：</t>
        </r>
        <r>
          <rPr>
            <sz val="9"/>
            <color indexed="81"/>
            <rFont val="Tahoma"/>
            <family val="2"/>
          </rPr>
          <t>24</t>
        </r>
        <r>
          <rPr>
            <sz val="9"/>
            <color indexed="81"/>
            <rFont val="宋体"/>
            <family val="3"/>
            <charset val="134"/>
          </rPr>
          <t>，多元：</t>
        </r>
        <r>
          <rPr>
            <sz val="9"/>
            <color indexed="81"/>
            <rFont val="Tahoma"/>
            <family val="2"/>
          </rPr>
          <t>7</t>
        </r>
        <r>
          <rPr>
            <sz val="9"/>
            <color indexed="81"/>
            <rFont val="宋体"/>
            <family val="3"/>
            <charset val="134"/>
          </rPr>
          <t>，续：</t>
        </r>
        <r>
          <rPr>
            <sz val="9"/>
            <color indexed="81"/>
            <rFont val="Tahoma"/>
            <family val="2"/>
          </rPr>
          <t xml:space="preserve">15 </t>
        </r>
        <r>
          <rPr>
            <sz val="9"/>
            <color indexed="81"/>
            <rFont val="宋体"/>
            <family val="3"/>
            <charset val="134"/>
          </rPr>
          <t>个险：</t>
        </r>
        <r>
          <rPr>
            <sz val="9"/>
            <color indexed="81"/>
            <rFont val="Tahoma"/>
            <family val="2"/>
          </rPr>
          <t>941</t>
        </r>
      </text>
    </comment>
    <comment ref="AZ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816
</t>
        </r>
        <r>
          <rPr>
            <sz val="9"/>
            <color indexed="81"/>
            <rFont val="宋体"/>
            <family val="3"/>
            <charset val="134"/>
          </rPr>
          <t>团险</t>
        </r>
        <r>
          <rPr>
            <sz val="9"/>
            <color indexed="81"/>
            <rFont val="Tahoma"/>
            <family val="2"/>
          </rPr>
          <t>14</t>
        </r>
        <r>
          <rPr>
            <sz val="9"/>
            <color indexed="81"/>
            <rFont val="宋体"/>
            <family val="3"/>
            <charset val="134"/>
          </rPr>
          <t xml:space="preserve">
银保</t>
        </r>
        <r>
          <rPr>
            <sz val="9"/>
            <color indexed="81"/>
            <rFont val="Tahoma"/>
            <family val="2"/>
          </rPr>
          <t>21</t>
        </r>
        <r>
          <rPr>
            <sz val="9"/>
            <color indexed="81"/>
            <rFont val="宋体"/>
            <family val="3"/>
            <charset val="134"/>
          </rPr>
          <t xml:space="preserve">
多元</t>
        </r>
        <r>
          <rPr>
            <sz val="9"/>
            <color indexed="81"/>
            <rFont val="Tahoma"/>
            <family val="2"/>
          </rPr>
          <t>6</t>
        </r>
        <r>
          <rPr>
            <sz val="9"/>
            <color indexed="81"/>
            <rFont val="宋体"/>
            <family val="3"/>
            <charset val="134"/>
          </rPr>
          <t xml:space="preserve">
收展</t>
        </r>
        <r>
          <rPr>
            <sz val="9"/>
            <color indexed="81"/>
            <rFont val="Tahoma"/>
            <family val="2"/>
          </rPr>
          <t>16</t>
        </r>
        <r>
          <rPr>
            <sz val="9"/>
            <color indexed="81"/>
            <rFont val="宋体"/>
            <family val="3"/>
            <charset val="134"/>
          </rPr>
          <t xml:space="preserve">
</t>
        </r>
      </text>
    </comment>
    <comment ref="BD20" authorId="1">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个险</t>
        </r>
        <r>
          <rPr>
            <sz val="9"/>
            <color indexed="81"/>
            <rFont val="Tahoma"/>
            <family val="2"/>
          </rPr>
          <t>189</t>
        </r>
        <r>
          <rPr>
            <sz val="9"/>
            <color indexed="81"/>
            <rFont val="宋体"/>
            <family val="3"/>
            <charset val="134"/>
          </rPr>
          <t>，其中两人是劳动合同</t>
        </r>
        <r>
          <rPr>
            <sz val="9"/>
            <color indexed="81"/>
            <rFont val="Tahoma"/>
            <family val="2"/>
          </rPr>
          <t xml:space="preserve"> </t>
        </r>
        <r>
          <rPr>
            <sz val="9"/>
            <color indexed="81"/>
            <rFont val="宋体"/>
            <family val="3"/>
            <charset val="134"/>
          </rPr>
          <t>团险</t>
        </r>
        <r>
          <rPr>
            <sz val="9"/>
            <color indexed="81"/>
            <rFont val="Tahoma"/>
            <family val="2"/>
          </rPr>
          <t xml:space="preserve">2 </t>
        </r>
        <r>
          <rPr>
            <sz val="9"/>
            <color indexed="81"/>
            <rFont val="宋体"/>
            <family val="3"/>
            <charset val="134"/>
          </rPr>
          <t>续期</t>
        </r>
        <r>
          <rPr>
            <sz val="9"/>
            <color indexed="81"/>
            <rFont val="Tahoma"/>
            <family val="2"/>
          </rPr>
          <t>4</t>
        </r>
      </text>
    </comment>
    <comment ref="BF20" authorId="1">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个险</t>
        </r>
        <r>
          <rPr>
            <sz val="9"/>
            <color indexed="81"/>
            <rFont val="Tahoma"/>
            <family val="2"/>
          </rPr>
          <t xml:space="preserve">276
</t>
        </r>
        <r>
          <rPr>
            <sz val="9"/>
            <color indexed="81"/>
            <rFont val="宋体"/>
            <family val="3"/>
            <charset val="134"/>
          </rPr>
          <t>团险</t>
        </r>
        <r>
          <rPr>
            <sz val="9"/>
            <color indexed="81"/>
            <rFont val="Tahoma"/>
            <family val="2"/>
          </rPr>
          <t xml:space="preserve">2 
</t>
        </r>
        <r>
          <rPr>
            <sz val="9"/>
            <color indexed="81"/>
            <rFont val="宋体"/>
            <family val="3"/>
            <charset val="134"/>
          </rPr>
          <t>收展</t>
        </r>
        <r>
          <rPr>
            <sz val="9"/>
            <color indexed="81"/>
            <rFont val="Tahoma"/>
            <family val="2"/>
          </rPr>
          <t>3</t>
        </r>
      </text>
    </comment>
    <comment ref="BJ20" authorId="1">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签订的劳动合同、代理合同
个险：</t>
        </r>
        <r>
          <rPr>
            <sz val="9"/>
            <color indexed="81"/>
            <rFont val="Tahoma"/>
            <family val="2"/>
          </rPr>
          <t xml:space="preserve">1121 </t>
        </r>
        <r>
          <rPr>
            <sz val="9"/>
            <color indexed="81"/>
            <rFont val="宋体"/>
            <family val="3"/>
            <charset val="134"/>
          </rPr>
          <t>多元</t>
        </r>
        <r>
          <rPr>
            <sz val="9"/>
            <color indexed="81"/>
            <rFont val="Tahoma"/>
            <family val="2"/>
          </rPr>
          <t xml:space="preserve"> 3 </t>
        </r>
        <r>
          <rPr>
            <sz val="9"/>
            <color indexed="81"/>
            <rFont val="宋体"/>
            <family val="3"/>
            <charset val="134"/>
          </rPr>
          <t>银保</t>
        </r>
        <r>
          <rPr>
            <sz val="9"/>
            <color indexed="81"/>
            <rFont val="Tahoma"/>
            <family val="2"/>
          </rPr>
          <t xml:space="preserve"> 44 </t>
        </r>
        <r>
          <rPr>
            <sz val="9"/>
            <color indexed="81"/>
            <rFont val="宋体"/>
            <family val="3"/>
            <charset val="134"/>
          </rPr>
          <t>续保</t>
        </r>
        <r>
          <rPr>
            <sz val="9"/>
            <color indexed="81"/>
            <rFont val="Tahoma"/>
            <family val="2"/>
          </rPr>
          <t xml:space="preserve"> 8 </t>
        </r>
        <r>
          <rPr>
            <sz val="9"/>
            <color indexed="81"/>
            <rFont val="宋体"/>
            <family val="3"/>
            <charset val="134"/>
          </rPr>
          <t>团险</t>
        </r>
        <r>
          <rPr>
            <sz val="9"/>
            <color indexed="81"/>
            <rFont val="Tahoma"/>
            <family val="2"/>
          </rPr>
          <t xml:space="preserve"> 4
</t>
        </r>
      </text>
    </comment>
    <comment ref="BL20" authorId="1">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个险</t>
        </r>
        <r>
          <rPr>
            <sz val="9"/>
            <color indexed="81"/>
            <rFont val="Tahoma"/>
            <family val="2"/>
          </rPr>
          <t xml:space="preserve">702
</t>
        </r>
        <r>
          <rPr>
            <sz val="9"/>
            <color indexed="81"/>
            <rFont val="宋体"/>
            <family val="3"/>
            <charset val="134"/>
          </rPr>
          <t>团险</t>
        </r>
        <r>
          <rPr>
            <sz val="9"/>
            <color indexed="81"/>
            <rFont val="Tahoma"/>
            <family val="2"/>
          </rPr>
          <t>1</t>
        </r>
        <r>
          <rPr>
            <sz val="9"/>
            <color indexed="81"/>
            <rFont val="宋体"/>
            <family val="3"/>
            <charset val="134"/>
          </rPr>
          <t xml:space="preserve">
银保</t>
        </r>
        <r>
          <rPr>
            <sz val="9"/>
            <color indexed="81"/>
            <rFont val="Tahoma"/>
            <family val="2"/>
          </rPr>
          <t xml:space="preserve"> 39
</t>
        </r>
        <r>
          <rPr>
            <sz val="9"/>
            <color indexed="81"/>
            <rFont val="宋体"/>
            <family val="3"/>
            <charset val="134"/>
          </rPr>
          <t>多元</t>
        </r>
        <r>
          <rPr>
            <sz val="9"/>
            <color indexed="81"/>
            <rFont val="Tahoma"/>
            <family val="2"/>
          </rPr>
          <t xml:space="preserve"> 3 
</t>
        </r>
        <r>
          <rPr>
            <sz val="9"/>
            <color indexed="81"/>
            <rFont val="宋体"/>
            <family val="3"/>
            <charset val="134"/>
          </rPr>
          <t>收展</t>
        </r>
        <r>
          <rPr>
            <sz val="9"/>
            <color indexed="81"/>
            <rFont val="Tahoma"/>
            <family val="2"/>
          </rPr>
          <t xml:space="preserve">10 
</t>
        </r>
      </text>
    </comment>
    <comment ref="BP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337 </t>
        </r>
        <r>
          <rPr>
            <sz val="9"/>
            <color indexed="81"/>
            <rFont val="宋体"/>
            <family val="3"/>
            <charset val="134"/>
          </rPr>
          <t>续期</t>
        </r>
        <r>
          <rPr>
            <sz val="9"/>
            <color indexed="81"/>
            <rFont val="Tahoma"/>
            <family val="2"/>
          </rPr>
          <t xml:space="preserve">2
</t>
        </r>
      </text>
    </comment>
    <comment ref="BR20" authorId="0">
      <text>
        <r>
          <rPr>
            <b/>
            <sz val="9"/>
            <color indexed="81"/>
            <rFont val="宋体"/>
            <family val="3"/>
            <charset val="134"/>
          </rPr>
          <t>徐梦薇</t>
        </r>
        <r>
          <rPr>
            <b/>
            <sz val="9"/>
            <color indexed="81"/>
            <rFont val="Tahoma"/>
            <family val="2"/>
          </rPr>
          <t xml:space="preserve">/Mengwei Xu:
</t>
        </r>
        <r>
          <rPr>
            <sz val="9"/>
            <color indexed="81"/>
            <rFont val="宋体"/>
            <family val="3"/>
            <charset val="134"/>
          </rPr>
          <t>个险</t>
        </r>
        <r>
          <rPr>
            <sz val="9"/>
            <color indexed="81"/>
            <rFont val="Tahoma"/>
            <family val="2"/>
          </rPr>
          <t xml:space="preserve">225
</t>
        </r>
        <r>
          <rPr>
            <sz val="9"/>
            <color indexed="81"/>
            <rFont val="宋体"/>
            <family val="3"/>
            <charset val="134"/>
          </rPr>
          <t>团险</t>
        </r>
        <r>
          <rPr>
            <sz val="9"/>
            <color indexed="81"/>
            <rFont val="Tahoma"/>
            <family val="2"/>
          </rPr>
          <t xml:space="preserve">0
</t>
        </r>
        <r>
          <rPr>
            <sz val="9"/>
            <color indexed="81"/>
            <rFont val="宋体"/>
            <family val="3"/>
            <charset val="134"/>
          </rPr>
          <t>多元</t>
        </r>
        <r>
          <rPr>
            <sz val="9"/>
            <color indexed="81"/>
            <rFont val="Tahoma"/>
            <family val="2"/>
          </rPr>
          <t>1</t>
        </r>
        <r>
          <rPr>
            <sz val="9"/>
            <color indexed="81"/>
            <rFont val="宋体"/>
            <family val="3"/>
            <charset val="134"/>
          </rPr>
          <t xml:space="preserve">
收展</t>
        </r>
        <r>
          <rPr>
            <sz val="9"/>
            <color indexed="81"/>
            <rFont val="Tahoma"/>
            <family val="2"/>
          </rPr>
          <t>3</t>
        </r>
      </text>
    </comment>
    <comment ref="BV20" authorId="2">
      <text>
        <r>
          <rPr>
            <b/>
            <sz val="9"/>
            <color indexed="81"/>
            <rFont val="宋体"/>
            <family val="3"/>
            <charset val="134"/>
          </rPr>
          <t>签订劳动合同的销售人数：个险570人，银保4人，团险5人，多元2人，续期5人；</t>
        </r>
      </text>
    </comment>
    <comment ref="BX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426</t>
        </r>
        <r>
          <rPr>
            <sz val="9"/>
            <color indexed="81"/>
            <rFont val="宋体"/>
            <family val="3"/>
            <charset val="134"/>
          </rPr>
          <t xml:space="preserve">
团险</t>
        </r>
        <r>
          <rPr>
            <sz val="9"/>
            <color indexed="81"/>
            <rFont val="Tahoma"/>
            <family val="2"/>
          </rPr>
          <t>6</t>
        </r>
        <r>
          <rPr>
            <sz val="9"/>
            <color indexed="81"/>
            <rFont val="宋体"/>
            <family val="3"/>
            <charset val="134"/>
          </rPr>
          <t xml:space="preserve">
银保</t>
        </r>
        <r>
          <rPr>
            <sz val="9"/>
            <color indexed="81"/>
            <rFont val="Tahoma"/>
            <family val="2"/>
          </rPr>
          <t>9</t>
        </r>
        <r>
          <rPr>
            <sz val="9"/>
            <color indexed="81"/>
            <rFont val="宋体"/>
            <family val="3"/>
            <charset val="134"/>
          </rPr>
          <t xml:space="preserve">
多元</t>
        </r>
        <r>
          <rPr>
            <sz val="9"/>
            <color indexed="81"/>
            <rFont val="Tahoma"/>
            <family val="2"/>
          </rPr>
          <t>3</t>
        </r>
        <r>
          <rPr>
            <sz val="9"/>
            <color indexed="81"/>
            <rFont val="宋体"/>
            <family val="3"/>
            <charset val="134"/>
          </rPr>
          <t xml:space="preserve">
收展</t>
        </r>
        <r>
          <rPr>
            <sz val="9"/>
            <color indexed="81"/>
            <rFont val="Tahoma"/>
            <family val="2"/>
          </rPr>
          <t xml:space="preserve">5
</t>
        </r>
        <r>
          <rPr>
            <sz val="9"/>
            <color indexed="81"/>
            <rFont val="宋体"/>
            <family val="3"/>
            <charset val="134"/>
          </rPr>
          <t>四川给的底稿数据有问题，已经按照总部个险数据更正</t>
        </r>
      </text>
    </comment>
    <comment ref="V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103</t>
        </r>
        <r>
          <rPr>
            <sz val="9"/>
            <color indexed="81"/>
            <rFont val="宋体"/>
            <family val="3"/>
            <charset val="134"/>
          </rPr>
          <t>，团险</t>
        </r>
        <r>
          <rPr>
            <sz val="9"/>
            <color indexed="81"/>
            <rFont val="Tahoma"/>
            <family val="2"/>
          </rPr>
          <t>4</t>
        </r>
        <r>
          <rPr>
            <sz val="9"/>
            <color indexed="81"/>
            <rFont val="宋体"/>
            <family val="3"/>
            <charset val="134"/>
          </rPr>
          <t>，银保</t>
        </r>
        <r>
          <rPr>
            <sz val="9"/>
            <color indexed="81"/>
            <rFont val="Tahoma"/>
            <family val="2"/>
          </rPr>
          <t>4</t>
        </r>
        <r>
          <rPr>
            <sz val="9"/>
            <color indexed="81"/>
            <rFont val="宋体"/>
            <family val="3"/>
            <charset val="134"/>
          </rPr>
          <t>，多元</t>
        </r>
        <r>
          <rPr>
            <sz val="9"/>
            <color indexed="81"/>
            <rFont val="Tahoma"/>
            <family val="2"/>
          </rPr>
          <t>3</t>
        </r>
        <r>
          <rPr>
            <sz val="9"/>
            <color indexed="81"/>
            <rFont val="宋体"/>
            <family val="3"/>
            <charset val="134"/>
          </rPr>
          <t>，收展</t>
        </r>
        <r>
          <rPr>
            <sz val="9"/>
            <color indexed="81"/>
            <rFont val="Tahoma"/>
            <family val="2"/>
          </rPr>
          <t>3</t>
        </r>
      </text>
    </comment>
    <comment ref="AB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753
</t>
        </r>
        <r>
          <rPr>
            <sz val="9"/>
            <color indexed="81"/>
            <rFont val="宋体"/>
            <family val="3"/>
            <charset val="134"/>
          </rPr>
          <t>银保、团险、收展</t>
        </r>
        <r>
          <rPr>
            <sz val="9"/>
            <color indexed="81"/>
            <rFont val="Tahoma"/>
            <family val="2"/>
          </rPr>
          <t>56</t>
        </r>
      </text>
    </comment>
    <comment ref="AF21" authorId="1">
      <text>
        <r>
          <rPr>
            <b/>
            <sz val="9"/>
            <color indexed="81"/>
            <rFont val="宋体"/>
            <family val="3"/>
            <charset val="134"/>
          </rPr>
          <t>徐梦薇</t>
        </r>
        <r>
          <rPr>
            <b/>
            <sz val="9"/>
            <color indexed="81"/>
            <rFont val="Tahoma"/>
            <family val="2"/>
          </rPr>
          <t>:</t>
        </r>
        <r>
          <rPr>
            <sz val="9"/>
            <color indexed="81"/>
            <rFont val="Tahoma"/>
            <family val="2"/>
          </rPr>
          <t xml:space="preserve">
ID1341</t>
        </r>
        <r>
          <rPr>
            <sz val="9"/>
            <color indexed="81"/>
            <rFont val="宋体"/>
            <family val="3"/>
            <charset val="134"/>
          </rPr>
          <t>、</t>
        </r>
        <r>
          <rPr>
            <sz val="9"/>
            <color indexed="81"/>
            <rFont val="Tahoma"/>
            <family val="2"/>
          </rPr>
          <t>AD 7</t>
        </r>
        <r>
          <rPr>
            <sz val="9"/>
            <color indexed="81"/>
            <rFont val="宋体"/>
            <family val="3"/>
            <charset val="134"/>
          </rPr>
          <t>、</t>
        </r>
        <r>
          <rPr>
            <sz val="9"/>
            <color indexed="81"/>
            <rFont val="Tahoma"/>
            <family val="2"/>
          </rPr>
          <t>RP 15</t>
        </r>
      </text>
    </comment>
    <comment ref="AH21" authorId="0">
      <text>
        <r>
          <rPr>
            <b/>
            <sz val="9"/>
            <color indexed="81"/>
            <rFont val="宋体"/>
            <family val="3"/>
            <charset val="134"/>
          </rPr>
          <t>徐梦薇</t>
        </r>
        <r>
          <rPr>
            <b/>
            <sz val="9"/>
            <color indexed="81"/>
            <rFont val="Tahoma"/>
            <family val="2"/>
          </rPr>
          <t>/Mengwei Xu:</t>
        </r>
        <r>
          <rPr>
            <sz val="9"/>
            <color indexed="81"/>
            <rFont val="Tahoma"/>
            <family val="2"/>
          </rPr>
          <t xml:space="preserve">
ID 1152</t>
        </r>
        <r>
          <rPr>
            <sz val="9"/>
            <color indexed="81"/>
            <rFont val="宋体"/>
            <family val="3"/>
            <charset val="134"/>
          </rPr>
          <t>、</t>
        </r>
        <r>
          <rPr>
            <sz val="9"/>
            <color indexed="81"/>
            <rFont val="Tahoma"/>
            <family val="2"/>
          </rPr>
          <t>AD 6</t>
        </r>
        <r>
          <rPr>
            <sz val="9"/>
            <color indexed="81"/>
            <rFont val="宋体"/>
            <family val="3"/>
            <charset val="134"/>
          </rPr>
          <t>、</t>
        </r>
        <r>
          <rPr>
            <sz val="9"/>
            <color indexed="81"/>
            <rFont val="Tahoma"/>
            <family val="2"/>
          </rPr>
          <t>RP 15</t>
        </r>
      </text>
    </comment>
    <comment ref="AL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AN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143 </t>
        </r>
        <r>
          <rPr>
            <sz val="9"/>
            <color indexed="81"/>
            <rFont val="宋体"/>
            <family val="3"/>
            <charset val="134"/>
          </rPr>
          <t>银保</t>
        </r>
        <r>
          <rPr>
            <sz val="9"/>
            <color indexed="81"/>
            <rFont val="Tahoma"/>
            <family val="2"/>
          </rPr>
          <t xml:space="preserve">18 </t>
        </r>
        <r>
          <rPr>
            <sz val="9"/>
            <color indexed="81"/>
            <rFont val="宋体"/>
            <family val="3"/>
            <charset val="134"/>
          </rPr>
          <t>续期</t>
        </r>
        <r>
          <rPr>
            <sz val="9"/>
            <color indexed="81"/>
            <rFont val="Tahoma"/>
            <family val="2"/>
          </rPr>
          <t>2</t>
        </r>
      </text>
    </comment>
    <comment ref="AR21" authorId="0">
      <text>
        <r>
          <rPr>
            <b/>
            <sz val="9"/>
            <color indexed="81"/>
            <rFont val="宋体"/>
            <family val="3"/>
            <charset val="134"/>
          </rPr>
          <t>徐梦薇</t>
        </r>
        <r>
          <rPr>
            <b/>
            <sz val="9"/>
            <color indexed="81"/>
            <rFont val="Tahoma"/>
            <family val="2"/>
          </rPr>
          <t xml:space="preserve">/Mengwei Xu:
</t>
        </r>
        <r>
          <rPr>
            <sz val="9"/>
            <color indexed="81"/>
            <rFont val="宋体"/>
            <family val="3"/>
            <charset val="134"/>
          </rPr>
          <t>同上</t>
        </r>
      </text>
    </comment>
    <comment ref="AT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877
</t>
        </r>
        <r>
          <rPr>
            <sz val="9"/>
            <color indexed="81"/>
            <rFont val="宋体"/>
            <family val="3"/>
            <charset val="134"/>
          </rPr>
          <t>团险</t>
        </r>
        <r>
          <rPr>
            <sz val="9"/>
            <color indexed="81"/>
            <rFont val="Tahoma"/>
            <family val="2"/>
          </rPr>
          <t xml:space="preserve">9
</t>
        </r>
        <r>
          <rPr>
            <sz val="9"/>
            <color indexed="81"/>
            <rFont val="宋体"/>
            <family val="3"/>
            <charset val="134"/>
          </rPr>
          <t>银保</t>
        </r>
        <r>
          <rPr>
            <sz val="9"/>
            <color indexed="81"/>
            <rFont val="Tahoma"/>
            <family val="2"/>
          </rPr>
          <t xml:space="preserve">2
</t>
        </r>
        <r>
          <rPr>
            <sz val="9"/>
            <color indexed="81"/>
            <rFont val="宋体"/>
            <family val="3"/>
            <charset val="134"/>
          </rPr>
          <t>多元</t>
        </r>
        <r>
          <rPr>
            <sz val="9"/>
            <color indexed="81"/>
            <rFont val="Tahoma"/>
            <family val="2"/>
          </rPr>
          <t xml:space="preserve">3
</t>
        </r>
        <r>
          <rPr>
            <sz val="9"/>
            <color indexed="81"/>
            <rFont val="宋体"/>
            <family val="3"/>
            <charset val="134"/>
          </rPr>
          <t>收展</t>
        </r>
        <r>
          <rPr>
            <sz val="9"/>
            <color indexed="81"/>
            <rFont val="Tahoma"/>
            <family val="2"/>
          </rPr>
          <t>17</t>
        </r>
      </text>
    </comment>
    <comment ref="AX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AZ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816
</t>
        </r>
        <r>
          <rPr>
            <sz val="9"/>
            <color indexed="81"/>
            <rFont val="宋体"/>
            <family val="3"/>
            <charset val="134"/>
          </rPr>
          <t>团险</t>
        </r>
        <r>
          <rPr>
            <sz val="9"/>
            <color indexed="81"/>
            <rFont val="Tahoma"/>
            <family val="2"/>
          </rPr>
          <t>14</t>
        </r>
        <r>
          <rPr>
            <sz val="9"/>
            <color indexed="81"/>
            <rFont val="宋体"/>
            <family val="3"/>
            <charset val="134"/>
          </rPr>
          <t xml:space="preserve">
银保</t>
        </r>
        <r>
          <rPr>
            <sz val="9"/>
            <color indexed="81"/>
            <rFont val="Tahoma"/>
            <family val="2"/>
          </rPr>
          <t>21</t>
        </r>
        <r>
          <rPr>
            <sz val="9"/>
            <color indexed="81"/>
            <rFont val="宋体"/>
            <family val="3"/>
            <charset val="134"/>
          </rPr>
          <t xml:space="preserve">
多元</t>
        </r>
        <r>
          <rPr>
            <sz val="9"/>
            <color indexed="81"/>
            <rFont val="Tahoma"/>
            <family val="2"/>
          </rPr>
          <t>6</t>
        </r>
        <r>
          <rPr>
            <sz val="9"/>
            <color indexed="81"/>
            <rFont val="宋体"/>
            <family val="3"/>
            <charset val="134"/>
          </rPr>
          <t xml:space="preserve">
收展</t>
        </r>
        <r>
          <rPr>
            <sz val="9"/>
            <color indexed="81"/>
            <rFont val="Tahoma"/>
            <family val="2"/>
          </rPr>
          <t>16</t>
        </r>
        <r>
          <rPr>
            <sz val="9"/>
            <color indexed="81"/>
            <rFont val="宋体"/>
            <family val="3"/>
            <charset val="134"/>
          </rPr>
          <t xml:space="preserve">
</t>
        </r>
      </text>
    </comment>
    <comment ref="BD21" authorId="1">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同上</t>
        </r>
      </text>
    </comment>
    <comment ref="BF21" authorId="1">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个险</t>
        </r>
        <r>
          <rPr>
            <sz val="9"/>
            <color indexed="81"/>
            <rFont val="Tahoma"/>
            <family val="2"/>
          </rPr>
          <t xml:space="preserve">276
</t>
        </r>
        <r>
          <rPr>
            <sz val="9"/>
            <color indexed="81"/>
            <rFont val="宋体"/>
            <family val="3"/>
            <charset val="134"/>
          </rPr>
          <t>团险</t>
        </r>
        <r>
          <rPr>
            <sz val="9"/>
            <color indexed="81"/>
            <rFont val="Tahoma"/>
            <family val="2"/>
          </rPr>
          <t xml:space="preserve">2 
</t>
        </r>
        <r>
          <rPr>
            <sz val="9"/>
            <color indexed="81"/>
            <rFont val="宋体"/>
            <family val="3"/>
            <charset val="134"/>
          </rPr>
          <t>收展</t>
        </r>
        <r>
          <rPr>
            <sz val="9"/>
            <color indexed="81"/>
            <rFont val="Tahoma"/>
            <family val="2"/>
          </rPr>
          <t>3</t>
        </r>
      </text>
    </comment>
    <comment ref="BJ21" authorId="1">
      <text>
        <r>
          <rPr>
            <b/>
            <sz val="9"/>
            <color indexed="81"/>
            <rFont val="宋体"/>
            <family val="3"/>
            <charset val="134"/>
          </rPr>
          <t>徐梦薇：
同上</t>
        </r>
      </text>
    </comment>
    <comment ref="BL21" authorId="1">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个险</t>
        </r>
        <r>
          <rPr>
            <sz val="9"/>
            <color indexed="81"/>
            <rFont val="Tahoma"/>
            <family val="2"/>
          </rPr>
          <t xml:space="preserve">702
</t>
        </r>
        <r>
          <rPr>
            <sz val="9"/>
            <color indexed="81"/>
            <rFont val="宋体"/>
            <family val="3"/>
            <charset val="134"/>
          </rPr>
          <t>团险</t>
        </r>
        <r>
          <rPr>
            <sz val="9"/>
            <color indexed="81"/>
            <rFont val="Tahoma"/>
            <family val="2"/>
          </rPr>
          <t>1</t>
        </r>
        <r>
          <rPr>
            <sz val="9"/>
            <color indexed="81"/>
            <rFont val="宋体"/>
            <family val="3"/>
            <charset val="134"/>
          </rPr>
          <t xml:space="preserve">
银保</t>
        </r>
        <r>
          <rPr>
            <sz val="9"/>
            <color indexed="81"/>
            <rFont val="Tahoma"/>
            <family val="2"/>
          </rPr>
          <t xml:space="preserve"> 39
</t>
        </r>
        <r>
          <rPr>
            <sz val="9"/>
            <color indexed="81"/>
            <rFont val="宋体"/>
            <family val="3"/>
            <charset val="134"/>
          </rPr>
          <t>多元</t>
        </r>
        <r>
          <rPr>
            <sz val="9"/>
            <color indexed="81"/>
            <rFont val="Tahoma"/>
            <family val="2"/>
          </rPr>
          <t xml:space="preserve"> 3 
</t>
        </r>
        <r>
          <rPr>
            <sz val="9"/>
            <color indexed="81"/>
            <rFont val="宋体"/>
            <family val="3"/>
            <charset val="134"/>
          </rPr>
          <t>收展</t>
        </r>
        <r>
          <rPr>
            <sz val="9"/>
            <color indexed="81"/>
            <rFont val="Tahoma"/>
            <family val="2"/>
          </rPr>
          <t xml:space="preserve">10 
</t>
        </r>
      </text>
    </comment>
    <comment ref="BP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同上
</t>
        </r>
      </text>
    </comment>
    <comment ref="BR21" authorId="0">
      <text>
        <r>
          <rPr>
            <b/>
            <sz val="9"/>
            <color indexed="81"/>
            <rFont val="宋体"/>
            <family val="3"/>
            <charset val="134"/>
          </rPr>
          <t>徐梦薇</t>
        </r>
        <r>
          <rPr>
            <b/>
            <sz val="9"/>
            <color indexed="81"/>
            <rFont val="Tahoma"/>
            <family val="2"/>
          </rPr>
          <t xml:space="preserve">/Mengwei Xu:
</t>
        </r>
        <r>
          <rPr>
            <sz val="9"/>
            <color indexed="81"/>
            <rFont val="宋体"/>
            <family val="3"/>
            <charset val="134"/>
          </rPr>
          <t>个险</t>
        </r>
        <r>
          <rPr>
            <sz val="9"/>
            <color indexed="81"/>
            <rFont val="Tahoma"/>
            <family val="2"/>
          </rPr>
          <t xml:space="preserve">225
</t>
        </r>
        <r>
          <rPr>
            <sz val="9"/>
            <color indexed="81"/>
            <rFont val="宋体"/>
            <family val="3"/>
            <charset val="134"/>
          </rPr>
          <t>团险</t>
        </r>
        <r>
          <rPr>
            <sz val="9"/>
            <color indexed="81"/>
            <rFont val="Tahoma"/>
            <family val="2"/>
          </rPr>
          <t xml:space="preserve">0
</t>
        </r>
        <r>
          <rPr>
            <sz val="9"/>
            <color indexed="81"/>
            <rFont val="宋体"/>
            <family val="3"/>
            <charset val="134"/>
          </rPr>
          <t>多元</t>
        </r>
        <r>
          <rPr>
            <sz val="9"/>
            <color indexed="81"/>
            <rFont val="Tahoma"/>
            <family val="2"/>
          </rPr>
          <t>1</t>
        </r>
        <r>
          <rPr>
            <sz val="9"/>
            <color indexed="81"/>
            <rFont val="宋体"/>
            <family val="3"/>
            <charset val="134"/>
          </rPr>
          <t xml:space="preserve">
收展</t>
        </r>
        <r>
          <rPr>
            <sz val="9"/>
            <color indexed="81"/>
            <rFont val="Tahoma"/>
            <family val="2"/>
          </rPr>
          <t>3</t>
        </r>
      </text>
    </comment>
    <comment ref="BV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BX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426</t>
        </r>
        <r>
          <rPr>
            <sz val="9"/>
            <color indexed="81"/>
            <rFont val="宋体"/>
            <family val="3"/>
            <charset val="134"/>
          </rPr>
          <t xml:space="preserve">
团险</t>
        </r>
        <r>
          <rPr>
            <sz val="9"/>
            <color indexed="81"/>
            <rFont val="Tahoma"/>
            <family val="2"/>
          </rPr>
          <t>6</t>
        </r>
        <r>
          <rPr>
            <sz val="9"/>
            <color indexed="81"/>
            <rFont val="宋体"/>
            <family val="3"/>
            <charset val="134"/>
          </rPr>
          <t xml:space="preserve">
银保</t>
        </r>
        <r>
          <rPr>
            <sz val="9"/>
            <color indexed="81"/>
            <rFont val="Tahoma"/>
            <family val="2"/>
          </rPr>
          <t>9</t>
        </r>
        <r>
          <rPr>
            <sz val="9"/>
            <color indexed="81"/>
            <rFont val="宋体"/>
            <family val="3"/>
            <charset val="134"/>
          </rPr>
          <t xml:space="preserve">
多元</t>
        </r>
        <r>
          <rPr>
            <sz val="9"/>
            <color indexed="81"/>
            <rFont val="Tahoma"/>
            <family val="2"/>
          </rPr>
          <t>3</t>
        </r>
        <r>
          <rPr>
            <sz val="9"/>
            <color indexed="81"/>
            <rFont val="宋体"/>
            <family val="3"/>
            <charset val="134"/>
          </rPr>
          <t xml:space="preserve">
收展</t>
        </r>
        <r>
          <rPr>
            <sz val="9"/>
            <color indexed="81"/>
            <rFont val="Tahoma"/>
            <family val="2"/>
          </rPr>
          <t>5</t>
        </r>
      </text>
    </comment>
    <comment ref="D2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江苏失分
</t>
        </r>
      </text>
    </comment>
    <comment ref="V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1</t>
        </r>
        <r>
          <rPr>
            <sz val="9"/>
            <color indexed="81"/>
            <rFont val="宋体"/>
            <family val="3"/>
            <charset val="134"/>
          </rPr>
          <t>银保</t>
        </r>
        <r>
          <rPr>
            <sz val="9"/>
            <color indexed="81"/>
            <rFont val="Tahoma"/>
            <family val="2"/>
          </rPr>
          <t>4</t>
        </r>
        <r>
          <rPr>
            <sz val="9"/>
            <color indexed="81"/>
            <rFont val="宋体"/>
            <family val="3"/>
            <charset val="134"/>
          </rPr>
          <t>多元</t>
        </r>
        <r>
          <rPr>
            <sz val="9"/>
            <color indexed="81"/>
            <rFont val="Tahoma"/>
            <family val="2"/>
          </rPr>
          <t>1</t>
        </r>
      </text>
    </comment>
    <comment ref="X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银保投诉量增加</t>
        </r>
      </text>
    </comment>
    <comment ref="AB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14</t>
        </r>
        <r>
          <rPr>
            <sz val="9"/>
            <color indexed="81"/>
            <rFont val="宋体"/>
            <family val="3"/>
            <charset val="134"/>
          </rPr>
          <t>银保</t>
        </r>
        <r>
          <rPr>
            <sz val="9"/>
            <color indexed="81"/>
            <rFont val="Tahoma"/>
            <family val="2"/>
          </rPr>
          <t>7</t>
        </r>
      </text>
    </comment>
    <comment ref="AD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投诉量下降
</t>
        </r>
      </text>
    </comment>
    <comment ref="AH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25</t>
        </r>
        <r>
          <rPr>
            <sz val="9"/>
            <color indexed="81"/>
            <rFont val="宋体"/>
            <family val="3"/>
            <charset val="134"/>
          </rPr>
          <t>银保</t>
        </r>
        <r>
          <rPr>
            <sz val="9"/>
            <color indexed="81"/>
            <rFont val="Tahoma"/>
            <family val="2"/>
          </rPr>
          <t>7</t>
        </r>
        <r>
          <rPr>
            <sz val="9"/>
            <color indexed="81"/>
            <rFont val="宋体"/>
            <family val="3"/>
            <charset val="134"/>
          </rPr>
          <t>多元</t>
        </r>
        <r>
          <rPr>
            <sz val="9"/>
            <color indexed="81"/>
            <rFont val="Tahoma"/>
            <family val="2"/>
          </rPr>
          <t>53</t>
        </r>
      </text>
    </comment>
    <comment ref="AJ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个险、多元投诉量增加</t>
        </r>
      </text>
    </comment>
    <comment ref="AN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1</t>
        </r>
      </text>
    </comment>
    <comment ref="AP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上期为</t>
        </r>
        <r>
          <rPr>
            <sz val="9"/>
            <color indexed="81"/>
            <rFont val="Tahoma"/>
            <family val="2"/>
          </rPr>
          <t>0</t>
        </r>
      </text>
    </comment>
    <comment ref="AT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5</t>
        </r>
        <r>
          <rPr>
            <sz val="9"/>
            <color indexed="81"/>
            <rFont val="宋体"/>
            <family val="3"/>
            <charset val="134"/>
          </rPr>
          <t>银保</t>
        </r>
        <r>
          <rPr>
            <sz val="9"/>
            <color indexed="81"/>
            <rFont val="Tahoma"/>
            <family val="2"/>
          </rPr>
          <t>8</t>
        </r>
        <r>
          <rPr>
            <sz val="9"/>
            <color indexed="81"/>
            <rFont val="宋体"/>
            <family val="3"/>
            <charset val="134"/>
          </rPr>
          <t>多元</t>
        </r>
        <r>
          <rPr>
            <sz val="9"/>
            <color indexed="81"/>
            <rFont val="Tahoma"/>
            <family val="2"/>
          </rPr>
          <t>390</t>
        </r>
      </text>
    </comment>
    <comment ref="AZ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6</t>
        </r>
        <r>
          <rPr>
            <sz val="9"/>
            <color indexed="81"/>
            <rFont val="宋体"/>
            <family val="3"/>
            <charset val="134"/>
          </rPr>
          <t>银保</t>
        </r>
        <r>
          <rPr>
            <sz val="9"/>
            <color indexed="81"/>
            <rFont val="Tahoma"/>
            <family val="2"/>
          </rPr>
          <t>27</t>
        </r>
        <r>
          <rPr>
            <sz val="9"/>
            <color indexed="81"/>
            <rFont val="宋体"/>
            <family val="3"/>
            <charset val="134"/>
          </rPr>
          <t>多元</t>
        </r>
        <r>
          <rPr>
            <sz val="9"/>
            <color indexed="81"/>
            <rFont val="Tahoma"/>
            <family val="2"/>
          </rPr>
          <t>27</t>
        </r>
      </text>
    </comment>
    <comment ref="BF23" authorId="0">
      <text>
        <r>
          <rPr>
            <b/>
            <sz val="9"/>
            <color indexed="81"/>
            <rFont val="宋体"/>
            <family val="3"/>
            <charset val="134"/>
          </rPr>
          <t>徐梦薇</t>
        </r>
        <r>
          <rPr>
            <b/>
            <sz val="9"/>
            <color indexed="81"/>
            <rFont val="Tahoma"/>
            <family val="2"/>
          </rPr>
          <t xml:space="preserve">/Mengwei Xu:
</t>
        </r>
        <r>
          <rPr>
            <sz val="9"/>
            <color indexed="81"/>
            <rFont val="宋体"/>
            <family val="3"/>
            <charset val="134"/>
          </rPr>
          <t>银保</t>
        </r>
        <r>
          <rPr>
            <sz val="9"/>
            <color indexed="81"/>
            <rFont val="Tahoma"/>
            <family val="2"/>
          </rPr>
          <t>3</t>
        </r>
      </text>
    </comment>
    <comment ref="BH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投诉量降低</t>
        </r>
      </text>
    </comment>
    <comment ref="BL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3
</t>
        </r>
        <r>
          <rPr>
            <sz val="9"/>
            <color indexed="81"/>
            <rFont val="宋体"/>
            <family val="3"/>
            <charset val="134"/>
          </rPr>
          <t>银保</t>
        </r>
        <r>
          <rPr>
            <sz val="9"/>
            <color indexed="81"/>
            <rFont val="Tahoma"/>
            <family val="2"/>
          </rPr>
          <t>7</t>
        </r>
      </text>
    </comment>
    <comment ref="BR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8</t>
        </r>
        <r>
          <rPr>
            <sz val="9"/>
            <color indexed="81"/>
            <rFont val="宋体"/>
            <family val="3"/>
            <charset val="134"/>
          </rPr>
          <t>银保</t>
        </r>
        <r>
          <rPr>
            <sz val="9"/>
            <color indexed="81"/>
            <rFont val="Tahoma"/>
            <family val="2"/>
          </rPr>
          <t>4</t>
        </r>
        <r>
          <rPr>
            <sz val="9"/>
            <color indexed="81"/>
            <rFont val="宋体"/>
            <family val="3"/>
            <charset val="134"/>
          </rPr>
          <t>多元</t>
        </r>
        <r>
          <rPr>
            <sz val="9"/>
            <color indexed="81"/>
            <rFont val="Tahoma"/>
            <family val="2"/>
          </rPr>
          <t>1</t>
        </r>
      </text>
    </comment>
    <comment ref="BT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上期为</t>
        </r>
        <r>
          <rPr>
            <sz val="9"/>
            <color indexed="81"/>
            <rFont val="Tahoma"/>
            <family val="2"/>
          </rPr>
          <t>0</t>
        </r>
      </text>
    </comment>
    <comment ref="BX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1
</t>
        </r>
        <r>
          <rPr>
            <sz val="9"/>
            <color indexed="81"/>
            <rFont val="宋体"/>
            <family val="3"/>
            <charset val="134"/>
          </rPr>
          <t>银保</t>
        </r>
        <r>
          <rPr>
            <sz val="9"/>
            <color indexed="81"/>
            <rFont val="Tahoma"/>
            <family val="2"/>
          </rPr>
          <t xml:space="preserve">4
</t>
        </r>
        <r>
          <rPr>
            <sz val="9"/>
            <color indexed="81"/>
            <rFont val="Tahoma"/>
            <family val="2"/>
          </rPr>
          <t xml:space="preserve">
</t>
        </r>
      </text>
    </comment>
    <comment ref="V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10361
</t>
        </r>
        <r>
          <rPr>
            <sz val="9"/>
            <color indexed="81"/>
            <rFont val="宋体"/>
            <family val="3"/>
            <charset val="134"/>
          </rPr>
          <t>团险</t>
        </r>
        <r>
          <rPr>
            <sz val="9"/>
            <color indexed="81"/>
            <rFont val="Tahoma"/>
            <family val="2"/>
          </rPr>
          <t xml:space="preserve">157501
</t>
        </r>
        <r>
          <rPr>
            <sz val="9"/>
            <color indexed="81"/>
            <rFont val="宋体"/>
            <family val="3"/>
            <charset val="134"/>
          </rPr>
          <t>银保</t>
        </r>
        <r>
          <rPr>
            <sz val="9"/>
            <color indexed="81"/>
            <rFont val="Tahoma"/>
            <family val="2"/>
          </rPr>
          <t xml:space="preserve">2671
</t>
        </r>
        <r>
          <rPr>
            <sz val="9"/>
            <color indexed="81"/>
            <rFont val="宋体"/>
            <family val="3"/>
            <charset val="134"/>
          </rPr>
          <t>多元</t>
        </r>
        <r>
          <rPr>
            <sz val="9"/>
            <color indexed="81"/>
            <rFont val="Tahoma"/>
            <family val="2"/>
          </rPr>
          <t xml:space="preserve">5656
</t>
        </r>
        <r>
          <rPr>
            <sz val="9"/>
            <color indexed="81"/>
            <rFont val="宋体"/>
            <family val="3"/>
            <charset val="134"/>
          </rPr>
          <t>收展</t>
        </r>
        <r>
          <rPr>
            <sz val="9"/>
            <color indexed="81"/>
            <rFont val="Tahoma"/>
            <family val="2"/>
          </rPr>
          <t>253</t>
        </r>
      </text>
    </comment>
    <comment ref="X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团险保单增加</t>
        </r>
      </text>
    </comment>
    <comment ref="AB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58781
</t>
        </r>
        <r>
          <rPr>
            <sz val="9"/>
            <color indexed="81"/>
            <rFont val="宋体"/>
            <family val="3"/>
            <charset val="134"/>
          </rPr>
          <t>团险</t>
        </r>
        <r>
          <rPr>
            <sz val="9"/>
            <color indexed="81"/>
            <rFont val="Tahoma"/>
            <family val="2"/>
          </rPr>
          <t xml:space="preserve">240367
</t>
        </r>
        <r>
          <rPr>
            <sz val="9"/>
            <color indexed="81"/>
            <rFont val="宋体"/>
            <family val="3"/>
            <charset val="134"/>
          </rPr>
          <t>银保</t>
        </r>
        <r>
          <rPr>
            <sz val="9"/>
            <color indexed="81"/>
            <rFont val="Tahoma"/>
            <family val="2"/>
          </rPr>
          <t xml:space="preserve">6750
</t>
        </r>
        <r>
          <rPr>
            <sz val="9"/>
            <color indexed="81"/>
            <rFont val="宋体"/>
            <family val="3"/>
            <charset val="134"/>
          </rPr>
          <t>多元</t>
        </r>
        <r>
          <rPr>
            <sz val="9"/>
            <color indexed="81"/>
            <rFont val="Tahoma"/>
            <family val="2"/>
          </rPr>
          <t xml:space="preserve">1413
</t>
        </r>
        <r>
          <rPr>
            <sz val="9"/>
            <color indexed="81"/>
            <rFont val="宋体"/>
            <family val="3"/>
            <charset val="134"/>
          </rPr>
          <t>收展</t>
        </r>
        <r>
          <rPr>
            <sz val="9"/>
            <color indexed="81"/>
            <rFont val="Tahoma"/>
            <family val="2"/>
          </rPr>
          <t xml:space="preserve">384
</t>
        </r>
        <r>
          <rPr>
            <sz val="9"/>
            <color indexed="81"/>
            <rFont val="宋体"/>
            <family val="3"/>
            <charset val="134"/>
          </rPr>
          <t>网销</t>
        </r>
        <r>
          <rPr>
            <sz val="9"/>
            <color indexed="81"/>
            <rFont val="Tahoma"/>
            <family val="2"/>
          </rPr>
          <t>5</t>
        </r>
      </text>
    </comment>
    <comment ref="AD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团险增加</t>
        </r>
      </text>
    </comment>
    <comment ref="AH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60099
</t>
        </r>
        <r>
          <rPr>
            <sz val="9"/>
            <color indexed="81"/>
            <rFont val="宋体"/>
            <family val="3"/>
            <charset val="134"/>
          </rPr>
          <t>团险</t>
        </r>
        <r>
          <rPr>
            <sz val="9"/>
            <color indexed="81"/>
            <rFont val="Tahoma"/>
            <family val="2"/>
          </rPr>
          <t xml:space="preserve">96
</t>
        </r>
        <r>
          <rPr>
            <sz val="9"/>
            <color indexed="81"/>
            <rFont val="宋体"/>
            <family val="3"/>
            <charset val="134"/>
          </rPr>
          <t>银保</t>
        </r>
        <r>
          <rPr>
            <sz val="9"/>
            <color indexed="81"/>
            <rFont val="Tahoma"/>
            <family val="2"/>
          </rPr>
          <t xml:space="preserve">5069
</t>
        </r>
        <r>
          <rPr>
            <sz val="9"/>
            <color indexed="81"/>
            <rFont val="宋体"/>
            <family val="3"/>
            <charset val="134"/>
          </rPr>
          <t>多元</t>
        </r>
        <r>
          <rPr>
            <sz val="9"/>
            <color indexed="81"/>
            <rFont val="Tahoma"/>
            <family val="2"/>
          </rPr>
          <t xml:space="preserve">36014
</t>
        </r>
        <r>
          <rPr>
            <sz val="9"/>
            <color indexed="81"/>
            <rFont val="宋体"/>
            <family val="3"/>
            <charset val="134"/>
          </rPr>
          <t>收展</t>
        </r>
        <r>
          <rPr>
            <sz val="9"/>
            <color indexed="81"/>
            <rFont val="Tahoma"/>
            <family val="2"/>
          </rPr>
          <t>841</t>
        </r>
      </text>
    </comment>
    <comment ref="AN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8970
</t>
        </r>
        <r>
          <rPr>
            <sz val="9"/>
            <color indexed="81"/>
            <rFont val="宋体"/>
            <family val="3"/>
            <charset val="134"/>
          </rPr>
          <t>银保</t>
        </r>
        <r>
          <rPr>
            <sz val="9"/>
            <color indexed="81"/>
            <rFont val="Tahoma"/>
            <family val="2"/>
          </rPr>
          <t xml:space="preserve">11487
</t>
        </r>
        <r>
          <rPr>
            <sz val="9"/>
            <color indexed="81"/>
            <rFont val="宋体"/>
            <family val="3"/>
            <charset val="134"/>
          </rPr>
          <t>收展</t>
        </r>
        <r>
          <rPr>
            <sz val="9"/>
            <color indexed="81"/>
            <rFont val="Tahoma"/>
            <family val="2"/>
          </rPr>
          <t>173</t>
        </r>
      </text>
    </comment>
    <comment ref="AT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68998
</t>
        </r>
        <r>
          <rPr>
            <sz val="9"/>
            <color indexed="81"/>
            <rFont val="宋体"/>
            <family val="3"/>
            <charset val="134"/>
          </rPr>
          <t>团险</t>
        </r>
        <r>
          <rPr>
            <sz val="9"/>
            <color indexed="81"/>
            <rFont val="Tahoma"/>
            <family val="2"/>
          </rPr>
          <t xml:space="preserve">16218
</t>
        </r>
        <r>
          <rPr>
            <sz val="9"/>
            <color indexed="81"/>
            <rFont val="宋体"/>
            <family val="3"/>
            <charset val="134"/>
          </rPr>
          <t>银保</t>
        </r>
        <r>
          <rPr>
            <sz val="9"/>
            <color indexed="81"/>
            <rFont val="Tahoma"/>
            <family val="2"/>
          </rPr>
          <t xml:space="preserve">4656
</t>
        </r>
        <r>
          <rPr>
            <sz val="9"/>
            <color indexed="81"/>
            <rFont val="宋体"/>
            <family val="3"/>
            <charset val="134"/>
          </rPr>
          <t>多元</t>
        </r>
        <r>
          <rPr>
            <sz val="9"/>
            <color indexed="81"/>
            <rFont val="Tahoma"/>
            <family val="2"/>
          </rPr>
          <t xml:space="preserve">19508
</t>
        </r>
        <r>
          <rPr>
            <sz val="9"/>
            <color indexed="81"/>
            <rFont val="宋体"/>
            <family val="3"/>
            <charset val="134"/>
          </rPr>
          <t>收展</t>
        </r>
        <r>
          <rPr>
            <sz val="9"/>
            <color indexed="81"/>
            <rFont val="Tahoma"/>
            <family val="2"/>
          </rPr>
          <t>670</t>
        </r>
      </text>
    </comment>
    <comment ref="AZ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63773
</t>
        </r>
        <r>
          <rPr>
            <sz val="9"/>
            <color indexed="81"/>
            <rFont val="宋体"/>
            <family val="3"/>
            <charset val="134"/>
          </rPr>
          <t>团险</t>
        </r>
        <r>
          <rPr>
            <sz val="9"/>
            <color indexed="81"/>
            <rFont val="Tahoma"/>
            <family val="2"/>
          </rPr>
          <t xml:space="preserve">905
</t>
        </r>
        <r>
          <rPr>
            <sz val="9"/>
            <color indexed="81"/>
            <rFont val="宋体"/>
            <family val="3"/>
            <charset val="134"/>
          </rPr>
          <t>银保</t>
        </r>
        <r>
          <rPr>
            <sz val="9"/>
            <color indexed="81"/>
            <rFont val="Tahoma"/>
            <family val="2"/>
          </rPr>
          <t xml:space="preserve">9403
</t>
        </r>
        <r>
          <rPr>
            <sz val="9"/>
            <color indexed="81"/>
            <rFont val="宋体"/>
            <family val="3"/>
            <charset val="134"/>
          </rPr>
          <t>多元</t>
        </r>
        <r>
          <rPr>
            <sz val="9"/>
            <color indexed="81"/>
            <rFont val="Tahoma"/>
            <family val="2"/>
          </rPr>
          <t xml:space="preserve">19331
</t>
        </r>
        <r>
          <rPr>
            <sz val="9"/>
            <color indexed="81"/>
            <rFont val="宋体"/>
            <family val="3"/>
            <charset val="134"/>
          </rPr>
          <t>收展</t>
        </r>
        <r>
          <rPr>
            <sz val="9"/>
            <color indexed="81"/>
            <rFont val="Tahoma"/>
            <family val="2"/>
          </rPr>
          <t>920</t>
        </r>
      </text>
    </comment>
    <comment ref="BF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16300
</t>
        </r>
        <r>
          <rPr>
            <sz val="9"/>
            <color indexed="81"/>
            <rFont val="宋体"/>
            <family val="3"/>
            <charset val="134"/>
          </rPr>
          <t>团险</t>
        </r>
        <r>
          <rPr>
            <sz val="9"/>
            <color indexed="81"/>
            <rFont val="Tahoma"/>
            <family val="2"/>
          </rPr>
          <t xml:space="preserve">3747
</t>
        </r>
        <r>
          <rPr>
            <sz val="9"/>
            <color indexed="81"/>
            <rFont val="宋体"/>
            <family val="3"/>
            <charset val="134"/>
          </rPr>
          <t>银保</t>
        </r>
        <r>
          <rPr>
            <sz val="9"/>
            <color indexed="81"/>
            <rFont val="Tahoma"/>
            <family val="2"/>
          </rPr>
          <t xml:space="preserve">1942
</t>
        </r>
        <r>
          <rPr>
            <sz val="9"/>
            <color indexed="81"/>
            <rFont val="宋体"/>
            <family val="3"/>
            <charset val="134"/>
          </rPr>
          <t>多元</t>
        </r>
        <r>
          <rPr>
            <sz val="9"/>
            <color indexed="81"/>
            <rFont val="Tahoma"/>
            <family val="2"/>
          </rPr>
          <t xml:space="preserve">4
</t>
        </r>
        <r>
          <rPr>
            <sz val="9"/>
            <color indexed="81"/>
            <rFont val="宋体"/>
            <family val="3"/>
            <charset val="134"/>
          </rPr>
          <t>收展</t>
        </r>
        <r>
          <rPr>
            <sz val="9"/>
            <color indexed="81"/>
            <rFont val="Tahoma"/>
            <family val="2"/>
          </rPr>
          <t>188</t>
        </r>
      </text>
    </comment>
    <comment ref="BL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41090
</t>
        </r>
        <r>
          <rPr>
            <sz val="9"/>
            <color indexed="81"/>
            <rFont val="宋体"/>
            <family val="3"/>
            <charset val="134"/>
          </rPr>
          <t>团险</t>
        </r>
        <r>
          <rPr>
            <sz val="9"/>
            <color indexed="81"/>
            <rFont val="Tahoma"/>
            <family val="2"/>
          </rPr>
          <t xml:space="preserve">378
</t>
        </r>
        <r>
          <rPr>
            <sz val="9"/>
            <color indexed="81"/>
            <rFont val="宋体"/>
            <family val="3"/>
            <charset val="134"/>
          </rPr>
          <t>银保</t>
        </r>
        <r>
          <rPr>
            <sz val="9"/>
            <color indexed="81"/>
            <rFont val="Tahoma"/>
            <family val="2"/>
          </rPr>
          <t xml:space="preserve">11185
</t>
        </r>
        <r>
          <rPr>
            <sz val="9"/>
            <color indexed="81"/>
            <rFont val="宋体"/>
            <family val="3"/>
            <charset val="134"/>
          </rPr>
          <t>多元</t>
        </r>
        <r>
          <rPr>
            <sz val="9"/>
            <color indexed="81"/>
            <rFont val="Tahoma"/>
            <family val="2"/>
          </rPr>
          <t xml:space="preserve">8777
</t>
        </r>
        <r>
          <rPr>
            <sz val="9"/>
            <color indexed="81"/>
            <rFont val="宋体"/>
            <family val="3"/>
            <charset val="134"/>
          </rPr>
          <t>收展</t>
        </r>
        <r>
          <rPr>
            <sz val="9"/>
            <color indexed="81"/>
            <rFont val="Tahoma"/>
            <family val="2"/>
          </rPr>
          <t xml:space="preserve">381
</t>
        </r>
        <r>
          <rPr>
            <sz val="9"/>
            <color indexed="81"/>
            <rFont val="宋体"/>
            <family val="3"/>
            <charset val="134"/>
          </rPr>
          <t>网销</t>
        </r>
        <r>
          <rPr>
            <sz val="9"/>
            <color indexed="81"/>
            <rFont val="Tahoma"/>
            <family val="2"/>
          </rPr>
          <t>1</t>
        </r>
      </text>
    </comment>
    <comment ref="BR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13033</t>
        </r>
        <r>
          <rPr>
            <sz val="9"/>
            <color indexed="81"/>
            <rFont val="宋体"/>
            <family val="3"/>
            <charset val="134"/>
          </rPr>
          <t xml:space="preserve">
团险</t>
        </r>
        <r>
          <rPr>
            <sz val="9"/>
            <color indexed="81"/>
            <rFont val="Tahoma"/>
            <family val="2"/>
          </rPr>
          <t>156</t>
        </r>
        <r>
          <rPr>
            <sz val="9"/>
            <color indexed="81"/>
            <rFont val="宋体"/>
            <family val="3"/>
            <charset val="134"/>
          </rPr>
          <t xml:space="preserve">
银保</t>
        </r>
        <r>
          <rPr>
            <sz val="9"/>
            <color indexed="81"/>
            <rFont val="Tahoma"/>
            <family val="2"/>
          </rPr>
          <t>1284</t>
        </r>
        <r>
          <rPr>
            <sz val="9"/>
            <color indexed="81"/>
            <rFont val="宋体"/>
            <family val="3"/>
            <charset val="134"/>
          </rPr>
          <t xml:space="preserve">
多元</t>
        </r>
        <r>
          <rPr>
            <sz val="9"/>
            <color indexed="81"/>
            <rFont val="Tahoma"/>
            <family val="2"/>
          </rPr>
          <t>3252</t>
        </r>
        <r>
          <rPr>
            <sz val="9"/>
            <color indexed="81"/>
            <rFont val="宋体"/>
            <family val="3"/>
            <charset val="134"/>
          </rPr>
          <t xml:space="preserve">
收展</t>
        </r>
        <r>
          <rPr>
            <sz val="9"/>
            <color indexed="81"/>
            <rFont val="Tahoma"/>
            <family val="2"/>
          </rPr>
          <t>124</t>
        </r>
      </text>
    </comment>
    <comment ref="BX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16937</t>
        </r>
        <r>
          <rPr>
            <sz val="9"/>
            <color indexed="81"/>
            <rFont val="宋体"/>
            <family val="3"/>
            <charset val="134"/>
          </rPr>
          <t xml:space="preserve">
团险</t>
        </r>
        <r>
          <rPr>
            <sz val="9"/>
            <color indexed="81"/>
            <rFont val="Tahoma"/>
            <family val="2"/>
          </rPr>
          <t>28781</t>
        </r>
        <r>
          <rPr>
            <sz val="9"/>
            <color indexed="81"/>
            <rFont val="宋体"/>
            <family val="3"/>
            <charset val="134"/>
          </rPr>
          <t xml:space="preserve">
银保</t>
        </r>
        <r>
          <rPr>
            <sz val="9"/>
            <color indexed="81"/>
            <rFont val="Tahoma"/>
            <family val="2"/>
          </rPr>
          <t>1762</t>
        </r>
        <r>
          <rPr>
            <sz val="9"/>
            <color indexed="81"/>
            <rFont val="宋体"/>
            <family val="3"/>
            <charset val="134"/>
          </rPr>
          <t xml:space="preserve">
多元</t>
        </r>
        <r>
          <rPr>
            <sz val="9"/>
            <color indexed="81"/>
            <rFont val="Tahoma"/>
            <family val="2"/>
          </rPr>
          <t>3755</t>
        </r>
        <r>
          <rPr>
            <sz val="9"/>
            <color indexed="81"/>
            <rFont val="宋体"/>
            <family val="3"/>
            <charset val="134"/>
          </rPr>
          <t xml:space="preserve">
续期</t>
        </r>
        <r>
          <rPr>
            <sz val="9"/>
            <color indexed="81"/>
            <rFont val="Tahoma"/>
            <family val="2"/>
          </rPr>
          <t>164</t>
        </r>
      </text>
    </comment>
    <comment ref="BZ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团险增加
</t>
        </r>
      </text>
    </comment>
    <comment ref="D25" authorId="0">
      <text>
        <r>
          <rPr>
            <b/>
            <sz val="9"/>
            <color indexed="81"/>
            <rFont val="宋体"/>
            <family val="3"/>
            <charset val="134"/>
          </rPr>
          <t>徐梦薇</t>
        </r>
        <r>
          <rPr>
            <b/>
            <sz val="9"/>
            <color indexed="81"/>
            <rFont val="Tahoma"/>
            <family val="2"/>
          </rPr>
          <t>/Mengwei Xu:</t>
        </r>
        <r>
          <rPr>
            <sz val="9"/>
            <color indexed="81"/>
            <rFont val="Tahoma"/>
            <family val="2"/>
          </rPr>
          <t xml:space="preserve">
10</t>
        </r>
        <r>
          <rPr>
            <sz val="9"/>
            <color indexed="81"/>
            <rFont val="宋体"/>
            <family val="3"/>
            <charset val="134"/>
          </rPr>
          <t>家分公司</t>
        </r>
      </text>
    </comment>
    <comment ref="D2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天津、辽宁、大连、江苏、山东、河南、四川失分</t>
        </r>
      </text>
    </comment>
    <comment ref="AB28" authorId="3">
      <text>
        <r>
          <rPr>
            <sz val="9"/>
            <color indexed="81"/>
            <rFont val="宋体"/>
            <family val="3"/>
            <charset val="134"/>
          </rPr>
          <t>2019年6月报送的中介市场乱象整治报告，发现因销售人员过错导致代签字、未如实告知问题；2018年11月报送的进一步深化保险业
市场乱象整治工作报告，发现销售误导问题。</t>
        </r>
      </text>
    </comment>
    <comment ref="AF28" authorId="1">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公司在对营销员微信群和朋友圈监控中发现丹东中心支公司业务员在朋友圈传播一份伪造的公司核保规则类的通知文件。</t>
        </r>
        <r>
          <rPr>
            <sz val="9"/>
            <color indexed="81"/>
            <rFont val="Tahoma"/>
            <family val="2"/>
          </rPr>
          <t xml:space="preserve">18Q1
</t>
        </r>
        <r>
          <rPr>
            <sz val="9"/>
            <color indexed="81"/>
            <rFont val="宋体"/>
            <family val="3"/>
            <charset val="134"/>
          </rPr>
          <t>距离《恒安标准辽分司字</t>
        </r>
        <r>
          <rPr>
            <sz val="9"/>
            <color indexed="81"/>
            <rFont val="Tahoma"/>
            <family val="2"/>
          </rPr>
          <t>[2017]38</t>
        </r>
        <r>
          <rPr>
            <sz val="9"/>
            <color indexed="81"/>
            <rFont val="宋体"/>
            <family val="3"/>
            <charset val="134"/>
          </rPr>
          <t>号辽宁分公司关于开展保险产品销售管理情况自查自纠工作的报告》的检查发现已过</t>
        </r>
        <r>
          <rPr>
            <sz val="9"/>
            <color indexed="81"/>
            <rFont val="Tahoma"/>
            <family val="2"/>
          </rPr>
          <t>1</t>
        </r>
        <r>
          <rPr>
            <sz val="9"/>
            <color indexed="81"/>
            <rFont val="宋体"/>
            <family val="3"/>
            <charset val="134"/>
          </rPr>
          <t>年</t>
        </r>
        <r>
          <rPr>
            <sz val="9"/>
            <color indexed="81"/>
            <rFont val="Tahoma"/>
            <family val="2"/>
          </rPr>
          <t xml:space="preserve">-17Q2
</t>
        </r>
      </text>
    </comment>
    <comment ref="AH28" authorId="0">
      <text>
        <r>
          <rPr>
            <b/>
            <sz val="9"/>
            <color indexed="81"/>
            <rFont val="宋体"/>
            <family val="3"/>
            <charset val="134"/>
          </rPr>
          <t>徐梦薇</t>
        </r>
        <r>
          <rPr>
            <b/>
            <sz val="9"/>
            <color indexed="81"/>
            <rFont val="Tahoma"/>
            <family val="2"/>
          </rPr>
          <t>/Mengwei Xu:</t>
        </r>
        <r>
          <rPr>
            <sz val="9"/>
            <color indexed="81"/>
            <rFont val="Tahoma"/>
            <family val="2"/>
          </rPr>
          <t xml:space="preserve">
19Q2</t>
        </r>
        <r>
          <rPr>
            <sz val="9"/>
            <color indexed="81"/>
            <rFont val="宋体"/>
            <family val="3"/>
            <charset val="134"/>
          </rPr>
          <t>在对营销员展业资料检查中发现，丹东中心支公司营销员展业柜中存放有自行印制的空白《奖品签收确认函》，本溪中心支公司营销员展业柜中发现</t>
        </r>
        <r>
          <rPr>
            <sz val="9"/>
            <color indexed="81"/>
            <rFont val="Tahoma"/>
            <family val="2"/>
          </rPr>
          <t>“</t>
        </r>
        <r>
          <rPr>
            <sz val="9"/>
            <color indexed="81"/>
            <rFont val="宋体"/>
            <family val="3"/>
            <charset val="134"/>
          </rPr>
          <t>每份保单送智能机器人一台</t>
        </r>
        <r>
          <rPr>
            <sz val="9"/>
            <color indexed="81"/>
            <rFont val="Tahoma"/>
            <family val="2"/>
          </rPr>
          <t>”</t>
        </r>
        <r>
          <rPr>
            <sz val="9"/>
            <color indexed="81"/>
            <rFont val="宋体"/>
            <family val="3"/>
            <charset val="134"/>
          </rPr>
          <t>的自制宣传资料，涉嫌给予投保人保险合同以外的利益</t>
        </r>
      </text>
    </comment>
    <comment ref="AJ28" authorId="0">
      <text>
        <r>
          <rPr>
            <b/>
            <sz val="9"/>
            <color indexed="81"/>
            <rFont val="宋体"/>
            <family val="3"/>
            <charset val="134"/>
          </rPr>
          <t>徐梦薇</t>
        </r>
        <r>
          <rPr>
            <b/>
            <sz val="9"/>
            <color indexed="81"/>
            <rFont val="Tahoma"/>
            <family val="2"/>
          </rPr>
          <t>/Mengwei Xu:</t>
        </r>
        <r>
          <rPr>
            <sz val="9"/>
            <color indexed="81"/>
            <rFont val="Tahoma"/>
            <family val="2"/>
          </rPr>
          <t xml:space="preserve">
</t>
        </r>
      </text>
    </comment>
    <comment ref="AL28" authorId="1">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治乱打非期间，公司自查发现个险渠道代理人庄树红私自印发宣传折页，当场予以销毁，并已于</t>
        </r>
        <r>
          <rPr>
            <sz val="9"/>
            <color indexed="81"/>
            <rFont val="Tahoma"/>
            <family val="2"/>
          </rPr>
          <t>5</t>
        </r>
        <r>
          <rPr>
            <sz val="9"/>
            <color indexed="81"/>
            <rFont val="宋体"/>
            <family val="3"/>
            <charset val="134"/>
          </rPr>
          <t>月</t>
        </r>
        <r>
          <rPr>
            <sz val="9"/>
            <color indexed="81"/>
            <rFont val="Tahoma"/>
            <family val="2"/>
          </rPr>
          <t>8</t>
        </r>
        <r>
          <rPr>
            <sz val="9"/>
            <color indexed="81"/>
            <rFont val="宋体"/>
            <family val="3"/>
            <charset val="134"/>
          </rPr>
          <t>日完成问责。</t>
        </r>
      </text>
    </comment>
    <comment ref="AN28" authorId="1">
      <text>
        <r>
          <rPr>
            <b/>
            <sz val="9"/>
            <color indexed="81"/>
            <rFont val="宋体"/>
            <family val="3"/>
            <charset val="134"/>
          </rPr>
          <t>徐梦薇</t>
        </r>
        <r>
          <rPr>
            <b/>
            <sz val="9"/>
            <color indexed="81"/>
            <rFont val="Tahoma"/>
            <family val="2"/>
          </rPr>
          <t>:</t>
        </r>
        <r>
          <rPr>
            <sz val="9"/>
            <color indexed="81"/>
            <rFont val="Tahoma"/>
            <family val="2"/>
          </rPr>
          <t xml:space="preserve">
19Q1</t>
        </r>
        <r>
          <rPr>
            <sz val="9"/>
            <color indexed="81"/>
            <rFont val="宋体"/>
            <family val="3"/>
            <charset val="134"/>
          </rPr>
          <t>上报大连分公司与</t>
        </r>
        <r>
          <rPr>
            <sz val="9"/>
            <color indexed="81"/>
            <rFont val="Tahoma"/>
            <family val="2"/>
          </rPr>
          <t>19</t>
        </r>
        <r>
          <rPr>
            <sz val="9"/>
            <color indexed="81"/>
            <rFont val="宋体"/>
            <family val="3"/>
            <charset val="134"/>
          </rPr>
          <t>年</t>
        </r>
        <r>
          <rPr>
            <sz val="9"/>
            <color indexed="81"/>
            <rFont val="Tahoma"/>
            <family val="2"/>
          </rPr>
          <t>2</t>
        </r>
        <r>
          <rPr>
            <sz val="9"/>
            <color indexed="81"/>
            <rFont val="宋体"/>
            <family val="3"/>
            <charset val="134"/>
          </rPr>
          <t xml:space="preserve">月期间开展自查自纠专项工作，通过本次自查自纠工作发现，分公司存在代签字、销售误导、违规自制宣传材料等情况，分公司已将工作报告报送至大连银保监局，后续待整改完毕后再次向大连局报送整改报告。
</t>
        </r>
        <r>
          <rPr>
            <sz val="9"/>
            <color indexed="81"/>
            <rFont val="Tahoma"/>
            <family val="2"/>
          </rPr>
          <t>19Q2</t>
        </r>
        <r>
          <rPr>
            <sz val="9"/>
            <color indexed="81"/>
            <rFont val="宋体"/>
            <family val="3"/>
            <charset val="134"/>
          </rPr>
          <t>开展乱象整治自查自纠专项工作，通过自查自纠工作发现，分公司存在代签字、销售误导、违规自制宣传材料等情况，分公司已将工作报告报送至大连银保监局，后续待整改完毕后再次向大连局报送整改报告。</t>
        </r>
      </text>
    </comment>
    <comment ref="AR28" authorId="1">
      <text>
        <r>
          <rPr>
            <b/>
            <sz val="9"/>
            <color indexed="81"/>
            <rFont val="宋体"/>
            <family val="3"/>
            <charset val="134"/>
          </rPr>
          <t>徐梦薇</t>
        </r>
        <r>
          <rPr>
            <b/>
            <sz val="9"/>
            <color indexed="81"/>
            <rFont val="Tahoma"/>
            <family val="2"/>
          </rPr>
          <t>:</t>
        </r>
        <r>
          <rPr>
            <sz val="9"/>
            <color indexed="81"/>
            <rFont val="Tahoma"/>
            <family val="2"/>
          </rPr>
          <t xml:space="preserve">
2018</t>
        </r>
        <r>
          <rPr>
            <sz val="9"/>
            <color indexed="81"/>
            <rFont val="宋体"/>
            <family val="3"/>
            <charset val="134"/>
          </rPr>
          <t>年</t>
        </r>
        <r>
          <rPr>
            <sz val="9"/>
            <color indexed="81"/>
            <rFont val="Tahoma"/>
            <family val="2"/>
          </rPr>
          <t>1</t>
        </r>
        <r>
          <rPr>
            <sz val="9"/>
            <color indexed="81"/>
            <rFont val="宋体"/>
            <family val="3"/>
            <charset val="134"/>
          </rPr>
          <t>、</t>
        </r>
        <r>
          <rPr>
            <sz val="9"/>
            <color indexed="81"/>
            <rFont val="Tahoma"/>
            <family val="2"/>
          </rPr>
          <t>2</t>
        </r>
        <r>
          <rPr>
            <sz val="9"/>
            <color indexed="81"/>
            <rFont val="宋体"/>
            <family val="3"/>
            <charset val="134"/>
          </rPr>
          <t>、</t>
        </r>
        <r>
          <rPr>
            <sz val="9"/>
            <color indexed="81"/>
            <rFont val="Tahoma"/>
            <family val="2"/>
          </rPr>
          <t>3</t>
        </r>
        <r>
          <rPr>
            <sz val="9"/>
            <color indexed="81"/>
            <rFont val="宋体"/>
            <family val="3"/>
            <charset val="134"/>
          </rPr>
          <t xml:space="preserve">季度开展风险排查
</t>
        </r>
        <r>
          <rPr>
            <sz val="9"/>
            <color indexed="81"/>
            <rFont val="Tahoma"/>
            <family val="2"/>
          </rPr>
          <t>1)</t>
        </r>
        <r>
          <rPr>
            <sz val="9"/>
            <color indexed="81"/>
            <rFont val="宋体"/>
            <family val="3"/>
            <charset val="134"/>
          </rPr>
          <t>、</t>
        </r>
        <r>
          <rPr>
            <sz val="9"/>
            <color indexed="81"/>
            <rFont val="Tahoma"/>
            <family val="2"/>
          </rPr>
          <t>2018</t>
        </r>
        <r>
          <rPr>
            <sz val="9"/>
            <color indexed="81"/>
            <rFont val="宋体"/>
            <family val="3"/>
            <charset val="134"/>
          </rPr>
          <t>年一季度发现以下问题：</t>
        </r>
        <r>
          <rPr>
            <sz val="9"/>
            <color indexed="81"/>
            <rFont val="Tahoma"/>
            <family val="2"/>
          </rPr>
          <t>a</t>
        </r>
        <r>
          <rPr>
            <sz val="9"/>
            <color indexed="81"/>
            <rFont val="宋体"/>
            <family val="3"/>
            <charset val="134"/>
          </rPr>
          <t>、部分机构销售人员存在通过微信朋友圈私自发布</t>
        </r>
        <r>
          <rPr>
            <sz val="9"/>
            <color indexed="81"/>
            <rFont val="Tahoma"/>
            <family val="2"/>
          </rPr>
          <t>“</t>
        </r>
        <r>
          <rPr>
            <sz val="9"/>
            <color indexed="81"/>
            <rFont val="宋体"/>
            <family val="3"/>
            <charset val="134"/>
          </rPr>
          <t>理财</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返本</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停售</t>
        </r>
        <r>
          <rPr>
            <sz val="9"/>
            <color indexed="81"/>
            <rFont val="Tahoma"/>
            <family val="2"/>
          </rPr>
          <t>”</t>
        </r>
        <r>
          <rPr>
            <sz val="9"/>
            <color indexed="81"/>
            <rFont val="宋体"/>
            <family val="3"/>
            <charset val="134"/>
          </rPr>
          <t>等违规字眼的信息。（涉及报告及报送时间：</t>
        </r>
        <r>
          <rPr>
            <sz val="9"/>
            <color indexed="81"/>
            <rFont val="Tahoma"/>
            <family val="2"/>
          </rPr>
          <t>20180325--</t>
        </r>
        <r>
          <rPr>
            <sz val="9"/>
            <color indexed="81"/>
            <rFont val="宋体"/>
            <family val="3"/>
            <charset val="134"/>
          </rPr>
          <t>治乱打非报告）</t>
        </r>
        <r>
          <rPr>
            <sz val="9"/>
            <color indexed="81"/>
            <rFont val="Tahoma"/>
            <family val="2"/>
          </rPr>
          <t>b</t>
        </r>
        <r>
          <rPr>
            <sz val="9"/>
            <color indexed="81"/>
            <rFont val="宋体"/>
            <family val="3"/>
            <charset val="134"/>
          </rPr>
          <t>、个别人员存在私自印制展业宣传资料的违规行为；（涉及报告及报送时间：</t>
        </r>
        <r>
          <rPr>
            <sz val="9"/>
            <color indexed="81"/>
            <rFont val="Tahoma"/>
            <family val="2"/>
          </rPr>
          <t>20180325--</t>
        </r>
        <r>
          <rPr>
            <sz val="9"/>
            <color indexed="81"/>
            <rFont val="宋体"/>
            <family val="3"/>
            <charset val="134"/>
          </rPr>
          <t>治乱打非报告）</t>
        </r>
        <r>
          <rPr>
            <sz val="9"/>
            <color indexed="81"/>
            <rFont val="Tahoma"/>
            <family val="2"/>
          </rPr>
          <t>c</t>
        </r>
        <r>
          <rPr>
            <sz val="9"/>
            <color indexed="81"/>
            <rFont val="宋体"/>
            <family val="3"/>
            <charset val="134"/>
          </rPr>
          <t>、苏州、徐州、泰州机构个别培训课件中存在</t>
        </r>
        <r>
          <rPr>
            <sz val="9"/>
            <color indexed="81"/>
            <rFont val="Tahoma"/>
            <family val="2"/>
          </rPr>
          <t>“</t>
        </r>
        <r>
          <rPr>
            <sz val="9"/>
            <color indexed="81"/>
            <rFont val="宋体"/>
            <family val="3"/>
            <charset val="134"/>
          </rPr>
          <t>存</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理财</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返本</t>
        </r>
        <r>
          <rPr>
            <sz val="9"/>
            <color indexed="81"/>
            <rFont val="Tahoma"/>
            <family val="2"/>
          </rPr>
          <t>”</t>
        </r>
        <r>
          <rPr>
            <sz val="9"/>
            <color indexed="81"/>
            <rFont val="宋体"/>
            <family val="3"/>
            <charset val="134"/>
          </rPr>
          <t>等违规的销售误导字眼；（涉及报告及报送时间：</t>
        </r>
        <r>
          <rPr>
            <sz val="9"/>
            <color indexed="81"/>
            <rFont val="Tahoma"/>
            <family val="2"/>
          </rPr>
          <t>20180325--</t>
        </r>
        <r>
          <rPr>
            <sz val="9"/>
            <color indexed="81"/>
            <rFont val="宋体"/>
            <family val="3"/>
            <charset val="134"/>
          </rPr>
          <t>治乱打非报告）</t>
        </r>
        <r>
          <rPr>
            <sz val="9"/>
            <color indexed="81"/>
            <rFont val="Tahoma"/>
            <family val="2"/>
          </rPr>
          <t>d</t>
        </r>
        <r>
          <rPr>
            <sz val="9"/>
            <color indexed="81"/>
            <rFont val="宋体"/>
            <family val="3"/>
            <charset val="134"/>
          </rPr>
          <t>、个别经代公司在</t>
        </r>
        <r>
          <rPr>
            <sz val="9"/>
            <color indexed="81"/>
            <rFont val="Tahoma"/>
            <family val="2"/>
          </rPr>
          <t>2007</t>
        </r>
        <r>
          <rPr>
            <sz val="9"/>
            <color indexed="81"/>
            <rFont val="宋体"/>
            <family val="3"/>
            <charset val="134"/>
          </rPr>
          <t>年销售的领创未来累积式分红保险</t>
        </r>
        <r>
          <rPr>
            <sz val="9"/>
            <color indexed="81"/>
            <rFont val="Tahoma"/>
            <family val="2"/>
          </rPr>
          <t>D</t>
        </r>
        <r>
          <rPr>
            <sz val="9"/>
            <color indexed="81"/>
            <rFont val="宋体"/>
            <family val="3"/>
            <charset val="134"/>
          </rPr>
          <t>款产品时可能存在夸大收益的行为；（涉及报告及报送时间：</t>
        </r>
        <r>
          <rPr>
            <sz val="9"/>
            <color indexed="81"/>
            <rFont val="Tahoma"/>
            <family val="2"/>
          </rPr>
          <t>20170630</t>
        </r>
        <r>
          <rPr>
            <sz val="9"/>
            <color indexed="81"/>
            <rFont val="宋体"/>
            <family val="3"/>
            <charset val="134"/>
          </rPr>
          <t>关于开展销售管理情况自查自纠的报告、</t>
        </r>
        <r>
          <rPr>
            <sz val="9"/>
            <color indexed="81"/>
            <rFont val="Tahoma"/>
            <family val="2"/>
          </rPr>
          <t>20180325--</t>
        </r>
        <r>
          <rPr>
            <sz val="9"/>
            <color indexed="81"/>
            <rFont val="宋体"/>
            <family val="3"/>
            <charset val="134"/>
          </rPr>
          <t>治乱打非报告）</t>
        </r>
        <r>
          <rPr>
            <sz val="9"/>
            <color indexed="81"/>
            <rFont val="Tahoma"/>
            <family val="2"/>
          </rPr>
          <t>e</t>
        </r>
        <r>
          <rPr>
            <sz val="9"/>
            <color indexed="81"/>
            <rFont val="宋体"/>
            <family val="3"/>
            <charset val="134"/>
          </rPr>
          <t>、个别销售人员在销售过程中存在夸大收益等销售误导行为；（涉及报告及报送时间：</t>
        </r>
        <r>
          <rPr>
            <sz val="9"/>
            <color indexed="81"/>
            <rFont val="Tahoma"/>
            <family val="2"/>
          </rPr>
          <t>20180325--</t>
        </r>
        <r>
          <rPr>
            <sz val="9"/>
            <color indexed="81"/>
            <rFont val="宋体"/>
            <family val="3"/>
            <charset val="134"/>
          </rPr>
          <t xml:space="preserve">治乱打非报告）
</t>
        </r>
        <r>
          <rPr>
            <sz val="9"/>
            <color indexed="81"/>
            <rFont val="Tahoma"/>
            <family val="2"/>
          </rPr>
          <t>2)</t>
        </r>
        <r>
          <rPr>
            <sz val="9"/>
            <color indexed="81"/>
            <rFont val="宋体"/>
            <family val="3"/>
            <charset val="134"/>
          </rPr>
          <t>、</t>
        </r>
        <r>
          <rPr>
            <sz val="9"/>
            <color indexed="81"/>
            <rFont val="Tahoma"/>
            <family val="2"/>
          </rPr>
          <t>2018</t>
        </r>
        <r>
          <rPr>
            <sz val="9"/>
            <color indexed="81"/>
            <rFont val="宋体"/>
            <family val="3"/>
            <charset val="134"/>
          </rPr>
          <t>年二季度发现以下问题：</t>
        </r>
        <r>
          <rPr>
            <sz val="9"/>
            <color indexed="81"/>
            <rFont val="Tahoma"/>
            <family val="2"/>
          </rPr>
          <t>a</t>
        </r>
        <r>
          <rPr>
            <sz val="9"/>
            <color indexed="81"/>
            <rFont val="宋体"/>
            <family val="3"/>
            <charset val="134"/>
          </rPr>
          <t>、部分机构销售人员存在通过微信朋友圈私自发布</t>
        </r>
        <r>
          <rPr>
            <sz val="9"/>
            <color indexed="81"/>
            <rFont val="Tahoma"/>
            <family val="2"/>
          </rPr>
          <t>“</t>
        </r>
        <r>
          <rPr>
            <sz val="9"/>
            <color indexed="81"/>
            <rFont val="宋体"/>
            <family val="3"/>
            <charset val="134"/>
          </rPr>
          <t>理财</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返本</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停售</t>
        </r>
        <r>
          <rPr>
            <sz val="9"/>
            <color indexed="81"/>
            <rFont val="Tahoma"/>
            <family val="2"/>
          </rPr>
          <t>”</t>
        </r>
        <r>
          <rPr>
            <sz val="9"/>
            <color indexed="81"/>
            <rFont val="宋体"/>
            <family val="3"/>
            <charset val="134"/>
          </rPr>
          <t>等违规字眼的信息。（涉及报告及报告时间：</t>
        </r>
        <r>
          <rPr>
            <sz val="9"/>
            <color indexed="81"/>
            <rFont val="Tahoma"/>
            <family val="2"/>
          </rPr>
          <t>20180428-“</t>
        </r>
        <r>
          <rPr>
            <sz val="9"/>
            <color indexed="81"/>
            <rFont val="宋体"/>
            <family val="3"/>
            <charset val="134"/>
          </rPr>
          <t>重塑监管</t>
        </r>
        <r>
          <rPr>
            <sz val="9"/>
            <color indexed="81"/>
            <rFont val="Tahoma"/>
            <family val="2"/>
          </rPr>
          <t xml:space="preserve"> </t>
        </r>
        <r>
          <rPr>
            <sz val="9"/>
            <color indexed="81"/>
            <rFont val="宋体"/>
            <family val="3"/>
            <charset val="134"/>
          </rPr>
          <t>保险监管大巡查大整治防风险</t>
        </r>
        <r>
          <rPr>
            <sz val="9"/>
            <color indexed="81"/>
            <rFont val="Tahoma"/>
            <family val="2"/>
          </rPr>
          <t>”</t>
        </r>
        <r>
          <rPr>
            <sz val="9"/>
            <color indexed="81"/>
            <rFont val="宋体"/>
            <family val="3"/>
            <charset val="134"/>
          </rPr>
          <t>行动的总结报告）；</t>
        </r>
        <r>
          <rPr>
            <sz val="9"/>
            <color indexed="81"/>
            <rFont val="Tahoma"/>
            <family val="2"/>
          </rPr>
          <t>b</t>
        </r>
        <r>
          <rPr>
            <sz val="9"/>
            <color indexed="81"/>
            <rFont val="宋体"/>
            <family val="3"/>
            <charset val="134"/>
          </rPr>
          <t>、南京、扬州、盐城机构个别内部培训课件中存在</t>
        </r>
        <r>
          <rPr>
            <sz val="9"/>
            <color indexed="81"/>
            <rFont val="Tahoma"/>
            <family val="2"/>
          </rPr>
          <t>“</t>
        </r>
        <r>
          <rPr>
            <sz val="9"/>
            <color indexed="81"/>
            <rFont val="宋体"/>
            <family val="3"/>
            <charset val="134"/>
          </rPr>
          <t>存</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理财</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返本</t>
        </r>
        <r>
          <rPr>
            <sz val="9"/>
            <color indexed="81"/>
            <rFont val="Tahoma"/>
            <family val="2"/>
          </rPr>
          <t>”</t>
        </r>
        <r>
          <rPr>
            <sz val="9"/>
            <color indexed="81"/>
            <rFont val="宋体"/>
            <family val="3"/>
            <charset val="134"/>
          </rPr>
          <t>等违规的销售误导字眼。（涉及报告及报告时间：</t>
        </r>
        <r>
          <rPr>
            <sz val="9"/>
            <color indexed="81"/>
            <rFont val="Tahoma"/>
            <family val="2"/>
          </rPr>
          <t>20180428-“</t>
        </r>
        <r>
          <rPr>
            <sz val="9"/>
            <color indexed="81"/>
            <rFont val="宋体"/>
            <family val="3"/>
            <charset val="134"/>
          </rPr>
          <t>重塑监管</t>
        </r>
        <r>
          <rPr>
            <sz val="9"/>
            <color indexed="81"/>
            <rFont val="Tahoma"/>
            <family val="2"/>
          </rPr>
          <t xml:space="preserve"> </t>
        </r>
        <r>
          <rPr>
            <sz val="9"/>
            <color indexed="81"/>
            <rFont val="宋体"/>
            <family val="3"/>
            <charset val="134"/>
          </rPr>
          <t>保险监管大巡查大整治防风险</t>
        </r>
        <r>
          <rPr>
            <sz val="9"/>
            <color indexed="81"/>
            <rFont val="Tahoma"/>
            <family val="2"/>
          </rPr>
          <t>”</t>
        </r>
        <r>
          <rPr>
            <sz val="9"/>
            <color indexed="81"/>
            <rFont val="宋体"/>
            <family val="3"/>
            <charset val="134"/>
          </rPr>
          <t xml:space="preserve">行动的总结报告）
</t>
        </r>
        <r>
          <rPr>
            <sz val="9"/>
            <color indexed="81"/>
            <rFont val="Tahoma"/>
            <family val="2"/>
          </rPr>
          <t>3</t>
        </r>
        <r>
          <rPr>
            <sz val="9"/>
            <color indexed="81"/>
            <rFont val="宋体"/>
            <family val="3"/>
            <charset val="134"/>
          </rPr>
          <t>）</t>
        </r>
        <r>
          <rPr>
            <sz val="9"/>
            <color indexed="81"/>
            <rFont val="Tahoma"/>
            <family val="2"/>
          </rPr>
          <t>2018</t>
        </r>
        <r>
          <rPr>
            <sz val="9"/>
            <color indexed="81"/>
            <rFont val="宋体"/>
            <family val="3"/>
            <charset val="134"/>
          </rPr>
          <t>年三季度发现以下问题：</t>
        </r>
        <r>
          <rPr>
            <sz val="9"/>
            <color indexed="81"/>
            <rFont val="Tahoma"/>
            <family val="2"/>
          </rPr>
          <t>a</t>
        </r>
        <r>
          <rPr>
            <sz val="9"/>
            <color indexed="81"/>
            <rFont val="宋体"/>
            <family val="3"/>
            <charset val="134"/>
          </rPr>
          <t>、在</t>
        </r>
        <r>
          <rPr>
            <sz val="9"/>
            <color indexed="81"/>
            <rFont val="Tahoma"/>
            <family val="2"/>
          </rPr>
          <t>“</t>
        </r>
        <r>
          <rPr>
            <sz val="9"/>
            <color indexed="81"/>
            <rFont val="宋体"/>
            <family val="3"/>
            <charset val="134"/>
          </rPr>
          <t>销售过程中存在夸大保险责任或保险产品利益</t>
        </r>
        <r>
          <rPr>
            <sz val="9"/>
            <color indexed="81"/>
            <rFont val="Tahoma"/>
            <family val="2"/>
          </rPr>
          <t>”</t>
        </r>
        <r>
          <rPr>
            <sz val="9"/>
            <color indexed="81"/>
            <rFont val="宋体"/>
            <family val="3"/>
            <charset val="134"/>
          </rPr>
          <t>方面，通过投诉清单等排查，发现个别经代公司在</t>
        </r>
        <r>
          <rPr>
            <sz val="9"/>
            <color indexed="81"/>
            <rFont val="Tahoma"/>
            <family val="2"/>
          </rPr>
          <t>2007</t>
        </r>
        <r>
          <rPr>
            <sz val="9"/>
            <color indexed="81"/>
            <rFont val="宋体"/>
            <family val="3"/>
            <charset val="134"/>
          </rPr>
          <t>年销售的领创未来累积式分红保险</t>
        </r>
        <r>
          <rPr>
            <sz val="9"/>
            <color indexed="81"/>
            <rFont val="Tahoma"/>
            <family val="2"/>
          </rPr>
          <t>D</t>
        </r>
        <r>
          <rPr>
            <sz val="9"/>
            <color indexed="81"/>
            <rFont val="宋体"/>
            <family val="3"/>
            <charset val="134"/>
          </rPr>
          <t>款产品时可能存在夸大收益的行为。针对该问题，公司已经通过完善的内部处置流程在发现问题的第一时间进行跟进并妥善处理。（涉及报告及报送时间：</t>
        </r>
        <r>
          <rPr>
            <sz val="9"/>
            <color indexed="81"/>
            <rFont val="Tahoma"/>
            <family val="2"/>
          </rPr>
          <t>20180730-</t>
        </r>
        <r>
          <rPr>
            <sz val="9"/>
            <color indexed="81"/>
            <rFont val="宋体"/>
            <family val="3"/>
            <charset val="134"/>
          </rPr>
          <t>年度风险排查）；</t>
        </r>
        <r>
          <rPr>
            <sz val="9"/>
            <color indexed="81"/>
            <rFont val="Tahoma"/>
            <family val="2"/>
          </rPr>
          <t>b</t>
        </r>
        <r>
          <rPr>
            <sz val="9"/>
            <color indexed="81"/>
            <rFont val="宋体"/>
            <family val="3"/>
            <charset val="134"/>
          </rPr>
          <t>、个别销售人员存在通过微信朋友圈私自发布未经公司审核的保险营销宣传信息的行为。（涉及报告及报告时间：</t>
        </r>
        <r>
          <rPr>
            <sz val="9"/>
            <color indexed="81"/>
            <rFont val="Tahoma"/>
            <family val="2"/>
          </rPr>
          <t>20180730-</t>
        </r>
        <r>
          <rPr>
            <sz val="9"/>
            <color indexed="81"/>
            <rFont val="宋体"/>
            <family val="3"/>
            <charset val="134"/>
          </rPr>
          <t>关于加强自媒体保险营销宣传行为管控的自查报告）</t>
        </r>
      </text>
    </comment>
    <comment ref="AT28" authorId="0">
      <text>
        <r>
          <rPr>
            <b/>
            <sz val="9"/>
            <color indexed="81"/>
            <rFont val="宋体"/>
            <family val="3"/>
            <charset val="134"/>
          </rPr>
          <t>徐梦薇</t>
        </r>
        <r>
          <rPr>
            <b/>
            <sz val="9"/>
            <color indexed="81"/>
            <rFont val="Tahoma"/>
            <family val="2"/>
          </rPr>
          <t>/Mengwei Xu:</t>
        </r>
        <r>
          <rPr>
            <sz val="9"/>
            <color indexed="81"/>
            <rFont val="Tahoma"/>
            <family val="2"/>
          </rPr>
          <t xml:space="preserve">
2018</t>
        </r>
        <r>
          <rPr>
            <sz val="9"/>
            <color indexed="81"/>
            <rFont val="宋体"/>
            <family val="3"/>
            <charset val="134"/>
          </rPr>
          <t>年</t>
        </r>
        <r>
          <rPr>
            <sz val="9"/>
            <color indexed="81"/>
            <rFont val="Tahoma"/>
            <family val="2"/>
          </rPr>
          <t>3</t>
        </r>
        <r>
          <rPr>
            <sz val="9"/>
            <color indexed="81"/>
            <rFont val="宋体"/>
            <family val="3"/>
            <charset val="134"/>
          </rPr>
          <t>、</t>
        </r>
        <r>
          <rPr>
            <sz val="9"/>
            <color indexed="81"/>
            <rFont val="Tahoma"/>
            <family val="2"/>
          </rPr>
          <t>4</t>
        </r>
        <r>
          <rPr>
            <sz val="9"/>
            <color indexed="81"/>
            <rFont val="宋体"/>
            <family val="3"/>
            <charset val="134"/>
          </rPr>
          <t>季度，</t>
        </r>
        <r>
          <rPr>
            <sz val="9"/>
            <color indexed="81"/>
            <rFont val="Tahoma"/>
            <family val="2"/>
          </rPr>
          <t>2019</t>
        </r>
        <r>
          <rPr>
            <sz val="9"/>
            <color indexed="81"/>
            <rFont val="宋体"/>
            <family val="3"/>
            <charset val="134"/>
          </rPr>
          <t>年</t>
        </r>
        <r>
          <rPr>
            <sz val="9"/>
            <color indexed="81"/>
            <rFont val="Tahoma"/>
            <family val="2"/>
          </rPr>
          <t>1</t>
        </r>
        <r>
          <rPr>
            <sz val="9"/>
            <color indexed="81"/>
            <rFont val="宋体"/>
            <family val="3"/>
            <charset val="134"/>
          </rPr>
          <t>、</t>
        </r>
        <r>
          <rPr>
            <sz val="9"/>
            <color indexed="81"/>
            <rFont val="Tahoma"/>
            <family val="2"/>
          </rPr>
          <t>2</t>
        </r>
        <r>
          <rPr>
            <sz val="9"/>
            <color indexed="81"/>
            <rFont val="宋体"/>
            <family val="3"/>
            <charset val="134"/>
          </rPr>
          <t xml:space="preserve">季度开展风险排查
</t>
        </r>
        <r>
          <rPr>
            <sz val="9"/>
            <color indexed="81"/>
            <rFont val="Tahoma"/>
            <family val="2"/>
          </rPr>
          <t>1</t>
        </r>
        <r>
          <rPr>
            <sz val="9"/>
            <color indexed="81"/>
            <rFont val="宋体"/>
            <family val="3"/>
            <charset val="134"/>
          </rPr>
          <t>）</t>
        </r>
        <r>
          <rPr>
            <sz val="9"/>
            <color indexed="81"/>
            <rFont val="Tahoma"/>
            <family val="2"/>
          </rPr>
          <t>2018</t>
        </r>
        <r>
          <rPr>
            <sz val="9"/>
            <color indexed="81"/>
            <rFont val="宋体"/>
            <family val="3"/>
            <charset val="134"/>
          </rPr>
          <t>年三季度发现以下问题：</t>
        </r>
        <r>
          <rPr>
            <sz val="9"/>
            <color indexed="81"/>
            <rFont val="Tahoma"/>
            <family val="2"/>
          </rPr>
          <t>a</t>
        </r>
        <r>
          <rPr>
            <sz val="9"/>
            <color indexed="81"/>
            <rFont val="宋体"/>
            <family val="3"/>
            <charset val="134"/>
          </rPr>
          <t>、在</t>
        </r>
        <r>
          <rPr>
            <sz val="9"/>
            <color indexed="81"/>
            <rFont val="Tahoma"/>
            <family val="2"/>
          </rPr>
          <t>“</t>
        </r>
        <r>
          <rPr>
            <sz val="9"/>
            <color indexed="81"/>
            <rFont val="宋体"/>
            <family val="3"/>
            <charset val="134"/>
          </rPr>
          <t>销售过程中存在夸大保险责任或保险产品利益</t>
        </r>
        <r>
          <rPr>
            <sz val="9"/>
            <color indexed="81"/>
            <rFont val="Tahoma"/>
            <family val="2"/>
          </rPr>
          <t>”</t>
        </r>
        <r>
          <rPr>
            <sz val="9"/>
            <color indexed="81"/>
            <rFont val="宋体"/>
            <family val="3"/>
            <charset val="134"/>
          </rPr>
          <t>方面，通过投诉清单等排查，发现个别经代公司在</t>
        </r>
        <r>
          <rPr>
            <sz val="9"/>
            <color indexed="81"/>
            <rFont val="Tahoma"/>
            <family val="2"/>
          </rPr>
          <t>2007</t>
        </r>
        <r>
          <rPr>
            <sz val="9"/>
            <color indexed="81"/>
            <rFont val="宋体"/>
            <family val="3"/>
            <charset val="134"/>
          </rPr>
          <t>年销售的领创未来累积式分红保险</t>
        </r>
        <r>
          <rPr>
            <sz val="9"/>
            <color indexed="81"/>
            <rFont val="Tahoma"/>
            <family val="2"/>
          </rPr>
          <t>D</t>
        </r>
        <r>
          <rPr>
            <sz val="9"/>
            <color indexed="81"/>
            <rFont val="宋体"/>
            <family val="3"/>
            <charset val="134"/>
          </rPr>
          <t>款产品时可能存在夸大收益的行为。针对该问题，公司已经通过完善的内部处置流程在发现问题的第一时间进行跟进并妥善处理。（涉及报告及报送时间：</t>
        </r>
        <r>
          <rPr>
            <sz val="9"/>
            <color indexed="81"/>
            <rFont val="Tahoma"/>
            <family val="2"/>
          </rPr>
          <t>20180730-</t>
        </r>
        <r>
          <rPr>
            <sz val="9"/>
            <color indexed="81"/>
            <rFont val="宋体"/>
            <family val="3"/>
            <charset val="134"/>
          </rPr>
          <t>年度风险排查）；</t>
        </r>
        <r>
          <rPr>
            <sz val="9"/>
            <color indexed="81"/>
            <rFont val="Tahoma"/>
            <family val="2"/>
          </rPr>
          <t>b</t>
        </r>
        <r>
          <rPr>
            <sz val="9"/>
            <color indexed="81"/>
            <rFont val="宋体"/>
            <family val="3"/>
            <charset val="134"/>
          </rPr>
          <t>、个别销售人员存在通过微信朋友圈私自发布未经公司审核的保险营销宣传信息的行为。（涉及报告及报告时间：</t>
        </r>
        <r>
          <rPr>
            <sz val="9"/>
            <color indexed="81"/>
            <rFont val="Tahoma"/>
            <family val="2"/>
          </rPr>
          <t>20180730-</t>
        </r>
        <r>
          <rPr>
            <sz val="9"/>
            <color indexed="81"/>
            <rFont val="宋体"/>
            <family val="3"/>
            <charset val="134"/>
          </rPr>
          <t xml:space="preserve">关于加强自媒体保险营销宣传行为管控的自查报告）
</t>
        </r>
        <r>
          <rPr>
            <sz val="9"/>
            <color indexed="81"/>
            <rFont val="Tahoma"/>
            <family val="2"/>
          </rPr>
          <t>2</t>
        </r>
        <r>
          <rPr>
            <sz val="9"/>
            <color indexed="81"/>
            <rFont val="宋体"/>
            <family val="3"/>
            <charset val="134"/>
          </rPr>
          <t>）</t>
        </r>
        <r>
          <rPr>
            <sz val="9"/>
            <color indexed="81"/>
            <rFont val="Tahoma"/>
            <family val="2"/>
          </rPr>
          <t>2019</t>
        </r>
        <r>
          <rPr>
            <sz val="9"/>
            <color indexed="81"/>
            <rFont val="宋体"/>
            <family val="3"/>
            <charset val="134"/>
          </rPr>
          <t>年二季度发现以下问题：</t>
        </r>
        <r>
          <rPr>
            <sz val="9"/>
            <color indexed="81"/>
            <rFont val="Tahoma"/>
            <family val="2"/>
          </rPr>
          <t>a</t>
        </r>
        <r>
          <rPr>
            <sz val="9"/>
            <color indexed="81"/>
            <rFont val="宋体"/>
            <family val="3"/>
            <charset val="134"/>
          </rPr>
          <t>、盐城、南通机构个别培训课件中存在同业产品对比的情况；（涉及报告及报告时间：</t>
        </r>
        <r>
          <rPr>
            <sz val="9"/>
            <color indexed="81"/>
            <rFont val="Tahoma"/>
            <family val="2"/>
          </rPr>
          <t>20190620-“</t>
        </r>
        <r>
          <rPr>
            <sz val="9"/>
            <color indexed="81"/>
            <rFont val="宋体"/>
            <family val="3"/>
            <charset val="134"/>
          </rPr>
          <t>关于开展巩固治乱象成果</t>
        </r>
        <r>
          <rPr>
            <sz val="9"/>
            <color indexed="81"/>
            <rFont val="Tahoma"/>
            <family val="2"/>
          </rPr>
          <t xml:space="preserve"> </t>
        </r>
        <r>
          <rPr>
            <sz val="9"/>
            <color indexed="81"/>
            <rFont val="宋体"/>
            <family val="3"/>
            <charset val="134"/>
          </rPr>
          <t>促进合规建设工作的报告</t>
        </r>
        <r>
          <rPr>
            <sz val="9"/>
            <color indexed="81"/>
            <rFont val="Tahoma"/>
            <family val="2"/>
          </rPr>
          <t>”</t>
        </r>
        <r>
          <rPr>
            <sz val="9"/>
            <color indexed="81"/>
            <rFont val="宋体"/>
            <family val="3"/>
            <charset val="134"/>
          </rPr>
          <t>）；</t>
        </r>
        <r>
          <rPr>
            <sz val="9"/>
            <color indexed="81"/>
            <rFont val="Tahoma"/>
            <family val="2"/>
          </rPr>
          <t>b</t>
        </r>
        <r>
          <rPr>
            <sz val="9"/>
            <color indexed="81"/>
            <rFont val="宋体"/>
            <family val="3"/>
            <charset val="134"/>
          </rPr>
          <t>、个别经代公司在</t>
        </r>
        <r>
          <rPr>
            <sz val="9"/>
            <color indexed="81"/>
            <rFont val="Tahoma"/>
            <family val="2"/>
          </rPr>
          <t>2007</t>
        </r>
        <r>
          <rPr>
            <sz val="9"/>
            <color indexed="81"/>
            <rFont val="宋体"/>
            <family val="3"/>
            <charset val="134"/>
          </rPr>
          <t>年销售的领创未来累积式分红保险</t>
        </r>
        <r>
          <rPr>
            <sz val="9"/>
            <color indexed="81"/>
            <rFont val="Tahoma"/>
            <family val="2"/>
          </rPr>
          <t>D</t>
        </r>
        <r>
          <rPr>
            <sz val="9"/>
            <color indexed="81"/>
            <rFont val="宋体"/>
            <family val="3"/>
            <charset val="134"/>
          </rPr>
          <t>款产品时可能存在夸大收益的行为。（涉及报告及报告时间：</t>
        </r>
        <r>
          <rPr>
            <sz val="9"/>
            <color indexed="81"/>
            <rFont val="Tahoma"/>
            <family val="2"/>
          </rPr>
          <t>20190620-“</t>
        </r>
        <r>
          <rPr>
            <sz val="9"/>
            <color indexed="81"/>
            <rFont val="宋体"/>
            <family val="3"/>
            <charset val="134"/>
          </rPr>
          <t>关于开展巩固治乱象成果</t>
        </r>
        <r>
          <rPr>
            <sz val="9"/>
            <color indexed="81"/>
            <rFont val="Tahoma"/>
            <family val="2"/>
          </rPr>
          <t xml:space="preserve"> </t>
        </r>
        <r>
          <rPr>
            <sz val="9"/>
            <color indexed="81"/>
            <rFont val="宋体"/>
            <family val="3"/>
            <charset val="134"/>
          </rPr>
          <t>促进合规建设工作的报告</t>
        </r>
        <r>
          <rPr>
            <sz val="9"/>
            <color indexed="81"/>
            <rFont val="Tahoma"/>
            <family val="2"/>
          </rPr>
          <t>”</t>
        </r>
        <r>
          <rPr>
            <sz val="9"/>
            <color indexed="81"/>
            <rFont val="宋体"/>
            <family val="3"/>
            <charset val="134"/>
          </rPr>
          <t>）；个别机构销售人员存在通过微信朋友圈私自发布</t>
        </r>
        <r>
          <rPr>
            <sz val="9"/>
            <color indexed="81"/>
            <rFont val="Tahoma"/>
            <family val="2"/>
          </rPr>
          <t>“</t>
        </r>
        <r>
          <rPr>
            <sz val="9"/>
            <color indexed="81"/>
            <rFont val="宋体"/>
            <family val="3"/>
            <charset val="134"/>
          </rPr>
          <t>存</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返本</t>
        </r>
        <r>
          <rPr>
            <sz val="9"/>
            <color indexed="81"/>
            <rFont val="Tahoma"/>
            <family val="2"/>
          </rPr>
          <t>”</t>
        </r>
        <r>
          <rPr>
            <sz val="9"/>
            <color indexed="81"/>
            <rFont val="宋体"/>
            <family val="3"/>
            <charset val="134"/>
          </rPr>
          <t>等违规字眼的信息。（涉及报告及报告时间：</t>
        </r>
        <r>
          <rPr>
            <sz val="9"/>
            <color indexed="81"/>
            <rFont val="Tahoma"/>
            <family val="2"/>
          </rPr>
          <t>20190620-“</t>
        </r>
        <r>
          <rPr>
            <sz val="9"/>
            <color indexed="81"/>
            <rFont val="宋体"/>
            <family val="3"/>
            <charset val="134"/>
          </rPr>
          <t>关于开展巩固治乱象成果</t>
        </r>
        <r>
          <rPr>
            <sz val="9"/>
            <color indexed="81"/>
            <rFont val="Tahoma"/>
            <family val="2"/>
          </rPr>
          <t xml:space="preserve"> </t>
        </r>
        <r>
          <rPr>
            <sz val="9"/>
            <color indexed="81"/>
            <rFont val="宋体"/>
            <family val="3"/>
            <charset val="134"/>
          </rPr>
          <t>促进合规建设工作的报告</t>
        </r>
        <r>
          <rPr>
            <sz val="9"/>
            <color indexed="81"/>
            <rFont val="Tahoma"/>
            <family val="2"/>
          </rPr>
          <t>”</t>
        </r>
        <r>
          <rPr>
            <sz val="9"/>
            <color indexed="81"/>
            <rFont val="宋体"/>
            <family val="3"/>
            <charset val="134"/>
          </rPr>
          <t>；</t>
        </r>
        <r>
          <rPr>
            <sz val="9"/>
            <color indexed="81"/>
            <rFont val="Tahoma"/>
            <family val="2"/>
          </rPr>
          <t>20190625--</t>
        </r>
        <r>
          <rPr>
            <sz val="9"/>
            <color indexed="81"/>
            <rFont val="宋体"/>
            <family val="3"/>
            <charset val="134"/>
          </rPr>
          <t>关于开展</t>
        </r>
        <r>
          <rPr>
            <sz val="9"/>
            <color indexed="81"/>
            <rFont val="Tahoma"/>
            <family val="2"/>
          </rPr>
          <t>2019</t>
        </r>
        <r>
          <rPr>
            <sz val="9"/>
            <color indexed="81"/>
            <rFont val="宋体"/>
            <family val="3"/>
            <charset val="134"/>
          </rPr>
          <t>年保险中介市场乱象整治自查自纠工作的报告）</t>
        </r>
      </text>
    </comment>
    <comment ref="AX28" authorId="0">
      <text>
        <r>
          <rPr>
            <b/>
            <sz val="9"/>
            <color indexed="81"/>
            <rFont val="宋体"/>
            <family val="3"/>
            <charset val="134"/>
          </rPr>
          <t>徐梦薇</t>
        </r>
        <r>
          <rPr>
            <b/>
            <sz val="9"/>
            <color indexed="81"/>
            <rFont val="Tahoma"/>
            <family val="2"/>
          </rPr>
          <t>/Mengwei Xu:</t>
        </r>
        <r>
          <rPr>
            <sz val="9"/>
            <color indexed="81"/>
            <rFont val="Tahoma"/>
            <family val="2"/>
          </rPr>
          <t xml:space="preserve">
2017</t>
        </r>
        <r>
          <rPr>
            <sz val="9"/>
            <color indexed="81"/>
            <rFont val="宋体"/>
            <family val="3"/>
            <charset val="134"/>
          </rPr>
          <t>年</t>
        </r>
        <r>
          <rPr>
            <sz val="9"/>
            <color indexed="81"/>
            <rFont val="Tahoma"/>
            <family val="2"/>
          </rPr>
          <t>3</t>
        </r>
        <r>
          <rPr>
            <sz val="9"/>
            <color indexed="81"/>
            <rFont val="宋体"/>
            <family val="3"/>
            <charset val="134"/>
          </rPr>
          <t>季度开展的年度风险排查和非法集资广告资讯排查中，发现销售人员不合规宣传材料、课件</t>
        </r>
        <r>
          <rPr>
            <sz val="9"/>
            <color indexed="81"/>
            <rFont val="Tahoma"/>
            <family val="2"/>
          </rPr>
          <t>1</t>
        </r>
        <r>
          <rPr>
            <sz val="9"/>
            <color indexed="81"/>
            <rFont val="宋体"/>
            <family val="3"/>
            <charset val="134"/>
          </rPr>
          <t>项风险事件；</t>
        </r>
        <r>
          <rPr>
            <sz val="9"/>
            <color indexed="81"/>
            <rFont val="Tahoma"/>
            <family val="2"/>
          </rPr>
          <t>2017</t>
        </r>
        <r>
          <rPr>
            <sz val="9"/>
            <color indexed="81"/>
            <rFont val="宋体"/>
            <family val="3"/>
            <charset val="134"/>
          </rPr>
          <t>年</t>
        </r>
        <r>
          <rPr>
            <sz val="9"/>
            <color indexed="81"/>
            <rFont val="Tahoma"/>
            <family val="2"/>
          </rPr>
          <t>4</t>
        </r>
        <r>
          <rPr>
            <sz val="9"/>
            <color indexed="81"/>
            <rFont val="宋体"/>
            <family val="3"/>
            <charset val="134"/>
          </rPr>
          <t>季度再次开展保险产品销售管理情况自查自纠工作中，发现代签名、代抄录</t>
        </r>
        <r>
          <rPr>
            <sz val="9"/>
            <color indexed="81"/>
            <rFont val="Tahoma"/>
            <family val="2"/>
          </rPr>
          <t>1</t>
        </r>
        <r>
          <rPr>
            <sz val="9"/>
            <color indexed="81"/>
            <rFont val="宋体"/>
            <family val="3"/>
            <charset val="134"/>
          </rPr>
          <t>项风险事件；</t>
        </r>
        <r>
          <rPr>
            <sz val="9"/>
            <color indexed="81"/>
            <rFont val="Tahoma"/>
            <family val="2"/>
          </rPr>
          <t>2018</t>
        </r>
        <r>
          <rPr>
            <sz val="9"/>
            <color indexed="81"/>
            <rFont val="宋体"/>
            <family val="3"/>
            <charset val="134"/>
          </rPr>
          <t>年</t>
        </r>
        <r>
          <rPr>
            <sz val="9"/>
            <color indexed="81"/>
            <rFont val="Tahoma"/>
            <family val="2"/>
          </rPr>
          <t>1</t>
        </r>
        <r>
          <rPr>
            <sz val="9"/>
            <color indexed="81"/>
            <rFont val="宋体"/>
            <family val="3"/>
            <charset val="134"/>
          </rPr>
          <t>季度治理销售乱象打击非法经营专项行动中，发现销售人员私自制作宣传材料</t>
        </r>
        <r>
          <rPr>
            <sz val="9"/>
            <color indexed="81"/>
            <rFont val="Tahoma"/>
            <family val="2"/>
          </rPr>
          <t>1</t>
        </r>
        <r>
          <rPr>
            <sz val="9"/>
            <color indexed="81"/>
            <rFont val="宋体"/>
            <family val="3"/>
            <charset val="134"/>
          </rPr>
          <t>项</t>
        </r>
      </text>
    </comment>
    <comment ref="AZ28" authorId="0">
      <text>
        <r>
          <rPr>
            <b/>
            <sz val="9"/>
            <color indexed="81"/>
            <rFont val="宋体"/>
            <family val="3"/>
            <charset val="134"/>
          </rPr>
          <t>徐梦薇</t>
        </r>
        <r>
          <rPr>
            <b/>
            <sz val="9"/>
            <color indexed="81"/>
            <rFont val="Tahoma"/>
            <family val="2"/>
          </rPr>
          <t>/Mengwei Xu:</t>
        </r>
        <r>
          <rPr>
            <sz val="9"/>
            <color indexed="81"/>
            <rFont val="宋体"/>
            <family val="3"/>
            <charset val="134"/>
          </rPr>
          <t xml:space="preserve">
</t>
        </r>
        <r>
          <rPr>
            <sz val="9"/>
            <color indexed="81"/>
            <rFont val="Tahoma"/>
            <family val="2"/>
          </rPr>
          <t>2018Q3</t>
        </r>
        <r>
          <rPr>
            <sz val="9"/>
            <color indexed="81"/>
            <rFont val="宋体"/>
            <family val="3"/>
            <charset val="134"/>
          </rPr>
          <t xml:space="preserve">开展的加强自媒体保险营销行为管控工作中，发现销售人员在朋友圈发布违规信息
</t>
        </r>
        <r>
          <rPr>
            <sz val="9"/>
            <color indexed="81"/>
            <rFont val="Tahoma"/>
            <family val="2"/>
          </rPr>
          <t>2019Q2</t>
        </r>
        <r>
          <rPr>
            <sz val="9"/>
            <color indexed="81"/>
            <rFont val="宋体"/>
            <family val="3"/>
            <charset val="134"/>
          </rPr>
          <t>开展</t>
        </r>
        <r>
          <rPr>
            <sz val="9"/>
            <color indexed="81"/>
            <rFont val="Tahoma"/>
            <family val="2"/>
          </rPr>
          <t>“</t>
        </r>
        <r>
          <rPr>
            <sz val="9"/>
            <color indexed="81"/>
            <rFont val="宋体"/>
            <family val="3"/>
            <charset val="134"/>
          </rPr>
          <t>巩固治乱象成果</t>
        </r>
        <r>
          <rPr>
            <sz val="9"/>
            <color indexed="81"/>
            <rFont val="Tahoma"/>
            <family val="2"/>
          </rPr>
          <t xml:space="preserve"> </t>
        </r>
        <r>
          <rPr>
            <sz val="9"/>
            <color indexed="81"/>
            <rFont val="宋体"/>
            <family val="3"/>
            <charset val="134"/>
          </rPr>
          <t>促进合规建设</t>
        </r>
        <r>
          <rPr>
            <sz val="9"/>
            <color indexed="81"/>
            <rFont val="Tahoma"/>
            <family val="2"/>
          </rPr>
          <t>”</t>
        </r>
        <r>
          <rPr>
            <sz val="9"/>
            <color indexed="81"/>
            <rFont val="宋体"/>
            <family val="3"/>
            <charset val="134"/>
          </rPr>
          <t>自查，现场检查机构发现不合规课件及宣传材料。</t>
        </r>
      </text>
    </comment>
    <comment ref="BB28" authorId="0">
      <text>
        <r>
          <rPr>
            <b/>
            <sz val="9"/>
            <color indexed="81"/>
            <rFont val="宋体"/>
            <family val="3"/>
            <charset val="134"/>
          </rPr>
          <t>徐梦薇</t>
        </r>
        <r>
          <rPr>
            <b/>
            <sz val="9"/>
            <color indexed="81"/>
            <rFont val="Tahoma"/>
            <family val="2"/>
          </rPr>
          <t>/Mengwei Xu:</t>
        </r>
        <r>
          <rPr>
            <sz val="9"/>
            <color indexed="81"/>
            <rFont val="Tahoma"/>
            <family val="2"/>
          </rPr>
          <t xml:space="preserve">
19Q2</t>
        </r>
        <r>
          <rPr>
            <sz val="9"/>
            <color indexed="81"/>
            <rFont val="宋体"/>
            <family val="3"/>
            <charset val="134"/>
          </rPr>
          <t>新上报</t>
        </r>
        <r>
          <rPr>
            <sz val="9"/>
            <color indexed="81"/>
            <rFont val="Tahoma"/>
            <family val="2"/>
          </rPr>
          <t>1</t>
        </r>
        <r>
          <rPr>
            <sz val="9"/>
            <color indexed="81"/>
            <rFont val="宋体"/>
            <family val="3"/>
            <charset val="134"/>
          </rPr>
          <t>件</t>
        </r>
      </text>
    </comment>
    <comment ref="BJ28" authorId="0">
      <text>
        <r>
          <rPr>
            <b/>
            <sz val="9"/>
            <color indexed="81"/>
            <rFont val="宋体"/>
            <family val="3"/>
            <charset val="134"/>
          </rPr>
          <t>徐梦薇</t>
        </r>
        <r>
          <rPr>
            <b/>
            <sz val="9"/>
            <color indexed="81"/>
            <rFont val="Tahoma"/>
            <family val="2"/>
          </rPr>
          <t>/Mengwei Xu:</t>
        </r>
        <r>
          <rPr>
            <sz val="9"/>
            <color indexed="81"/>
            <rFont val="Tahoma"/>
            <family val="2"/>
          </rPr>
          <t xml:space="preserve">
1.</t>
        </r>
        <r>
          <rPr>
            <sz val="9"/>
            <color indexed="81"/>
            <rFont val="宋体"/>
            <family val="3"/>
            <charset val="134"/>
          </rPr>
          <t>保单号</t>
        </r>
        <r>
          <rPr>
            <sz val="9"/>
            <color indexed="81"/>
            <rFont val="Tahoma"/>
            <family val="2"/>
          </rPr>
          <t xml:space="preserve">810-20119449 </t>
        </r>
        <r>
          <rPr>
            <sz val="9"/>
            <color indexed="81"/>
            <rFont val="宋体"/>
            <family val="3"/>
            <charset val="134"/>
          </rPr>
          <t>代回访、客户投诉称业务人员讲解的收益与实际不符（</t>
        </r>
        <r>
          <rPr>
            <sz val="9"/>
            <color indexed="81"/>
            <rFont val="Tahoma"/>
            <family val="2"/>
          </rPr>
          <t>2018</t>
        </r>
        <r>
          <rPr>
            <sz val="9"/>
            <color indexed="81"/>
            <rFont val="宋体"/>
            <family val="3"/>
            <charset val="134"/>
          </rPr>
          <t>年</t>
        </r>
        <r>
          <rPr>
            <sz val="9"/>
            <color indexed="81"/>
            <rFont val="Tahoma"/>
            <family val="2"/>
          </rPr>
          <t>2</t>
        </r>
        <r>
          <rPr>
            <sz val="9"/>
            <color indexed="81"/>
            <rFont val="宋体"/>
            <family val="3"/>
            <charset val="134"/>
          </rPr>
          <t>月内控评估、</t>
        </r>
        <r>
          <rPr>
            <sz val="9"/>
            <color indexed="81"/>
            <rFont val="Tahoma"/>
            <family val="2"/>
          </rPr>
          <t>2018</t>
        </r>
        <r>
          <rPr>
            <sz val="9"/>
            <color indexed="81"/>
            <rFont val="宋体"/>
            <family val="3"/>
            <charset val="134"/>
          </rPr>
          <t>年</t>
        </r>
        <r>
          <rPr>
            <sz val="9"/>
            <color indexed="81"/>
            <rFont val="Tahoma"/>
            <family val="2"/>
          </rPr>
          <t>3</t>
        </r>
        <r>
          <rPr>
            <sz val="9"/>
            <color indexed="81"/>
            <rFont val="宋体"/>
            <family val="3"/>
            <charset val="134"/>
          </rPr>
          <t>月治乱打非中发现问题）；</t>
        </r>
        <r>
          <rPr>
            <sz val="9"/>
            <color indexed="81"/>
            <rFont val="Tahoma"/>
            <family val="2"/>
          </rPr>
          <t>2.</t>
        </r>
        <r>
          <rPr>
            <sz val="9"/>
            <color indexed="81"/>
            <rFont val="宋体"/>
            <family val="3"/>
            <charset val="134"/>
          </rPr>
          <t>个别机构私自在</t>
        </r>
        <r>
          <rPr>
            <sz val="9"/>
            <color indexed="81"/>
            <rFont val="Tahoma"/>
            <family val="2"/>
          </rPr>
          <t>A4</t>
        </r>
        <r>
          <rPr>
            <sz val="9"/>
            <color indexed="81"/>
            <rFont val="宋体"/>
            <family val="3"/>
            <charset val="134"/>
          </rPr>
          <t>纸上打印不合规的产品宣传单页，未经公司审批，主要问题为产品介绍不完整，未包含除外责任、犹豫期等内容。（</t>
        </r>
        <r>
          <rPr>
            <sz val="9"/>
            <color indexed="81"/>
            <rFont val="Tahoma"/>
            <family val="2"/>
          </rPr>
          <t>2018</t>
        </r>
        <r>
          <rPr>
            <sz val="9"/>
            <color indexed="81"/>
            <rFont val="宋体"/>
            <family val="3"/>
            <charset val="134"/>
          </rPr>
          <t>年</t>
        </r>
        <r>
          <rPr>
            <sz val="9"/>
            <color indexed="81"/>
            <rFont val="Tahoma"/>
            <family val="2"/>
          </rPr>
          <t>3</t>
        </r>
        <r>
          <rPr>
            <sz val="9"/>
            <color indexed="81"/>
            <rFont val="宋体"/>
            <family val="3"/>
            <charset val="134"/>
          </rPr>
          <t>月治乱打非中发现问题）</t>
        </r>
      </text>
    </comment>
    <comment ref="BL28" authorId="0">
      <text>
        <r>
          <rPr>
            <b/>
            <sz val="9"/>
            <color indexed="81"/>
            <rFont val="宋体"/>
            <family val="3"/>
            <charset val="134"/>
          </rPr>
          <t>徐梦薇</t>
        </r>
        <r>
          <rPr>
            <b/>
            <sz val="9"/>
            <color indexed="81"/>
            <rFont val="Tahoma"/>
            <family val="2"/>
          </rPr>
          <t>/Mengwei Xu:</t>
        </r>
        <r>
          <rPr>
            <sz val="9"/>
            <color indexed="81"/>
            <rFont val="Tahoma"/>
            <family val="2"/>
          </rPr>
          <t xml:space="preserve">
19Q2</t>
        </r>
        <r>
          <rPr>
            <sz val="9"/>
            <color indexed="81"/>
            <rFont val="宋体"/>
            <family val="3"/>
            <charset val="134"/>
          </rPr>
          <t xml:space="preserve">在品质管理过程中发现销售误导问题：
</t>
        </r>
        <r>
          <rPr>
            <sz val="9"/>
            <color indexed="81"/>
            <rFont val="Tahoma"/>
            <family val="2"/>
          </rPr>
          <t>1.</t>
        </r>
        <r>
          <rPr>
            <sz val="9"/>
            <color indexed="81"/>
            <rFont val="宋体"/>
            <family val="3"/>
            <charset val="134"/>
          </rPr>
          <t>郑州本部康歌在办理</t>
        </r>
        <r>
          <rPr>
            <sz val="9"/>
            <color indexed="81"/>
            <rFont val="Tahoma"/>
            <family val="2"/>
          </rPr>
          <t>810-20182120</t>
        </r>
        <r>
          <rPr>
            <sz val="9"/>
            <color indexed="81"/>
            <rFont val="宋体"/>
            <family val="3"/>
            <charset val="134"/>
          </rPr>
          <t>保单时，仅告知客户是一款理财产品，未明确告知是保险产品；濮阳鲁彦霞（工号</t>
        </r>
        <r>
          <rPr>
            <sz val="9"/>
            <color indexed="81"/>
            <rFont val="Tahoma"/>
            <family val="2"/>
          </rPr>
          <t>67300213</t>
        </r>
        <r>
          <rPr>
            <sz val="9"/>
            <color indexed="81"/>
            <rFont val="宋体"/>
            <family val="3"/>
            <charset val="134"/>
          </rPr>
          <t>）在办理保单</t>
        </r>
        <r>
          <rPr>
            <sz val="9"/>
            <color indexed="81"/>
            <rFont val="Tahoma"/>
            <family val="2"/>
          </rPr>
          <t>840-20106096</t>
        </r>
        <r>
          <rPr>
            <sz val="9"/>
            <color indexed="81"/>
            <rFont val="宋体"/>
            <family val="3"/>
            <charset val="134"/>
          </rPr>
          <t>时、郑州本部冯莉娟（工号</t>
        </r>
        <r>
          <rPr>
            <sz val="9"/>
            <color indexed="81"/>
            <rFont val="Tahoma"/>
            <family val="2"/>
          </rPr>
          <t>67002765</t>
        </r>
        <r>
          <rPr>
            <sz val="9"/>
            <color indexed="81"/>
            <rFont val="宋体"/>
            <family val="3"/>
            <charset val="134"/>
          </rPr>
          <t>）在办理保单</t>
        </r>
        <r>
          <rPr>
            <sz val="9"/>
            <color indexed="81"/>
            <rFont val="Tahoma"/>
            <family val="2"/>
          </rPr>
          <t>810-20189904</t>
        </r>
        <r>
          <rPr>
            <sz val="9"/>
            <color indexed="81"/>
            <rFont val="宋体"/>
            <family val="3"/>
            <charset val="134"/>
          </rPr>
          <t xml:space="preserve">时，未如实引导客户告知既往病史。
</t>
        </r>
        <r>
          <rPr>
            <sz val="9"/>
            <color indexed="81"/>
            <rFont val="Tahoma"/>
            <family val="2"/>
          </rPr>
          <t>2.</t>
        </r>
        <r>
          <rPr>
            <sz val="9"/>
            <color indexed="81"/>
            <rFont val="宋体"/>
            <family val="3"/>
            <charset val="134"/>
          </rPr>
          <t>郑州本部孙贺（工号</t>
        </r>
        <r>
          <rPr>
            <sz val="9"/>
            <color indexed="81"/>
            <rFont val="Tahoma"/>
            <family val="2"/>
          </rPr>
          <t>67002433</t>
        </r>
        <r>
          <rPr>
            <sz val="9"/>
            <color indexed="81"/>
            <rFont val="宋体"/>
            <family val="3"/>
            <charset val="134"/>
          </rPr>
          <t>），在办理</t>
        </r>
        <r>
          <rPr>
            <sz val="9"/>
            <color indexed="81"/>
            <rFont val="Tahoma"/>
            <family val="2"/>
          </rPr>
          <t>810-20200210</t>
        </r>
        <r>
          <rPr>
            <sz val="9"/>
            <color indexed="81"/>
            <rFont val="宋体"/>
            <family val="3"/>
            <charset val="134"/>
          </rPr>
          <t>保单时，代抄风险提示语。</t>
        </r>
      </text>
    </comment>
    <comment ref="BV28" authorId="2">
      <text>
        <r>
          <rPr>
            <b/>
            <sz val="9"/>
            <color indexed="81"/>
            <rFont val="Tahoma"/>
            <family val="2"/>
          </rPr>
          <t>1</t>
        </r>
        <r>
          <rPr>
            <b/>
            <sz val="9"/>
            <color indexed="81"/>
            <rFont val="宋体"/>
            <family val="3"/>
            <charset val="134"/>
          </rPr>
          <t>、</t>
        </r>
        <r>
          <rPr>
            <b/>
            <sz val="9"/>
            <color indexed="81"/>
            <rFont val="Tahoma"/>
            <family val="2"/>
          </rPr>
          <t>2018</t>
        </r>
        <r>
          <rPr>
            <b/>
            <sz val="9"/>
            <color indexed="81"/>
            <rFont val="宋体"/>
            <family val="3"/>
            <charset val="134"/>
          </rPr>
          <t>年</t>
        </r>
        <r>
          <rPr>
            <b/>
            <sz val="9"/>
            <color indexed="81"/>
            <rFont val="Tahoma"/>
            <family val="2"/>
          </rPr>
          <t>1</t>
        </r>
        <r>
          <rPr>
            <b/>
            <sz val="9"/>
            <color indexed="81"/>
            <rFont val="宋体"/>
            <family val="3"/>
            <charset val="134"/>
          </rPr>
          <t>月</t>
        </r>
        <r>
          <rPr>
            <b/>
            <sz val="9"/>
            <color indexed="81"/>
            <rFont val="Tahoma"/>
            <family val="2"/>
          </rPr>
          <t>-2</t>
        </r>
        <r>
          <rPr>
            <b/>
            <sz val="9"/>
            <color indexed="81"/>
            <rFont val="宋体"/>
            <family val="3"/>
            <charset val="134"/>
          </rPr>
          <t>月开展</t>
        </r>
        <r>
          <rPr>
            <b/>
            <sz val="9"/>
            <color indexed="81"/>
            <rFont val="Tahoma"/>
            <family val="2"/>
          </rPr>
          <t>“</t>
        </r>
        <r>
          <rPr>
            <b/>
            <sz val="9"/>
            <color indexed="81"/>
            <rFont val="宋体"/>
            <family val="3"/>
            <charset val="134"/>
          </rPr>
          <t>治乱打非</t>
        </r>
        <r>
          <rPr>
            <b/>
            <sz val="9"/>
            <color indexed="81"/>
            <rFont val="Tahoma"/>
            <family val="2"/>
          </rPr>
          <t>”</t>
        </r>
        <r>
          <rPr>
            <b/>
            <sz val="9"/>
            <color indexed="81"/>
            <rFont val="宋体"/>
            <family val="3"/>
            <charset val="134"/>
          </rPr>
          <t>专项检查，排查</t>
        </r>
        <r>
          <rPr>
            <b/>
            <sz val="9"/>
            <color indexed="81"/>
            <rFont val="Tahoma"/>
            <family val="2"/>
          </rPr>
          <t>2017</t>
        </r>
        <r>
          <rPr>
            <b/>
            <sz val="9"/>
            <color indexed="81"/>
            <rFont val="宋体"/>
            <family val="3"/>
            <charset val="134"/>
          </rPr>
          <t>年</t>
        </r>
        <r>
          <rPr>
            <b/>
            <sz val="9"/>
            <color indexed="81"/>
            <rFont val="Tahoma"/>
            <family val="2"/>
          </rPr>
          <t>1</t>
        </r>
        <r>
          <rPr>
            <b/>
            <sz val="9"/>
            <color indexed="81"/>
            <rFont val="宋体"/>
            <family val="3"/>
            <charset val="134"/>
          </rPr>
          <t>月</t>
        </r>
        <r>
          <rPr>
            <b/>
            <sz val="9"/>
            <color indexed="81"/>
            <rFont val="Tahoma"/>
            <family val="2"/>
          </rPr>
          <t>1</t>
        </r>
        <r>
          <rPr>
            <b/>
            <sz val="9"/>
            <color indexed="81"/>
            <rFont val="宋体"/>
            <family val="3"/>
            <charset val="134"/>
          </rPr>
          <t>日至</t>
        </r>
        <r>
          <rPr>
            <b/>
            <sz val="9"/>
            <color indexed="81"/>
            <rFont val="Tahoma"/>
            <family val="2"/>
          </rPr>
          <t>2018</t>
        </r>
        <r>
          <rPr>
            <b/>
            <sz val="9"/>
            <color indexed="81"/>
            <rFont val="宋体"/>
            <family val="3"/>
            <charset val="134"/>
          </rPr>
          <t>年</t>
        </r>
        <r>
          <rPr>
            <b/>
            <sz val="9"/>
            <color indexed="81"/>
            <rFont val="Tahoma"/>
            <family val="2"/>
          </rPr>
          <t>2</t>
        </r>
        <r>
          <rPr>
            <b/>
            <sz val="9"/>
            <color indexed="81"/>
            <rFont val="宋体"/>
            <family val="3"/>
            <charset val="134"/>
          </rPr>
          <t>月</t>
        </r>
        <r>
          <rPr>
            <b/>
            <sz val="9"/>
            <color indexed="81"/>
            <rFont val="Tahoma"/>
            <family val="2"/>
          </rPr>
          <t>28</t>
        </r>
        <r>
          <rPr>
            <b/>
            <sz val="9"/>
            <color indexed="81"/>
            <rFont val="宋体"/>
            <family val="3"/>
            <charset val="134"/>
          </rPr>
          <t>日的电话回访问题件，发现</t>
        </r>
        <r>
          <rPr>
            <b/>
            <sz val="9"/>
            <color indexed="81"/>
            <rFont val="Tahoma"/>
            <family val="2"/>
          </rPr>
          <t>20253418</t>
        </r>
        <r>
          <rPr>
            <b/>
            <sz val="9"/>
            <color indexed="81"/>
            <rFont val="宋体"/>
            <family val="3"/>
            <charset val="134"/>
          </rPr>
          <t>、</t>
        </r>
        <r>
          <rPr>
            <b/>
            <sz val="9"/>
            <color indexed="81"/>
            <rFont val="Tahoma"/>
            <family val="2"/>
          </rPr>
          <t>20253242</t>
        </r>
        <r>
          <rPr>
            <b/>
            <sz val="9"/>
            <color indexed="81"/>
            <rFont val="宋体"/>
            <family val="3"/>
            <charset val="134"/>
          </rPr>
          <t>、</t>
        </r>
        <r>
          <rPr>
            <b/>
            <sz val="9"/>
            <color indexed="81"/>
            <rFont val="Tahoma"/>
            <family val="2"/>
          </rPr>
          <t>20253243</t>
        </r>
        <r>
          <rPr>
            <b/>
            <sz val="9"/>
            <color indexed="81"/>
            <rFont val="宋体"/>
            <family val="3"/>
            <charset val="134"/>
          </rPr>
          <t>、</t>
        </r>
        <r>
          <rPr>
            <b/>
            <sz val="9"/>
            <color indexed="81"/>
            <rFont val="Tahoma"/>
            <family val="2"/>
          </rPr>
          <t>20253260</t>
        </r>
        <r>
          <rPr>
            <b/>
            <sz val="9"/>
            <color indexed="81"/>
            <rFont val="宋体"/>
            <family val="3"/>
            <charset val="134"/>
          </rPr>
          <t>、</t>
        </r>
        <r>
          <rPr>
            <b/>
            <sz val="9"/>
            <color indexed="81"/>
            <rFont val="Tahoma"/>
            <family val="2"/>
          </rPr>
          <t>20207828</t>
        </r>
        <r>
          <rPr>
            <b/>
            <sz val="9"/>
            <color indexed="81"/>
            <rFont val="宋体"/>
            <family val="3"/>
            <charset val="134"/>
          </rPr>
          <t>保单为代回访。此问题反映在《恒安标准人寿保险有限公司四川分公司关于开展整治销售乱象打击非法经营自查自纠工作的报告》中。</t>
        </r>
      </text>
    </comment>
    <comment ref="BX28" authorId="0">
      <text>
        <r>
          <rPr>
            <b/>
            <sz val="9"/>
            <color indexed="81"/>
            <rFont val="宋体"/>
            <family val="3"/>
            <charset val="134"/>
          </rPr>
          <t>徐梦薇</t>
        </r>
        <r>
          <rPr>
            <b/>
            <sz val="9"/>
            <color indexed="81"/>
            <rFont val="Tahoma"/>
            <family val="2"/>
          </rPr>
          <t>/Mengwei Xu:</t>
        </r>
        <r>
          <rPr>
            <sz val="9"/>
            <color indexed="81"/>
            <rFont val="Tahoma"/>
            <family val="2"/>
          </rPr>
          <t xml:space="preserve">
2018Q4</t>
        </r>
        <r>
          <rPr>
            <sz val="9"/>
            <color indexed="81"/>
            <rFont val="宋体"/>
            <family val="3"/>
            <charset val="134"/>
          </rPr>
          <t>发现达州销售人员鲁媛存在代签名问题，已在年度投诉报告中由四川客服部报送至四川银保监局</t>
        </r>
      </text>
    </comment>
    <comment ref="D2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大连失分</t>
        </r>
      </text>
    </comment>
    <comment ref="AL29" authorId="0">
      <text>
        <r>
          <rPr>
            <b/>
            <sz val="9"/>
            <color indexed="81"/>
            <rFont val="宋体"/>
            <family val="3"/>
            <charset val="134"/>
          </rPr>
          <t>徐梦薇</t>
        </r>
        <r>
          <rPr>
            <b/>
            <sz val="9"/>
            <color indexed="81"/>
            <rFont val="Tahoma"/>
            <family val="2"/>
          </rPr>
          <t>/Mengwei Xu:</t>
        </r>
        <r>
          <rPr>
            <sz val="9"/>
            <color indexed="81"/>
            <rFont val="Tahoma"/>
            <family val="2"/>
          </rPr>
          <t xml:space="preserve">
3</t>
        </r>
        <r>
          <rPr>
            <sz val="9"/>
            <color indexed="81"/>
            <rFont val="宋体"/>
            <family val="3"/>
            <charset val="134"/>
          </rPr>
          <t>季度大连保监局现场检查发现如下问题：一是内容表述不严谨。</t>
        </r>
        <r>
          <rPr>
            <sz val="9"/>
            <color indexed="81"/>
            <rFont val="Tahoma"/>
            <family val="2"/>
          </rPr>
          <t>“</t>
        </r>
        <r>
          <rPr>
            <sz val="9"/>
            <color indexed="81"/>
            <rFont val="宋体"/>
            <family val="3"/>
            <charset val="134"/>
          </rPr>
          <t>新产品发布</t>
        </r>
        <r>
          <rPr>
            <sz val="9"/>
            <color indexed="81"/>
            <rFont val="Tahoma"/>
            <family val="2"/>
          </rPr>
          <t>20170423”</t>
        </r>
        <r>
          <rPr>
            <sz val="9"/>
            <color indexed="81"/>
            <rFont val="宋体"/>
            <family val="3"/>
            <charset val="134"/>
          </rPr>
          <t>，推介产品为恒安标准臻爱健终身重大疾病保险，在介绍公司基本情况时，在缺少限定条件下，表述</t>
        </r>
        <r>
          <rPr>
            <sz val="9"/>
            <color indexed="81"/>
            <rFont val="Tahoma"/>
            <family val="2"/>
          </rPr>
          <t>“</t>
        </r>
        <r>
          <rPr>
            <sz val="9"/>
            <color indexed="81"/>
            <rFont val="宋体"/>
            <family val="3"/>
            <charset val="134"/>
          </rPr>
          <t>公司治理评分是第一最高的分数</t>
        </r>
        <r>
          <rPr>
            <sz val="9"/>
            <color indexed="81"/>
            <rFont val="Tahoma"/>
            <family val="2"/>
          </rPr>
          <t>”</t>
        </r>
        <r>
          <rPr>
            <sz val="9"/>
            <color indexed="81"/>
            <rFont val="宋体"/>
            <family val="3"/>
            <charset val="134"/>
          </rPr>
          <t>；在缺少准确数据来源的情况下，表述</t>
        </r>
        <r>
          <rPr>
            <sz val="9"/>
            <color indexed="81"/>
            <rFont val="Tahoma"/>
            <family val="2"/>
          </rPr>
          <t>“</t>
        </r>
        <r>
          <rPr>
            <sz val="9"/>
            <color indexed="81"/>
            <rFont val="宋体"/>
            <family val="3"/>
            <charset val="134"/>
          </rPr>
          <t>行业重大疾病理赔过程中，重大疾病的理赔额度也不过刚刚上</t>
        </r>
        <r>
          <rPr>
            <sz val="9"/>
            <color indexed="81"/>
            <rFont val="Tahoma"/>
            <family val="2"/>
          </rPr>
          <t xml:space="preserve">5 </t>
        </r>
        <r>
          <rPr>
            <sz val="9"/>
            <color indexed="81"/>
            <rFont val="宋体"/>
            <family val="3"/>
            <charset val="134"/>
          </rPr>
          <t>万保额，而我们这一款零件化、超有价值、保费低保障高的产品平均我们就</t>
        </r>
        <r>
          <rPr>
            <sz val="9"/>
            <color indexed="81"/>
            <rFont val="Tahoma"/>
            <family val="2"/>
          </rPr>
          <t xml:space="preserve">16 </t>
        </r>
        <r>
          <rPr>
            <sz val="9"/>
            <color indexed="81"/>
            <rFont val="宋体"/>
            <family val="3"/>
            <charset val="134"/>
          </rPr>
          <t>万的理赔</t>
        </r>
        <r>
          <rPr>
            <sz val="9"/>
            <color indexed="81"/>
            <rFont val="Tahoma"/>
            <family val="2"/>
          </rPr>
          <t>”</t>
        </r>
        <r>
          <rPr>
            <sz val="9"/>
            <color indexed="81"/>
            <rFont val="宋体"/>
            <family val="3"/>
            <charset val="134"/>
          </rPr>
          <t>。二是产说会课件存在不当同业比较。产说会课件</t>
        </r>
        <r>
          <rPr>
            <sz val="9"/>
            <color indexed="81"/>
            <rFont val="Tahoma"/>
            <family val="2"/>
          </rPr>
          <t>“</t>
        </r>
        <r>
          <rPr>
            <sz val="9"/>
            <color indexed="81"/>
            <rFont val="宋体"/>
            <family val="3"/>
            <charset val="134"/>
          </rPr>
          <t>金州</t>
        </r>
        <r>
          <rPr>
            <sz val="9"/>
            <color indexed="81"/>
            <rFont val="Tahoma"/>
            <family val="2"/>
          </rPr>
          <t>20180117-</t>
        </r>
        <r>
          <rPr>
            <sz val="9"/>
            <color indexed="81"/>
            <rFont val="宋体"/>
            <family val="3"/>
            <charset val="134"/>
          </rPr>
          <t>卓越</t>
        </r>
        <r>
          <rPr>
            <sz val="9"/>
            <color indexed="81"/>
            <rFont val="Tahoma"/>
            <family val="2"/>
          </rPr>
          <t>C”</t>
        </r>
        <r>
          <rPr>
            <sz val="9"/>
            <color indexed="81"/>
            <rFont val="宋体"/>
            <family val="3"/>
            <charset val="134"/>
          </rPr>
          <t>，推介产品为恒安标准幸福金生卓越版两全保险</t>
        </r>
        <r>
          <rPr>
            <sz val="9"/>
            <color indexed="81"/>
            <rFont val="Tahoma"/>
            <family val="2"/>
          </rPr>
          <t xml:space="preserve">C </t>
        </r>
        <r>
          <rPr>
            <sz val="9"/>
            <color indexed="81"/>
            <rFont val="宋体"/>
            <family val="3"/>
            <charset val="134"/>
          </rPr>
          <t>款（分红型），课件存在以下说法，</t>
        </r>
        <r>
          <rPr>
            <sz val="9"/>
            <color indexed="81"/>
            <rFont val="Tahoma"/>
            <family val="2"/>
          </rPr>
          <t>“</t>
        </r>
        <r>
          <rPr>
            <sz val="9"/>
            <color indexed="81"/>
            <rFont val="宋体"/>
            <family val="3"/>
            <charset val="134"/>
          </rPr>
          <t>许多公司成立时间不足</t>
        </r>
        <r>
          <rPr>
            <sz val="9"/>
            <color indexed="81"/>
            <rFont val="Tahoma"/>
            <family val="2"/>
          </rPr>
          <t>30</t>
        </r>
        <r>
          <rPr>
            <sz val="9"/>
            <color indexed="81"/>
            <rFont val="宋体"/>
            <family val="3"/>
            <charset val="134"/>
          </rPr>
          <t>年，各个方面均处于摸索阶段；没有真正意义上经历过</t>
        </r>
        <r>
          <rPr>
            <sz val="9"/>
            <color indexed="81"/>
            <rFont val="Tahoma"/>
            <family val="2"/>
          </rPr>
          <t>‘</t>
        </r>
        <r>
          <rPr>
            <sz val="9"/>
            <color indexed="81"/>
            <rFont val="宋体"/>
            <family val="3"/>
            <charset val="134"/>
          </rPr>
          <t>大量理赔</t>
        </r>
        <r>
          <rPr>
            <sz val="9"/>
            <color indexed="81"/>
            <rFont val="Tahoma"/>
            <family val="2"/>
          </rPr>
          <t>’</t>
        </r>
        <r>
          <rPr>
            <sz val="9"/>
            <color indexed="81"/>
            <rFont val="宋体"/>
            <family val="3"/>
            <charset val="134"/>
          </rPr>
          <t>的过程，对于未来属于未知状态！恒安标准借鉴股东</t>
        </r>
        <r>
          <rPr>
            <sz val="9"/>
            <color indexed="81"/>
            <rFont val="Tahoma"/>
            <family val="2"/>
          </rPr>
          <t xml:space="preserve">192 </t>
        </r>
        <r>
          <rPr>
            <sz val="9"/>
            <color indexed="81"/>
            <rFont val="宋体"/>
            <family val="3"/>
            <charset val="134"/>
          </rPr>
          <t>年沉淀了足够的经验甚至教训，有成熟的产品设计及公司运营理念；</t>
        </r>
        <r>
          <rPr>
            <sz val="9"/>
            <color indexed="81"/>
            <rFont val="Tahoma"/>
            <family val="2"/>
          </rPr>
          <t xml:space="preserve">192 </t>
        </r>
        <r>
          <rPr>
            <sz val="9"/>
            <color indexed="81"/>
            <rFont val="宋体"/>
            <family val="3"/>
            <charset val="134"/>
          </rPr>
          <t>年至少是七八代人的</t>
        </r>
        <r>
          <rPr>
            <sz val="9"/>
            <color indexed="81"/>
            <rFont val="Tahoma"/>
            <family val="2"/>
          </rPr>
          <t>‘</t>
        </r>
        <r>
          <rPr>
            <sz val="9"/>
            <color indexed="81"/>
            <rFont val="宋体"/>
            <family val="3"/>
            <charset val="134"/>
          </rPr>
          <t>生老病死</t>
        </r>
        <r>
          <rPr>
            <sz val="9"/>
            <color indexed="81"/>
            <rFont val="Tahoma"/>
            <family val="2"/>
          </rPr>
          <t>’</t>
        </r>
        <r>
          <rPr>
            <sz val="9"/>
            <color indexed="81"/>
            <rFont val="宋体"/>
            <family val="3"/>
            <charset val="134"/>
          </rPr>
          <t>，经历过、赔付过、见证过！</t>
        </r>
        <r>
          <rPr>
            <sz val="9"/>
            <color indexed="81"/>
            <rFont val="Tahoma"/>
            <family val="2"/>
          </rPr>
          <t>”</t>
        </r>
      </text>
    </comment>
    <comment ref="AN29" authorId="0">
      <text>
        <r>
          <rPr>
            <b/>
            <sz val="9"/>
            <color indexed="81"/>
            <rFont val="宋体"/>
            <family val="3"/>
            <charset val="134"/>
          </rPr>
          <t>徐梦薇</t>
        </r>
        <r>
          <rPr>
            <b/>
            <sz val="9"/>
            <color indexed="81"/>
            <rFont val="Tahoma"/>
            <family val="2"/>
          </rPr>
          <t>/Mengwei Xu:</t>
        </r>
        <r>
          <rPr>
            <sz val="9"/>
            <color indexed="81"/>
            <rFont val="Tahoma"/>
            <family val="2"/>
          </rPr>
          <t xml:space="preserve">
3</t>
        </r>
        <r>
          <rPr>
            <sz val="9"/>
            <color indexed="81"/>
            <rFont val="宋体"/>
            <family val="3"/>
            <charset val="134"/>
          </rPr>
          <t>季度大连保监局现场检查发现如下问题：一是内容表述不严谨。</t>
        </r>
        <r>
          <rPr>
            <sz val="9"/>
            <color indexed="81"/>
            <rFont val="Tahoma"/>
            <family val="2"/>
          </rPr>
          <t>“</t>
        </r>
        <r>
          <rPr>
            <sz val="9"/>
            <color indexed="81"/>
            <rFont val="宋体"/>
            <family val="3"/>
            <charset val="134"/>
          </rPr>
          <t>新产品发布</t>
        </r>
        <r>
          <rPr>
            <sz val="9"/>
            <color indexed="81"/>
            <rFont val="Tahoma"/>
            <family val="2"/>
          </rPr>
          <t>20170423”</t>
        </r>
        <r>
          <rPr>
            <sz val="9"/>
            <color indexed="81"/>
            <rFont val="宋体"/>
            <family val="3"/>
            <charset val="134"/>
          </rPr>
          <t>，推介产品为恒安标准臻爱健终身重大疾病保险，在介绍公司基本情况时，在缺少限定条件下，表述</t>
        </r>
        <r>
          <rPr>
            <sz val="9"/>
            <color indexed="81"/>
            <rFont val="Tahoma"/>
            <family val="2"/>
          </rPr>
          <t>“</t>
        </r>
        <r>
          <rPr>
            <sz val="9"/>
            <color indexed="81"/>
            <rFont val="宋体"/>
            <family val="3"/>
            <charset val="134"/>
          </rPr>
          <t>公司治理评分是第一最高的分数</t>
        </r>
        <r>
          <rPr>
            <sz val="9"/>
            <color indexed="81"/>
            <rFont val="Tahoma"/>
            <family val="2"/>
          </rPr>
          <t>”</t>
        </r>
        <r>
          <rPr>
            <sz val="9"/>
            <color indexed="81"/>
            <rFont val="宋体"/>
            <family val="3"/>
            <charset val="134"/>
          </rPr>
          <t>；在缺少准确数据来源的情况下，表述</t>
        </r>
        <r>
          <rPr>
            <sz val="9"/>
            <color indexed="81"/>
            <rFont val="Tahoma"/>
            <family val="2"/>
          </rPr>
          <t>“</t>
        </r>
        <r>
          <rPr>
            <sz val="9"/>
            <color indexed="81"/>
            <rFont val="宋体"/>
            <family val="3"/>
            <charset val="134"/>
          </rPr>
          <t>行业重大疾病理赔过程中，重大疾病的理赔额度也不过刚刚上</t>
        </r>
        <r>
          <rPr>
            <sz val="9"/>
            <color indexed="81"/>
            <rFont val="Tahoma"/>
            <family val="2"/>
          </rPr>
          <t xml:space="preserve">5 </t>
        </r>
        <r>
          <rPr>
            <sz val="9"/>
            <color indexed="81"/>
            <rFont val="宋体"/>
            <family val="3"/>
            <charset val="134"/>
          </rPr>
          <t>万保额，而我们这一款零件化、超有价值、保费低保障高的产品平均我们就</t>
        </r>
        <r>
          <rPr>
            <sz val="9"/>
            <color indexed="81"/>
            <rFont val="Tahoma"/>
            <family val="2"/>
          </rPr>
          <t xml:space="preserve">16 </t>
        </r>
        <r>
          <rPr>
            <sz val="9"/>
            <color indexed="81"/>
            <rFont val="宋体"/>
            <family val="3"/>
            <charset val="134"/>
          </rPr>
          <t>万的理赔</t>
        </r>
        <r>
          <rPr>
            <sz val="9"/>
            <color indexed="81"/>
            <rFont val="Tahoma"/>
            <family val="2"/>
          </rPr>
          <t>”</t>
        </r>
        <r>
          <rPr>
            <sz val="9"/>
            <color indexed="81"/>
            <rFont val="宋体"/>
            <family val="3"/>
            <charset val="134"/>
          </rPr>
          <t>。二是产说会课件存在不当同业比较。产说会课件</t>
        </r>
        <r>
          <rPr>
            <sz val="9"/>
            <color indexed="81"/>
            <rFont val="Tahoma"/>
            <family val="2"/>
          </rPr>
          <t>“</t>
        </r>
        <r>
          <rPr>
            <sz val="9"/>
            <color indexed="81"/>
            <rFont val="宋体"/>
            <family val="3"/>
            <charset val="134"/>
          </rPr>
          <t>金州</t>
        </r>
        <r>
          <rPr>
            <sz val="9"/>
            <color indexed="81"/>
            <rFont val="Tahoma"/>
            <family val="2"/>
          </rPr>
          <t>20180117-</t>
        </r>
        <r>
          <rPr>
            <sz val="9"/>
            <color indexed="81"/>
            <rFont val="宋体"/>
            <family val="3"/>
            <charset val="134"/>
          </rPr>
          <t>卓越</t>
        </r>
        <r>
          <rPr>
            <sz val="9"/>
            <color indexed="81"/>
            <rFont val="Tahoma"/>
            <family val="2"/>
          </rPr>
          <t>C”</t>
        </r>
        <r>
          <rPr>
            <sz val="9"/>
            <color indexed="81"/>
            <rFont val="宋体"/>
            <family val="3"/>
            <charset val="134"/>
          </rPr>
          <t>，推介产品为恒安标准幸福金生卓越版两全保险</t>
        </r>
        <r>
          <rPr>
            <sz val="9"/>
            <color indexed="81"/>
            <rFont val="Tahoma"/>
            <family val="2"/>
          </rPr>
          <t xml:space="preserve">C </t>
        </r>
        <r>
          <rPr>
            <sz val="9"/>
            <color indexed="81"/>
            <rFont val="宋体"/>
            <family val="3"/>
            <charset val="134"/>
          </rPr>
          <t>款（分红型），课件存在以下说法，</t>
        </r>
        <r>
          <rPr>
            <sz val="9"/>
            <color indexed="81"/>
            <rFont val="Tahoma"/>
            <family val="2"/>
          </rPr>
          <t>“</t>
        </r>
        <r>
          <rPr>
            <sz val="9"/>
            <color indexed="81"/>
            <rFont val="宋体"/>
            <family val="3"/>
            <charset val="134"/>
          </rPr>
          <t>许多公司成立时间不足</t>
        </r>
        <r>
          <rPr>
            <sz val="9"/>
            <color indexed="81"/>
            <rFont val="Tahoma"/>
            <family val="2"/>
          </rPr>
          <t>30</t>
        </r>
        <r>
          <rPr>
            <sz val="9"/>
            <color indexed="81"/>
            <rFont val="宋体"/>
            <family val="3"/>
            <charset val="134"/>
          </rPr>
          <t>年，各个方面均处于摸索阶段；没有真正意义上经历过</t>
        </r>
        <r>
          <rPr>
            <sz val="9"/>
            <color indexed="81"/>
            <rFont val="Tahoma"/>
            <family val="2"/>
          </rPr>
          <t>‘</t>
        </r>
        <r>
          <rPr>
            <sz val="9"/>
            <color indexed="81"/>
            <rFont val="宋体"/>
            <family val="3"/>
            <charset val="134"/>
          </rPr>
          <t>大量理赔</t>
        </r>
        <r>
          <rPr>
            <sz val="9"/>
            <color indexed="81"/>
            <rFont val="Tahoma"/>
            <family val="2"/>
          </rPr>
          <t>’</t>
        </r>
        <r>
          <rPr>
            <sz val="9"/>
            <color indexed="81"/>
            <rFont val="宋体"/>
            <family val="3"/>
            <charset val="134"/>
          </rPr>
          <t>的过程，对于未来属于未知状态！恒安标准借鉴股东</t>
        </r>
        <r>
          <rPr>
            <sz val="9"/>
            <color indexed="81"/>
            <rFont val="Tahoma"/>
            <family val="2"/>
          </rPr>
          <t xml:space="preserve">192 </t>
        </r>
        <r>
          <rPr>
            <sz val="9"/>
            <color indexed="81"/>
            <rFont val="宋体"/>
            <family val="3"/>
            <charset val="134"/>
          </rPr>
          <t>年沉淀了足够的经验甚至教训，有成熟的产品设计及公司运营理念；</t>
        </r>
        <r>
          <rPr>
            <sz val="9"/>
            <color indexed="81"/>
            <rFont val="Tahoma"/>
            <family val="2"/>
          </rPr>
          <t xml:space="preserve">192 </t>
        </r>
        <r>
          <rPr>
            <sz val="9"/>
            <color indexed="81"/>
            <rFont val="宋体"/>
            <family val="3"/>
            <charset val="134"/>
          </rPr>
          <t>年至少是七八代人的</t>
        </r>
        <r>
          <rPr>
            <sz val="9"/>
            <color indexed="81"/>
            <rFont val="Tahoma"/>
            <family val="2"/>
          </rPr>
          <t>‘</t>
        </r>
        <r>
          <rPr>
            <sz val="9"/>
            <color indexed="81"/>
            <rFont val="宋体"/>
            <family val="3"/>
            <charset val="134"/>
          </rPr>
          <t>生老病死</t>
        </r>
        <r>
          <rPr>
            <sz val="9"/>
            <color indexed="81"/>
            <rFont val="Tahoma"/>
            <family val="2"/>
          </rPr>
          <t>’</t>
        </r>
        <r>
          <rPr>
            <sz val="9"/>
            <color indexed="81"/>
            <rFont val="宋体"/>
            <family val="3"/>
            <charset val="134"/>
          </rPr>
          <t>，经历过、赔付过、见证过！</t>
        </r>
        <r>
          <rPr>
            <sz val="9"/>
            <color indexed="81"/>
            <rFont val="Tahoma"/>
            <family val="2"/>
          </rPr>
          <t>”</t>
        </r>
      </text>
    </comment>
    <comment ref="D3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山东过期、大连失分</t>
        </r>
      </text>
    </comment>
    <comment ref="AL32" authorId="0">
      <text>
        <r>
          <rPr>
            <b/>
            <sz val="9"/>
            <color indexed="81"/>
            <rFont val="宋体"/>
            <family val="3"/>
            <charset val="134"/>
          </rPr>
          <t>徐梦薇</t>
        </r>
        <r>
          <rPr>
            <b/>
            <sz val="9"/>
            <color indexed="81"/>
            <rFont val="Tahoma"/>
            <family val="2"/>
          </rPr>
          <t>/Mengwei Xu:</t>
        </r>
        <r>
          <rPr>
            <sz val="9"/>
            <color indexed="81"/>
            <rFont val="Tahoma"/>
            <family val="2"/>
          </rPr>
          <t xml:space="preserve">
19Q1-</t>
        </r>
        <r>
          <rPr>
            <sz val="9"/>
            <color indexed="81"/>
            <rFont val="宋体"/>
            <family val="3"/>
            <charset val="134"/>
          </rPr>
          <t>已离职销售人员管雪花现金收取客户保费</t>
        </r>
      </text>
    </comment>
    <comment ref="AN32" authorId="0">
      <text>
        <r>
          <rPr>
            <b/>
            <sz val="9"/>
            <color indexed="81"/>
            <rFont val="宋体"/>
            <family val="3"/>
            <charset val="134"/>
          </rPr>
          <t>徐梦薇</t>
        </r>
        <r>
          <rPr>
            <b/>
            <sz val="9"/>
            <color indexed="81"/>
            <rFont val="Tahoma"/>
            <family val="2"/>
          </rPr>
          <t>/Mengwei Xu:</t>
        </r>
        <r>
          <rPr>
            <sz val="9"/>
            <color indexed="81"/>
            <rFont val="Tahoma"/>
            <family val="2"/>
          </rPr>
          <t xml:space="preserve">
19Q1-</t>
        </r>
        <r>
          <rPr>
            <sz val="9"/>
            <color indexed="81"/>
            <rFont val="宋体"/>
            <family val="3"/>
            <charset val="134"/>
          </rPr>
          <t>已离职销售人员管雪花现金收取客户保费</t>
        </r>
      </text>
    </comment>
    <comment ref="AX32" authorId="0">
      <text>
        <r>
          <rPr>
            <b/>
            <sz val="9"/>
            <color indexed="81"/>
            <rFont val="宋体"/>
            <family val="3"/>
            <charset val="134"/>
          </rPr>
          <t>徐梦薇</t>
        </r>
        <r>
          <rPr>
            <b/>
            <sz val="9"/>
            <color indexed="81"/>
            <rFont val="Tahoma"/>
            <family val="2"/>
          </rPr>
          <t>/Mengwei Xu:</t>
        </r>
        <r>
          <rPr>
            <sz val="9"/>
            <color indexed="81"/>
            <rFont val="Tahoma"/>
            <family val="2"/>
          </rPr>
          <t xml:space="preserve">
2018</t>
        </r>
        <r>
          <rPr>
            <sz val="9"/>
            <color indexed="81"/>
            <rFont val="宋体"/>
            <family val="3"/>
            <charset val="134"/>
          </rPr>
          <t>年</t>
        </r>
        <r>
          <rPr>
            <sz val="9"/>
            <color indexed="81"/>
            <rFont val="Tahoma"/>
            <family val="2"/>
          </rPr>
          <t>1</t>
        </r>
        <r>
          <rPr>
            <sz val="9"/>
            <color indexed="81"/>
            <rFont val="宋体"/>
            <family val="3"/>
            <charset val="134"/>
          </rPr>
          <t>季度治理销售乱象打击非法经营专项行动中，发现</t>
        </r>
        <r>
          <rPr>
            <sz val="9"/>
            <color indexed="81"/>
            <rFont val="Tahoma"/>
            <family val="2"/>
          </rPr>
          <t xml:space="preserve">1 </t>
        </r>
        <r>
          <rPr>
            <sz val="9"/>
            <color indexed="81"/>
            <rFont val="宋体"/>
            <family val="3"/>
            <charset val="134"/>
          </rPr>
          <t>名销售人员销售非保险金融产品</t>
        </r>
      </text>
    </comment>
    <comment ref="BB32" authorId="0">
      <text>
        <r>
          <rPr>
            <b/>
            <sz val="9"/>
            <color indexed="81"/>
            <rFont val="宋体"/>
            <family val="3"/>
            <charset val="134"/>
          </rPr>
          <t>徐梦薇</t>
        </r>
        <r>
          <rPr>
            <b/>
            <sz val="9"/>
            <color indexed="81"/>
            <rFont val="Tahoma"/>
            <family val="2"/>
          </rPr>
          <t>/Mengwei Xu:</t>
        </r>
        <r>
          <rPr>
            <sz val="9"/>
            <color indexed="81"/>
            <rFont val="Tahoma"/>
            <family val="2"/>
          </rPr>
          <t xml:space="preserve">
18Q2</t>
        </r>
        <r>
          <rPr>
            <sz val="9"/>
            <color indexed="81"/>
            <rFont val="宋体"/>
            <family val="3"/>
            <charset val="134"/>
          </rPr>
          <t>事件过期</t>
        </r>
      </text>
    </comment>
    <comment ref="V3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217
</t>
        </r>
        <r>
          <rPr>
            <sz val="9"/>
            <color indexed="81"/>
            <rFont val="宋体"/>
            <family val="3"/>
            <charset val="134"/>
          </rPr>
          <t>团险</t>
        </r>
        <r>
          <rPr>
            <sz val="9"/>
            <color indexed="81"/>
            <rFont val="Tahoma"/>
            <family val="2"/>
          </rPr>
          <t xml:space="preserve">3
</t>
        </r>
        <r>
          <rPr>
            <sz val="9"/>
            <color indexed="81"/>
            <rFont val="宋体"/>
            <family val="3"/>
            <charset val="134"/>
          </rPr>
          <t>银保</t>
        </r>
        <r>
          <rPr>
            <sz val="9"/>
            <color indexed="81"/>
            <rFont val="Tahoma"/>
            <family val="2"/>
          </rPr>
          <t xml:space="preserve">6
</t>
        </r>
        <r>
          <rPr>
            <sz val="9"/>
            <color indexed="81"/>
            <rFont val="宋体"/>
            <family val="3"/>
            <charset val="134"/>
          </rPr>
          <t>多元</t>
        </r>
        <r>
          <rPr>
            <sz val="9"/>
            <color indexed="81"/>
            <rFont val="Tahoma"/>
            <family val="2"/>
          </rPr>
          <t xml:space="preserve">231
</t>
        </r>
        <r>
          <rPr>
            <sz val="9"/>
            <color indexed="81"/>
            <rFont val="宋体"/>
            <family val="3"/>
            <charset val="134"/>
          </rPr>
          <t>收展</t>
        </r>
        <r>
          <rPr>
            <sz val="9"/>
            <color indexed="81"/>
            <rFont val="Tahoma"/>
            <family val="2"/>
          </rPr>
          <t>15</t>
        </r>
      </text>
    </comment>
    <comment ref="AB3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2013
</t>
        </r>
        <r>
          <rPr>
            <sz val="9"/>
            <color indexed="81"/>
            <rFont val="宋体"/>
            <family val="3"/>
            <charset val="134"/>
          </rPr>
          <t>团险</t>
        </r>
        <r>
          <rPr>
            <sz val="9"/>
            <color indexed="81"/>
            <rFont val="Tahoma"/>
            <family val="2"/>
          </rPr>
          <t xml:space="preserve">14
</t>
        </r>
        <r>
          <rPr>
            <sz val="9"/>
            <color indexed="81"/>
            <rFont val="宋体"/>
            <family val="3"/>
            <charset val="134"/>
          </rPr>
          <t>银保</t>
        </r>
        <r>
          <rPr>
            <sz val="9"/>
            <color indexed="81"/>
            <rFont val="Tahoma"/>
            <family val="2"/>
          </rPr>
          <t xml:space="preserve">169
</t>
        </r>
        <r>
          <rPr>
            <sz val="9"/>
            <color indexed="81"/>
            <rFont val="宋体"/>
            <family val="3"/>
            <charset val="134"/>
          </rPr>
          <t>多元</t>
        </r>
        <r>
          <rPr>
            <sz val="9"/>
            <color indexed="81"/>
            <rFont val="Tahoma"/>
            <family val="2"/>
          </rPr>
          <t xml:space="preserve">0
</t>
        </r>
        <r>
          <rPr>
            <sz val="9"/>
            <color indexed="81"/>
            <rFont val="宋体"/>
            <family val="3"/>
            <charset val="134"/>
          </rPr>
          <t>收展</t>
        </r>
        <r>
          <rPr>
            <sz val="9"/>
            <color indexed="81"/>
            <rFont val="Tahoma"/>
            <family val="2"/>
          </rPr>
          <t>39</t>
        </r>
      </text>
    </comment>
    <comment ref="AH3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2752
</t>
        </r>
        <r>
          <rPr>
            <sz val="9"/>
            <color indexed="81"/>
            <rFont val="宋体"/>
            <family val="3"/>
            <charset val="134"/>
          </rPr>
          <t>团险</t>
        </r>
        <r>
          <rPr>
            <sz val="9"/>
            <color indexed="81"/>
            <rFont val="Tahoma"/>
            <family val="2"/>
          </rPr>
          <t xml:space="preserve">0
</t>
        </r>
        <r>
          <rPr>
            <sz val="9"/>
            <color indexed="81"/>
            <rFont val="宋体"/>
            <family val="3"/>
            <charset val="134"/>
          </rPr>
          <t>银保</t>
        </r>
        <r>
          <rPr>
            <sz val="9"/>
            <color indexed="81"/>
            <rFont val="Tahoma"/>
            <family val="2"/>
          </rPr>
          <t xml:space="preserve">0
</t>
        </r>
        <r>
          <rPr>
            <sz val="9"/>
            <color indexed="81"/>
            <rFont val="宋体"/>
            <family val="3"/>
            <charset val="134"/>
          </rPr>
          <t>多元</t>
        </r>
        <r>
          <rPr>
            <sz val="9"/>
            <color indexed="81"/>
            <rFont val="Tahoma"/>
            <family val="2"/>
          </rPr>
          <t xml:space="preserve">780
</t>
        </r>
        <r>
          <rPr>
            <sz val="9"/>
            <color indexed="81"/>
            <rFont val="宋体"/>
            <family val="3"/>
            <charset val="134"/>
          </rPr>
          <t>收展</t>
        </r>
        <r>
          <rPr>
            <sz val="9"/>
            <color indexed="81"/>
            <rFont val="Tahoma"/>
            <family val="2"/>
          </rPr>
          <t>83</t>
        </r>
      </text>
    </comment>
    <comment ref="AN3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310
</t>
        </r>
        <r>
          <rPr>
            <sz val="9"/>
            <color indexed="81"/>
            <rFont val="宋体"/>
            <family val="3"/>
            <charset val="134"/>
          </rPr>
          <t>团险</t>
        </r>
        <r>
          <rPr>
            <sz val="9"/>
            <color indexed="81"/>
            <rFont val="Tahoma"/>
            <family val="2"/>
          </rPr>
          <t xml:space="preserve">0
</t>
        </r>
        <r>
          <rPr>
            <sz val="9"/>
            <color indexed="81"/>
            <rFont val="宋体"/>
            <family val="3"/>
            <charset val="134"/>
          </rPr>
          <t>银保</t>
        </r>
        <r>
          <rPr>
            <sz val="9"/>
            <color indexed="81"/>
            <rFont val="Tahoma"/>
            <family val="2"/>
          </rPr>
          <t xml:space="preserve">394
</t>
        </r>
        <r>
          <rPr>
            <sz val="9"/>
            <color indexed="81"/>
            <rFont val="宋体"/>
            <family val="3"/>
            <charset val="134"/>
          </rPr>
          <t>多元</t>
        </r>
        <r>
          <rPr>
            <sz val="9"/>
            <color indexed="81"/>
            <rFont val="Tahoma"/>
            <family val="2"/>
          </rPr>
          <t xml:space="preserve">0
</t>
        </r>
        <r>
          <rPr>
            <sz val="9"/>
            <color indexed="81"/>
            <rFont val="宋体"/>
            <family val="3"/>
            <charset val="134"/>
          </rPr>
          <t>收展</t>
        </r>
        <r>
          <rPr>
            <sz val="9"/>
            <color indexed="81"/>
            <rFont val="Tahoma"/>
            <family val="2"/>
          </rPr>
          <t>7</t>
        </r>
      </text>
    </comment>
    <comment ref="AP3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银保渠道承保量变化较明显</t>
        </r>
      </text>
    </comment>
    <comment ref="AT3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3084
</t>
        </r>
        <r>
          <rPr>
            <sz val="9"/>
            <color indexed="81"/>
            <rFont val="宋体"/>
            <family val="3"/>
            <charset val="134"/>
          </rPr>
          <t>团险</t>
        </r>
        <r>
          <rPr>
            <sz val="9"/>
            <color indexed="81"/>
            <rFont val="Tahoma"/>
            <family val="2"/>
          </rPr>
          <t xml:space="preserve">2
</t>
        </r>
        <r>
          <rPr>
            <sz val="9"/>
            <color indexed="81"/>
            <rFont val="宋体"/>
            <family val="3"/>
            <charset val="134"/>
          </rPr>
          <t>银保</t>
        </r>
        <r>
          <rPr>
            <sz val="9"/>
            <color indexed="81"/>
            <rFont val="Tahoma"/>
            <family val="2"/>
          </rPr>
          <t xml:space="preserve">0
</t>
        </r>
        <r>
          <rPr>
            <sz val="9"/>
            <color indexed="81"/>
            <rFont val="宋体"/>
            <family val="3"/>
            <charset val="134"/>
          </rPr>
          <t>多元</t>
        </r>
        <r>
          <rPr>
            <sz val="9"/>
            <color indexed="81"/>
            <rFont val="Tahoma"/>
            <family val="2"/>
          </rPr>
          <t xml:space="preserve">665
</t>
        </r>
        <r>
          <rPr>
            <sz val="9"/>
            <color indexed="81"/>
            <rFont val="宋体"/>
            <family val="3"/>
            <charset val="134"/>
          </rPr>
          <t>收展</t>
        </r>
        <r>
          <rPr>
            <sz val="9"/>
            <color indexed="81"/>
            <rFont val="Tahoma"/>
            <family val="2"/>
          </rPr>
          <t>61</t>
        </r>
      </text>
    </comment>
    <comment ref="AZ3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2185
</t>
        </r>
        <r>
          <rPr>
            <sz val="9"/>
            <color indexed="81"/>
            <rFont val="宋体"/>
            <family val="3"/>
            <charset val="134"/>
          </rPr>
          <t>团险</t>
        </r>
        <r>
          <rPr>
            <sz val="9"/>
            <color indexed="81"/>
            <rFont val="Tahoma"/>
            <family val="2"/>
          </rPr>
          <t xml:space="preserve">8
</t>
        </r>
        <r>
          <rPr>
            <sz val="9"/>
            <color indexed="81"/>
            <rFont val="宋体"/>
            <family val="3"/>
            <charset val="134"/>
          </rPr>
          <t>银保</t>
        </r>
        <r>
          <rPr>
            <sz val="9"/>
            <color indexed="81"/>
            <rFont val="Tahoma"/>
            <family val="2"/>
          </rPr>
          <t xml:space="preserve">137
</t>
        </r>
        <r>
          <rPr>
            <sz val="9"/>
            <color indexed="81"/>
            <rFont val="宋体"/>
            <family val="3"/>
            <charset val="134"/>
          </rPr>
          <t>多元</t>
        </r>
        <r>
          <rPr>
            <sz val="9"/>
            <color indexed="81"/>
            <rFont val="Tahoma"/>
            <family val="2"/>
          </rPr>
          <t xml:space="preserve">1141
</t>
        </r>
        <r>
          <rPr>
            <sz val="9"/>
            <color indexed="81"/>
            <rFont val="宋体"/>
            <family val="3"/>
            <charset val="134"/>
          </rPr>
          <t>收展</t>
        </r>
        <r>
          <rPr>
            <sz val="9"/>
            <color indexed="81"/>
            <rFont val="Tahoma"/>
            <family val="2"/>
          </rPr>
          <t>62</t>
        </r>
      </text>
    </comment>
    <comment ref="BF3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767</t>
        </r>
        <r>
          <rPr>
            <sz val="9"/>
            <color indexed="81"/>
            <rFont val="宋体"/>
            <family val="3"/>
            <charset val="134"/>
          </rPr>
          <t xml:space="preserve">
多元</t>
        </r>
        <r>
          <rPr>
            <sz val="9"/>
            <color indexed="81"/>
            <rFont val="Tahoma"/>
            <family val="2"/>
          </rPr>
          <t xml:space="preserve">2
</t>
        </r>
        <r>
          <rPr>
            <sz val="9"/>
            <color indexed="81"/>
            <rFont val="宋体"/>
            <family val="3"/>
            <charset val="134"/>
          </rPr>
          <t>收展</t>
        </r>
        <r>
          <rPr>
            <sz val="9"/>
            <color indexed="81"/>
            <rFont val="Tahoma"/>
            <family val="2"/>
          </rPr>
          <t>16</t>
        </r>
      </text>
    </comment>
    <comment ref="BL36" authorId="0">
      <text>
        <r>
          <rPr>
            <b/>
            <sz val="9"/>
            <color indexed="81"/>
            <rFont val="宋体"/>
            <family val="3"/>
            <charset val="134"/>
          </rPr>
          <t>徐梦薇</t>
        </r>
        <r>
          <rPr>
            <b/>
            <sz val="9"/>
            <color indexed="81"/>
            <rFont val="Tahoma"/>
            <family val="2"/>
          </rPr>
          <t xml:space="preserve">/Mengwei Xu:
</t>
        </r>
        <r>
          <rPr>
            <sz val="9"/>
            <color indexed="81"/>
            <rFont val="宋体"/>
            <family val="3"/>
            <charset val="134"/>
          </rPr>
          <t>个险</t>
        </r>
        <r>
          <rPr>
            <sz val="9"/>
            <color indexed="81"/>
            <rFont val="Tahoma"/>
            <family val="2"/>
          </rPr>
          <t>1507</t>
        </r>
        <r>
          <rPr>
            <sz val="9"/>
            <color indexed="81"/>
            <rFont val="宋体"/>
            <family val="3"/>
            <charset val="134"/>
          </rPr>
          <t xml:space="preserve">
团险</t>
        </r>
        <r>
          <rPr>
            <sz val="9"/>
            <color indexed="81"/>
            <rFont val="Tahoma"/>
            <family val="2"/>
          </rPr>
          <t>0</t>
        </r>
        <r>
          <rPr>
            <sz val="9"/>
            <color indexed="81"/>
            <rFont val="宋体"/>
            <family val="3"/>
            <charset val="134"/>
          </rPr>
          <t xml:space="preserve">
银保</t>
        </r>
        <r>
          <rPr>
            <sz val="9"/>
            <color indexed="81"/>
            <rFont val="Tahoma"/>
            <family val="2"/>
          </rPr>
          <t>243</t>
        </r>
        <r>
          <rPr>
            <sz val="9"/>
            <color indexed="81"/>
            <rFont val="宋体"/>
            <family val="3"/>
            <charset val="134"/>
          </rPr>
          <t xml:space="preserve">
多元</t>
        </r>
        <r>
          <rPr>
            <sz val="9"/>
            <color indexed="81"/>
            <rFont val="Tahoma"/>
            <family val="2"/>
          </rPr>
          <t xml:space="preserve">508
</t>
        </r>
        <r>
          <rPr>
            <sz val="9"/>
            <color indexed="81"/>
            <rFont val="宋体"/>
            <family val="3"/>
            <charset val="134"/>
          </rPr>
          <t>收展</t>
        </r>
        <r>
          <rPr>
            <sz val="9"/>
            <color indexed="81"/>
            <rFont val="Tahoma"/>
            <family val="2"/>
          </rPr>
          <t>32</t>
        </r>
      </text>
    </comment>
    <comment ref="BN3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个险渠道承保量变化较明显</t>
        </r>
      </text>
    </comment>
    <comment ref="BR3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715
</t>
        </r>
        <r>
          <rPr>
            <sz val="9"/>
            <color indexed="81"/>
            <rFont val="宋体"/>
            <family val="3"/>
            <charset val="134"/>
          </rPr>
          <t>团险</t>
        </r>
        <r>
          <rPr>
            <sz val="9"/>
            <color indexed="81"/>
            <rFont val="Tahoma"/>
            <family val="2"/>
          </rPr>
          <t xml:space="preserve">0
</t>
        </r>
        <r>
          <rPr>
            <sz val="9"/>
            <color indexed="81"/>
            <rFont val="宋体"/>
            <family val="3"/>
            <charset val="134"/>
          </rPr>
          <t>银保</t>
        </r>
        <r>
          <rPr>
            <sz val="9"/>
            <color indexed="81"/>
            <rFont val="Tahoma"/>
            <family val="2"/>
          </rPr>
          <t xml:space="preserve">0
</t>
        </r>
        <r>
          <rPr>
            <sz val="9"/>
            <color indexed="81"/>
            <rFont val="宋体"/>
            <family val="3"/>
            <charset val="134"/>
          </rPr>
          <t>多元</t>
        </r>
        <r>
          <rPr>
            <sz val="9"/>
            <color indexed="81"/>
            <rFont val="Tahoma"/>
            <family val="2"/>
          </rPr>
          <t xml:space="preserve">203
</t>
        </r>
        <r>
          <rPr>
            <sz val="9"/>
            <color indexed="81"/>
            <rFont val="宋体"/>
            <family val="3"/>
            <charset val="134"/>
          </rPr>
          <t>收展</t>
        </r>
        <r>
          <rPr>
            <sz val="9"/>
            <color indexed="81"/>
            <rFont val="Tahoma"/>
            <family val="2"/>
          </rPr>
          <t>15</t>
        </r>
      </text>
    </comment>
    <comment ref="BX3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934</t>
        </r>
        <r>
          <rPr>
            <sz val="9"/>
            <color indexed="81"/>
            <rFont val="宋体"/>
            <family val="3"/>
            <charset val="134"/>
          </rPr>
          <t xml:space="preserve">
团险</t>
        </r>
        <r>
          <rPr>
            <sz val="9"/>
            <color indexed="81"/>
            <rFont val="Tahoma"/>
            <family val="2"/>
          </rPr>
          <t>1</t>
        </r>
        <r>
          <rPr>
            <sz val="9"/>
            <color indexed="81"/>
            <rFont val="宋体"/>
            <family val="3"/>
            <charset val="134"/>
          </rPr>
          <t xml:space="preserve">
银保</t>
        </r>
        <r>
          <rPr>
            <sz val="9"/>
            <color indexed="81"/>
            <rFont val="Tahoma"/>
            <family val="2"/>
          </rPr>
          <t>5</t>
        </r>
        <r>
          <rPr>
            <sz val="9"/>
            <color indexed="81"/>
            <rFont val="宋体"/>
            <family val="3"/>
            <charset val="134"/>
          </rPr>
          <t xml:space="preserve">
多元</t>
        </r>
        <r>
          <rPr>
            <sz val="9"/>
            <color indexed="81"/>
            <rFont val="Tahoma"/>
            <family val="2"/>
          </rPr>
          <t>316</t>
        </r>
        <r>
          <rPr>
            <sz val="9"/>
            <color indexed="81"/>
            <rFont val="宋体"/>
            <family val="3"/>
            <charset val="134"/>
          </rPr>
          <t xml:space="preserve">
收展</t>
        </r>
        <r>
          <rPr>
            <sz val="9"/>
            <color indexed="81"/>
            <rFont val="Tahoma"/>
            <family val="2"/>
          </rPr>
          <t>19</t>
        </r>
      </text>
    </comment>
    <comment ref="V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219
</t>
        </r>
        <r>
          <rPr>
            <sz val="9"/>
            <color indexed="81"/>
            <rFont val="宋体"/>
            <family val="3"/>
            <charset val="134"/>
          </rPr>
          <t>团险</t>
        </r>
        <r>
          <rPr>
            <sz val="9"/>
            <color indexed="81"/>
            <rFont val="Tahoma"/>
            <family val="2"/>
          </rPr>
          <t xml:space="preserve">3
</t>
        </r>
        <r>
          <rPr>
            <sz val="9"/>
            <color indexed="81"/>
            <rFont val="宋体"/>
            <family val="3"/>
            <charset val="134"/>
          </rPr>
          <t>银保</t>
        </r>
        <r>
          <rPr>
            <sz val="9"/>
            <color indexed="81"/>
            <rFont val="Tahoma"/>
            <family val="2"/>
          </rPr>
          <t xml:space="preserve">6
</t>
        </r>
        <r>
          <rPr>
            <sz val="9"/>
            <color indexed="81"/>
            <rFont val="宋体"/>
            <family val="3"/>
            <charset val="134"/>
          </rPr>
          <t>多元</t>
        </r>
        <r>
          <rPr>
            <sz val="9"/>
            <color indexed="81"/>
            <rFont val="Tahoma"/>
            <family val="2"/>
          </rPr>
          <t xml:space="preserve">235
</t>
        </r>
        <r>
          <rPr>
            <sz val="9"/>
            <color indexed="81"/>
            <rFont val="宋体"/>
            <family val="3"/>
            <charset val="134"/>
          </rPr>
          <t>收展</t>
        </r>
        <r>
          <rPr>
            <sz val="9"/>
            <color indexed="81"/>
            <rFont val="Tahoma"/>
            <family val="2"/>
          </rPr>
          <t>15</t>
        </r>
      </text>
    </comment>
    <comment ref="AB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2029
</t>
        </r>
        <r>
          <rPr>
            <sz val="9"/>
            <color indexed="81"/>
            <rFont val="宋体"/>
            <family val="3"/>
            <charset val="134"/>
          </rPr>
          <t>团险</t>
        </r>
        <r>
          <rPr>
            <sz val="9"/>
            <color indexed="81"/>
            <rFont val="Tahoma"/>
            <family val="2"/>
          </rPr>
          <t xml:space="preserve">14
</t>
        </r>
        <r>
          <rPr>
            <sz val="9"/>
            <color indexed="81"/>
            <rFont val="宋体"/>
            <family val="3"/>
            <charset val="134"/>
          </rPr>
          <t>银保</t>
        </r>
        <r>
          <rPr>
            <sz val="9"/>
            <color indexed="81"/>
            <rFont val="Tahoma"/>
            <family val="2"/>
          </rPr>
          <t xml:space="preserve">172
</t>
        </r>
        <r>
          <rPr>
            <sz val="9"/>
            <color indexed="81"/>
            <rFont val="宋体"/>
            <family val="3"/>
            <charset val="134"/>
          </rPr>
          <t>多元</t>
        </r>
        <r>
          <rPr>
            <sz val="9"/>
            <color indexed="81"/>
            <rFont val="Tahoma"/>
            <family val="2"/>
          </rPr>
          <t xml:space="preserve">0
</t>
        </r>
        <r>
          <rPr>
            <sz val="9"/>
            <color indexed="81"/>
            <rFont val="宋体"/>
            <family val="3"/>
            <charset val="134"/>
          </rPr>
          <t>收展</t>
        </r>
        <r>
          <rPr>
            <sz val="9"/>
            <color indexed="81"/>
            <rFont val="Tahoma"/>
            <family val="2"/>
          </rPr>
          <t>39</t>
        </r>
      </text>
    </comment>
    <comment ref="AH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2763
</t>
        </r>
        <r>
          <rPr>
            <sz val="9"/>
            <color indexed="81"/>
            <rFont val="宋体"/>
            <family val="3"/>
            <charset val="134"/>
          </rPr>
          <t>团险</t>
        </r>
        <r>
          <rPr>
            <sz val="9"/>
            <color indexed="81"/>
            <rFont val="Tahoma"/>
            <family val="2"/>
          </rPr>
          <t xml:space="preserve">0
</t>
        </r>
        <r>
          <rPr>
            <sz val="9"/>
            <color indexed="81"/>
            <rFont val="宋体"/>
            <family val="3"/>
            <charset val="134"/>
          </rPr>
          <t>银保</t>
        </r>
        <r>
          <rPr>
            <sz val="9"/>
            <color indexed="81"/>
            <rFont val="Tahoma"/>
            <family val="2"/>
          </rPr>
          <t xml:space="preserve">0
</t>
        </r>
        <r>
          <rPr>
            <sz val="9"/>
            <color indexed="81"/>
            <rFont val="宋体"/>
            <family val="3"/>
            <charset val="134"/>
          </rPr>
          <t>多元</t>
        </r>
        <r>
          <rPr>
            <sz val="9"/>
            <color indexed="81"/>
            <rFont val="Tahoma"/>
            <family val="2"/>
          </rPr>
          <t xml:space="preserve">795
</t>
        </r>
        <r>
          <rPr>
            <sz val="9"/>
            <color indexed="81"/>
            <rFont val="宋体"/>
            <family val="3"/>
            <charset val="134"/>
          </rPr>
          <t>收展</t>
        </r>
        <r>
          <rPr>
            <sz val="9"/>
            <color indexed="81"/>
            <rFont val="Tahoma"/>
            <family val="2"/>
          </rPr>
          <t>84</t>
        </r>
      </text>
    </comment>
    <comment ref="AN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313
</t>
        </r>
        <r>
          <rPr>
            <sz val="9"/>
            <color indexed="81"/>
            <rFont val="宋体"/>
            <family val="3"/>
            <charset val="134"/>
          </rPr>
          <t>团险</t>
        </r>
        <r>
          <rPr>
            <sz val="9"/>
            <color indexed="81"/>
            <rFont val="Tahoma"/>
            <family val="2"/>
          </rPr>
          <t xml:space="preserve">0
</t>
        </r>
        <r>
          <rPr>
            <sz val="9"/>
            <color indexed="81"/>
            <rFont val="宋体"/>
            <family val="3"/>
            <charset val="134"/>
          </rPr>
          <t>银保</t>
        </r>
        <r>
          <rPr>
            <sz val="9"/>
            <color indexed="81"/>
            <rFont val="Tahoma"/>
            <family val="2"/>
          </rPr>
          <t xml:space="preserve">402
</t>
        </r>
        <r>
          <rPr>
            <sz val="9"/>
            <color indexed="81"/>
            <rFont val="宋体"/>
            <family val="3"/>
            <charset val="134"/>
          </rPr>
          <t>多元</t>
        </r>
        <r>
          <rPr>
            <sz val="9"/>
            <color indexed="81"/>
            <rFont val="Tahoma"/>
            <family val="2"/>
          </rPr>
          <t xml:space="preserve">0
</t>
        </r>
        <r>
          <rPr>
            <sz val="9"/>
            <color indexed="81"/>
            <rFont val="宋体"/>
            <family val="3"/>
            <charset val="134"/>
          </rPr>
          <t>收展</t>
        </r>
        <r>
          <rPr>
            <sz val="9"/>
            <color indexed="81"/>
            <rFont val="Tahoma"/>
            <family val="2"/>
          </rPr>
          <t>7</t>
        </r>
      </text>
    </comment>
    <comment ref="AP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银保渠道承保量变化较明显</t>
        </r>
      </text>
    </comment>
    <comment ref="AT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3106
</t>
        </r>
        <r>
          <rPr>
            <sz val="9"/>
            <color indexed="81"/>
            <rFont val="宋体"/>
            <family val="3"/>
            <charset val="134"/>
          </rPr>
          <t>团险</t>
        </r>
        <r>
          <rPr>
            <sz val="9"/>
            <color indexed="81"/>
            <rFont val="Tahoma"/>
            <family val="2"/>
          </rPr>
          <t xml:space="preserve">2
</t>
        </r>
        <r>
          <rPr>
            <sz val="9"/>
            <color indexed="81"/>
            <rFont val="宋体"/>
            <family val="3"/>
            <charset val="134"/>
          </rPr>
          <t>银保</t>
        </r>
        <r>
          <rPr>
            <sz val="9"/>
            <color indexed="81"/>
            <rFont val="Tahoma"/>
            <family val="2"/>
          </rPr>
          <t xml:space="preserve">0
</t>
        </r>
        <r>
          <rPr>
            <sz val="9"/>
            <color indexed="81"/>
            <rFont val="宋体"/>
            <family val="3"/>
            <charset val="134"/>
          </rPr>
          <t>多元</t>
        </r>
        <r>
          <rPr>
            <sz val="9"/>
            <color indexed="81"/>
            <rFont val="Tahoma"/>
            <family val="2"/>
          </rPr>
          <t xml:space="preserve">685
</t>
        </r>
        <r>
          <rPr>
            <sz val="9"/>
            <color indexed="81"/>
            <rFont val="宋体"/>
            <family val="3"/>
            <charset val="134"/>
          </rPr>
          <t>收展</t>
        </r>
        <r>
          <rPr>
            <sz val="9"/>
            <color indexed="81"/>
            <rFont val="Tahoma"/>
            <family val="2"/>
          </rPr>
          <t>64</t>
        </r>
      </text>
    </comment>
    <comment ref="AZ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2203
</t>
        </r>
        <r>
          <rPr>
            <sz val="9"/>
            <color indexed="81"/>
            <rFont val="宋体"/>
            <family val="3"/>
            <charset val="134"/>
          </rPr>
          <t>团险</t>
        </r>
        <r>
          <rPr>
            <sz val="9"/>
            <color indexed="81"/>
            <rFont val="Tahoma"/>
            <family val="2"/>
          </rPr>
          <t xml:space="preserve">8
</t>
        </r>
        <r>
          <rPr>
            <sz val="9"/>
            <color indexed="81"/>
            <rFont val="宋体"/>
            <family val="3"/>
            <charset val="134"/>
          </rPr>
          <t>银保</t>
        </r>
        <r>
          <rPr>
            <sz val="9"/>
            <color indexed="81"/>
            <rFont val="Tahoma"/>
            <family val="2"/>
          </rPr>
          <t xml:space="preserve">144
</t>
        </r>
        <r>
          <rPr>
            <sz val="9"/>
            <color indexed="81"/>
            <rFont val="宋体"/>
            <family val="3"/>
            <charset val="134"/>
          </rPr>
          <t>多元</t>
        </r>
        <r>
          <rPr>
            <sz val="9"/>
            <color indexed="81"/>
            <rFont val="Tahoma"/>
            <family val="2"/>
          </rPr>
          <t xml:space="preserve">1151
</t>
        </r>
        <r>
          <rPr>
            <sz val="9"/>
            <color indexed="81"/>
            <rFont val="宋体"/>
            <family val="3"/>
            <charset val="134"/>
          </rPr>
          <t>收展</t>
        </r>
        <r>
          <rPr>
            <sz val="9"/>
            <color indexed="81"/>
            <rFont val="Tahoma"/>
            <family val="2"/>
          </rPr>
          <t>64</t>
        </r>
      </text>
    </comment>
    <comment ref="BF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773
</t>
        </r>
        <r>
          <rPr>
            <sz val="9"/>
            <color indexed="81"/>
            <rFont val="宋体"/>
            <family val="3"/>
            <charset val="134"/>
          </rPr>
          <t>多元</t>
        </r>
        <r>
          <rPr>
            <sz val="9"/>
            <color indexed="81"/>
            <rFont val="Tahoma"/>
            <family val="2"/>
          </rPr>
          <t>2</t>
        </r>
        <r>
          <rPr>
            <sz val="9"/>
            <color indexed="81"/>
            <rFont val="宋体"/>
            <family val="3"/>
            <charset val="134"/>
          </rPr>
          <t xml:space="preserve">
收展</t>
        </r>
        <r>
          <rPr>
            <sz val="9"/>
            <color indexed="81"/>
            <rFont val="Tahoma"/>
            <family val="2"/>
          </rPr>
          <t>16</t>
        </r>
      </text>
    </comment>
    <comment ref="BL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1523
</t>
        </r>
        <r>
          <rPr>
            <sz val="9"/>
            <color indexed="81"/>
            <rFont val="宋体"/>
            <family val="3"/>
            <charset val="134"/>
          </rPr>
          <t>团险</t>
        </r>
        <r>
          <rPr>
            <sz val="9"/>
            <color indexed="81"/>
            <rFont val="Tahoma"/>
            <family val="2"/>
          </rPr>
          <t xml:space="preserve">0
</t>
        </r>
        <r>
          <rPr>
            <sz val="9"/>
            <color indexed="81"/>
            <rFont val="宋体"/>
            <family val="3"/>
            <charset val="134"/>
          </rPr>
          <t>银保</t>
        </r>
        <r>
          <rPr>
            <sz val="9"/>
            <color indexed="81"/>
            <rFont val="Tahoma"/>
            <family val="2"/>
          </rPr>
          <t xml:space="preserve">259
</t>
        </r>
        <r>
          <rPr>
            <sz val="9"/>
            <color indexed="81"/>
            <rFont val="宋体"/>
            <family val="3"/>
            <charset val="134"/>
          </rPr>
          <t>多元</t>
        </r>
        <r>
          <rPr>
            <sz val="9"/>
            <color indexed="81"/>
            <rFont val="Tahoma"/>
            <family val="2"/>
          </rPr>
          <t xml:space="preserve">512
</t>
        </r>
        <r>
          <rPr>
            <sz val="9"/>
            <color indexed="81"/>
            <rFont val="宋体"/>
            <family val="3"/>
            <charset val="134"/>
          </rPr>
          <t>收展</t>
        </r>
        <r>
          <rPr>
            <sz val="9"/>
            <color indexed="81"/>
            <rFont val="Tahoma"/>
            <family val="2"/>
          </rPr>
          <t>32</t>
        </r>
      </text>
    </comment>
    <comment ref="BR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729
</t>
        </r>
        <r>
          <rPr>
            <sz val="9"/>
            <color indexed="81"/>
            <rFont val="宋体"/>
            <family val="3"/>
            <charset val="134"/>
          </rPr>
          <t>团险</t>
        </r>
        <r>
          <rPr>
            <sz val="9"/>
            <color indexed="81"/>
            <rFont val="Tahoma"/>
            <family val="2"/>
          </rPr>
          <t xml:space="preserve">0
</t>
        </r>
        <r>
          <rPr>
            <sz val="9"/>
            <color indexed="81"/>
            <rFont val="宋体"/>
            <family val="3"/>
            <charset val="134"/>
          </rPr>
          <t>银保</t>
        </r>
        <r>
          <rPr>
            <sz val="9"/>
            <color indexed="81"/>
            <rFont val="Tahoma"/>
            <family val="2"/>
          </rPr>
          <t xml:space="preserve">0
</t>
        </r>
        <r>
          <rPr>
            <sz val="9"/>
            <color indexed="81"/>
            <rFont val="宋体"/>
            <family val="3"/>
            <charset val="134"/>
          </rPr>
          <t>多元</t>
        </r>
        <r>
          <rPr>
            <sz val="9"/>
            <color indexed="81"/>
            <rFont val="Tahoma"/>
            <family val="2"/>
          </rPr>
          <t xml:space="preserve">220
</t>
        </r>
        <r>
          <rPr>
            <sz val="9"/>
            <color indexed="81"/>
            <rFont val="宋体"/>
            <family val="3"/>
            <charset val="134"/>
          </rPr>
          <t>收展</t>
        </r>
        <r>
          <rPr>
            <sz val="9"/>
            <color indexed="81"/>
            <rFont val="Tahoma"/>
            <family val="2"/>
          </rPr>
          <t>15</t>
        </r>
      </text>
    </comment>
    <comment ref="BX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944
</t>
        </r>
        <r>
          <rPr>
            <sz val="9"/>
            <color indexed="81"/>
            <rFont val="宋体"/>
            <family val="3"/>
            <charset val="134"/>
          </rPr>
          <t>团险</t>
        </r>
        <r>
          <rPr>
            <sz val="9"/>
            <color indexed="81"/>
            <rFont val="Tahoma"/>
            <family val="2"/>
          </rPr>
          <t xml:space="preserve">1
</t>
        </r>
        <r>
          <rPr>
            <sz val="9"/>
            <color indexed="81"/>
            <rFont val="宋体"/>
            <family val="3"/>
            <charset val="134"/>
          </rPr>
          <t>银保</t>
        </r>
        <r>
          <rPr>
            <sz val="9"/>
            <color indexed="81"/>
            <rFont val="Tahoma"/>
            <family val="2"/>
          </rPr>
          <t xml:space="preserve">5
</t>
        </r>
        <r>
          <rPr>
            <sz val="9"/>
            <color indexed="81"/>
            <rFont val="宋体"/>
            <family val="3"/>
            <charset val="134"/>
          </rPr>
          <t>多元</t>
        </r>
        <r>
          <rPr>
            <sz val="9"/>
            <color indexed="81"/>
            <rFont val="Tahoma"/>
            <family val="2"/>
          </rPr>
          <t xml:space="preserve">328
</t>
        </r>
        <r>
          <rPr>
            <sz val="9"/>
            <color indexed="81"/>
            <rFont val="宋体"/>
            <family val="3"/>
            <charset val="134"/>
          </rPr>
          <t>收展</t>
        </r>
        <r>
          <rPr>
            <sz val="9"/>
            <color indexed="81"/>
            <rFont val="Tahoma"/>
            <family val="2"/>
          </rPr>
          <t>19</t>
        </r>
      </text>
    </comment>
    <comment ref="V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215
</t>
        </r>
        <r>
          <rPr>
            <sz val="9"/>
            <color indexed="81"/>
            <rFont val="宋体"/>
            <family val="3"/>
            <charset val="134"/>
          </rPr>
          <t>团险</t>
        </r>
        <r>
          <rPr>
            <sz val="9"/>
            <color indexed="81"/>
            <rFont val="Tahoma"/>
            <family val="2"/>
          </rPr>
          <t xml:space="preserve">3
</t>
        </r>
        <r>
          <rPr>
            <sz val="9"/>
            <color indexed="81"/>
            <rFont val="宋体"/>
            <family val="3"/>
            <charset val="134"/>
          </rPr>
          <t>银保</t>
        </r>
        <r>
          <rPr>
            <sz val="9"/>
            <color indexed="81"/>
            <rFont val="Tahoma"/>
            <family val="2"/>
          </rPr>
          <t xml:space="preserve">6
</t>
        </r>
        <r>
          <rPr>
            <sz val="9"/>
            <color indexed="81"/>
            <rFont val="宋体"/>
            <family val="3"/>
            <charset val="134"/>
          </rPr>
          <t>多元</t>
        </r>
        <r>
          <rPr>
            <sz val="9"/>
            <color indexed="81"/>
            <rFont val="Tahoma"/>
            <family val="2"/>
          </rPr>
          <t xml:space="preserve">232
</t>
        </r>
        <r>
          <rPr>
            <sz val="9"/>
            <color indexed="81"/>
            <rFont val="宋体"/>
            <family val="3"/>
            <charset val="134"/>
          </rPr>
          <t>收展</t>
        </r>
        <r>
          <rPr>
            <sz val="9"/>
            <color indexed="81"/>
            <rFont val="Tahoma"/>
            <family val="2"/>
          </rPr>
          <t>15</t>
        </r>
      </text>
    </comment>
    <comment ref="AB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2005
</t>
        </r>
        <r>
          <rPr>
            <sz val="9"/>
            <color indexed="81"/>
            <rFont val="宋体"/>
            <family val="3"/>
            <charset val="134"/>
          </rPr>
          <t>团险</t>
        </r>
        <r>
          <rPr>
            <sz val="9"/>
            <color indexed="81"/>
            <rFont val="Tahoma"/>
            <family val="2"/>
          </rPr>
          <t xml:space="preserve">14
</t>
        </r>
        <r>
          <rPr>
            <sz val="9"/>
            <color indexed="81"/>
            <rFont val="宋体"/>
            <family val="3"/>
            <charset val="134"/>
          </rPr>
          <t>银保</t>
        </r>
        <r>
          <rPr>
            <sz val="9"/>
            <color indexed="81"/>
            <rFont val="Tahoma"/>
            <family val="2"/>
          </rPr>
          <t xml:space="preserve">168
</t>
        </r>
        <r>
          <rPr>
            <sz val="9"/>
            <color indexed="81"/>
            <rFont val="宋体"/>
            <family val="3"/>
            <charset val="134"/>
          </rPr>
          <t>多元</t>
        </r>
        <r>
          <rPr>
            <sz val="9"/>
            <color indexed="81"/>
            <rFont val="Tahoma"/>
            <family val="2"/>
          </rPr>
          <t xml:space="preserve">0
</t>
        </r>
        <r>
          <rPr>
            <sz val="9"/>
            <color indexed="81"/>
            <rFont val="宋体"/>
            <family val="3"/>
            <charset val="134"/>
          </rPr>
          <t>收展</t>
        </r>
        <r>
          <rPr>
            <sz val="9"/>
            <color indexed="81"/>
            <rFont val="Tahoma"/>
            <family val="2"/>
          </rPr>
          <t>39</t>
        </r>
      </text>
    </comment>
    <comment ref="AH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2743
</t>
        </r>
        <r>
          <rPr>
            <sz val="9"/>
            <color indexed="81"/>
            <rFont val="宋体"/>
            <family val="3"/>
            <charset val="134"/>
          </rPr>
          <t>团险</t>
        </r>
        <r>
          <rPr>
            <sz val="9"/>
            <color indexed="81"/>
            <rFont val="Tahoma"/>
            <family val="2"/>
          </rPr>
          <t xml:space="preserve">0
</t>
        </r>
        <r>
          <rPr>
            <sz val="9"/>
            <color indexed="81"/>
            <rFont val="宋体"/>
            <family val="3"/>
            <charset val="134"/>
          </rPr>
          <t>银保</t>
        </r>
        <r>
          <rPr>
            <sz val="9"/>
            <color indexed="81"/>
            <rFont val="Tahoma"/>
            <family val="2"/>
          </rPr>
          <t xml:space="preserve">0
</t>
        </r>
        <r>
          <rPr>
            <sz val="9"/>
            <color indexed="81"/>
            <rFont val="宋体"/>
            <family val="3"/>
            <charset val="134"/>
          </rPr>
          <t>多元</t>
        </r>
        <r>
          <rPr>
            <sz val="9"/>
            <color indexed="81"/>
            <rFont val="Tahoma"/>
            <family val="2"/>
          </rPr>
          <t xml:space="preserve">786
</t>
        </r>
        <r>
          <rPr>
            <sz val="9"/>
            <color indexed="81"/>
            <rFont val="宋体"/>
            <family val="3"/>
            <charset val="134"/>
          </rPr>
          <t>收展</t>
        </r>
        <r>
          <rPr>
            <sz val="9"/>
            <color indexed="81"/>
            <rFont val="Tahoma"/>
            <family val="2"/>
          </rPr>
          <t>80</t>
        </r>
      </text>
    </comment>
    <comment ref="AN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310
</t>
        </r>
        <r>
          <rPr>
            <sz val="9"/>
            <color indexed="81"/>
            <rFont val="宋体"/>
            <family val="3"/>
            <charset val="134"/>
          </rPr>
          <t>团险</t>
        </r>
        <r>
          <rPr>
            <sz val="9"/>
            <color indexed="81"/>
            <rFont val="Tahoma"/>
            <family val="2"/>
          </rPr>
          <t xml:space="preserve">0
</t>
        </r>
        <r>
          <rPr>
            <sz val="9"/>
            <color indexed="81"/>
            <rFont val="宋体"/>
            <family val="3"/>
            <charset val="134"/>
          </rPr>
          <t>银保</t>
        </r>
        <r>
          <rPr>
            <sz val="9"/>
            <color indexed="81"/>
            <rFont val="Tahoma"/>
            <family val="2"/>
          </rPr>
          <t xml:space="preserve">385
</t>
        </r>
        <r>
          <rPr>
            <sz val="9"/>
            <color indexed="81"/>
            <rFont val="宋体"/>
            <family val="3"/>
            <charset val="134"/>
          </rPr>
          <t>多元</t>
        </r>
        <r>
          <rPr>
            <sz val="9"/>
            <color indexed="81"/>
            <rFont val="Tahoma"/>
            <family val="2"/>
          </rPr>
          <t xml:space="preserve">0
</t>
        </r>
        <r>
          <rPr>
            <sz val="9"/>
            <color indexed="81"/>
            <rFont val="宋体"/>
            <family val="3"/>
            <charset val="134"/>
          </rPr>
          <t>收展</t>
        </r>
        <r>
          <rPr>
            <sz val="9"/>
            <color indexed="81"/>
            <rFont val="Tahoma"/>
            <family val="2"/>
          </rPr>
          <t>7</t>
        </r>
      </text>
    </comment>
    <comment ref="AP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银保渠道承保量变化较明显</t>
        </r>
      </text>
    </comment>
    <comment ref="AT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3074
</t>
        </r>
        <r>
          <rPr>
            <sz val="9"/>
            <color indexed="81"/>
            <rFont val="宋体"/>
            <family val="3"/>
            <charset val="134"/>
          </rPr>
          <t>团险</t>
        </r>
        <r>
          <rPr>
            <sz val="9"/>
            <color indexed="81"/>
            <rFont val="Tahoma"/>
            <family val="2"/>
          </rPr>
          <t xml:space="preserve">2
</t>
        </r>
        <r>
          <rPr>
            <sz val="9"/>
            <color indexed="81"/>
            <rFont val="宋体"/>
            <family val="3"/>
            <charset val="134"/>
          </rPr>
          <t>银保</t>
        </r>
        <r>
          <rPr>
            <sz val="9"/>
            <color indexed="81"/>
            <rFont val="Tahoma"/>
            <family val="2"/>
          </rPr>
          <t xml:space="preserve">0
</t>
        </r>
        <r>
          <rPr>
            <sz val="9"/>
            <color indexed="81"/>
            <rFont val="宋体"/>
            <family val="3"/>
            <charset val="134"/>
          </rPr>
          <t>多元</t>
        </r>
        <r>
          <rPr>
            <sz val="9"/>
            <color indexed="81"/>
            <rFont val="Tahoma"/>
            <family val="2"/>
          </rPr>
          <t xml:space="preserve">668
</t>
        </r>
        <r>
          <rPr>
            <sz val="9"/>
            <color indexed="81"/>
            <rFont val="宋体"/>
            <family val="3"/>
            <charset val="134"/>
          </rPr>
          <t>收展</t>
        </r>
        <r>
          <rPr>
            <sz val="9"/>
            <color indexed="81"/>
            <rFont val="Tahoma"/>
            <family val="2"/>
          </rPr>
          <t>62</t>
        </r>
      </text>
    </comment>
    <comment ref="AZ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2179
</t>
        </r>
        <r>
          <rPr>
            <sz val="9"/>
            <color indexed="81"/>
            <rFont val="宋体"/>
            <family val="3"/>
            <charset val="134"/>
          </rPr>
          <t>团险</t>
        </r>
        <r>
          <rPr>
            <sz val="9"/>
            <color indexed="81"/>
            <rFont val="Tahoma"/>
            <family val="2"/>
          </rPr>
          <t xml:space="preserve">8
</t>
        </r>
        <r>
          <rPr>
            <sz val="9"/>
            <color indexed="81"/>
            <rFont val="宋体"/>
            <family val="3"/>
            <charset val="134"/>
          </rPr>
          <t>银保</t>
        </r>
        <r>
          <rPr>
            <sz val="9"/>
            <color indexed="81"/>
            <rFont val="Tahoma"/>
            <family val="2"/>
          </rPr>
          <t xml:space="preserve">135
</t>
        </r>
        <r>
          <rPr>
            <sz val="9"/>
            <color indexed="81"/>
            <rFont val="宋体"/>
            <family val="3"/>
            <charset val="134"/>
          </rPr>
          <t>多元</t>
        </r>
        <r>
          <rPr>
            <sz val="9"/>
            <color indexed="81"/>
            <rFont val="Tahoma"/>
            <family val="2"/>
          </rPr>
          <t xml:space="preserve">1138
</t>
        </r>
        <r>
          <rPr>
            <sz val="9"/>
            <color indexed="81"/>
            <rFont val="宋体"/>
            <family val="3"/>
            <charset val="134"/>
          </rPr>
          <t>收展</t>
        </r>
        <r>
          <rPr>
            <sz val="9"/>
            <color indexed="81"/>
            <rFont val="Tahoma"/>
            <family val="2"/>
          </rPr>
          <t>62</t>
        </r>
      </text>
    </comment>
    <comment ref="BF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765
</t>
        </r>
        <r>
          <rPr>
            <sz val="9"/>
            <color indexed="81"/>
            <rFont val="宋体"/>
            <family val="3"/>
            <charset val="134"/>
          </rPr>
          <t>多元</t>
        </r>
        <r>
          <rPr>
            <sz val="9"/>
            <color indexed="81"/>
            <rFont val="Tahoma"/>
            <family val="2"/>
          </rPr>
          <t>2</t>
        </r>
        <r>
          <rPr>
            <sz val="9"/>
            <color indexed="81"/>
            <rFont val="宋体"/>
            <family val="3"/>
            <charset val="134"/>
          </rPr>
          <t xml:space="preserve">
收展</t>
        </r>
        <r>
          <rPr>
            <sz val="9"/>
            <color indexed="81"/>
            <rFont val="Tahoma"/>
            <family val="2"/>
          </rPr>
          <t>16</t>
        </r>
      </text>
    </comment>
    <comment ref="BL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1493</t>
        </r>
        <r>
          <rPr>
            <sz val="9"/>
            <color indexed="81"/>
            <rFont val="宋体"/>
            <family val="3"/>
            <charset val="134"/>
          </rPr>
          <t xml:space="preserve">
团险</t>
        </r>
        <r>
          <rPr>
            <sz val="9"/>
            <color indexed="81"/>
            <rFont val="Tahoma"/>
            <family val="2"/>
          </rPr>
          <t>0</t>
        </r>
        <r>
          <rPr>
            <sz val="9"/>
            <color indexed="81"/>
            <rFont val="宋体"/>
            <family val="3"/>
            <charset val="134"/>
          </rPr>
          <t xml:space="preserve">
银保</t>
        </r>
        <r>
          <rPr>
            <sz val="9"/>
            <color indexed="81"/>
            <rFont val="Tahoma"/>
            <family val="2"/>
          </rPr>
          <t>240</t>
        </r>
        <r>
          <rPr>
            <sz val="9"/>
            <color indexed="81"/>
            <rFont val="宋体"/>
            <family val="3"/>
            <charset val="134"/>
          </rPr>
          <t xml:space="preserve">
多元</t>
        </r>
        <r>
          <rPr>
            <sz val="9"/>
            <color indexed="81"/>
            <rFont val="Tahoma"/>
            <family val="2"/>
          </rPr>
          <t>501</t>
        </r>
        <r>
          <rPr>
            <sz val="9"/>
            <color indexed="81"/>
            <rFont val="宋体"/>
            <family val="3"/>
            <charset val="134"/>
          </rPr>
          <t xml:space="preserve">
收展</t>
        </r>
        <r>
          <rPr>
            <sz val="9"/>
            <color indexed="81"/>
            <rFont val="Tahoma"/>
            <family val="2"/>
          </rPr>
          <t>32</t>
        </r>
      </text>
    </comment>
    <comment ref="BN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个险渠道承保量变化较明显</t>
        </r>
      </text>
    </comment>
    <comment ref="BR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718
</t>
        </r>
        <r>
          <rPr>
            <sz val="9"/>
            <color indexed="81"/>
            <rFont val="宋体"/>
            <family val="3"/>
            <charset val="134"/>
          </rPr>
          <t>团险</t>
        </r>
        <r>
          <rPr>
            <sz val="9"/>
            <color indexed="81"/>
            <rFont val="Tahoma"/>
            <family val="2"/>
          </rPr>
          <t xml:space="preserve">0
</t>
        </r>
        <r>
          <rPr>
            <sz val="9"/>
            <color indexed="81"/>
            <rFont val="宋体"/>
            <family val="3"/>
            <charset val="134"/>
          </rPr>
          <t>银保</t>
        </r>
        <r>
          <rPr>
            <sz val="9"/>
            <color indexed="81"/>
            <rFont val="Tahoma"/>
            <family val="2"/>
          </rPr>
          <t xml:space="preserve">0
</t>
        </r>
        <r>
          <rPr>
            <sz val="9"/>
            <color indexed="81"/>
            <rFont val="宋体"/>
            <family val="3"/>
            <charset val="134"/>
          </rPr>
          <t>多元</t>
        </r>
        <r>
          <rPr>
            <sz val="9"/>
            <color indexed="81"/>
            <rFont val="Tahoma"/>
            <family val="2"/>
          </rPr>
          <t xml:space="preserve">209
</t>
        </r>
        <r>
          <rPr>
            <sz val="9"/>
            <color indexed="81"/>
            <rFont val="宋体"/>
            <family val="3"/>
            <charset val="134"/>
          </rPr>
          <t>收展</t>
        </r>
        <r>
          <rPr>
            <sz val="9"/>
            <color indexed="81"/>
            <rFont val="Tahoma"/>
            <family val="2"/>
          </rPr>
          <t>15</t>
        </r>
      </text>
    </comment>
    <comment ref="BX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928
</t>
        </r>
        <r>
          <rPr>
            <sz val="9"/>
            <color indexed="81"/>
            <rFont val="宋体"/>
            <family val="3"/>
            <charset val="134"/>
          </rPr>
          <t>团险</t>
        </r>
        <r>
          <rPr>
            <sz val="9"/>
            <color indexed="81"/>
            <rFont val="Tahoma"/>
            <family val="2"/>
          </rPr>
          <t xml:space="preserve">1
</t>
        </r>
        <r>
          <rPr>
            <sz val="9"/>
            <color indexed="81"/>
            <rFont val="宋体"/>
            <family val="3"/>
            <charset val="134"/>
          </rPr>
          <t>银保</t>
        </r>
        <r>
          <rPr>
            <sz val="9"/>
            <color indexed="81"/>
            <rFont val="Tahoma"/>
            <family val="2"/>
          </rPr>
          <t xml:space="preserve">5
</t>
        </r>
        <r>
          <rPr>
            <sz val="9"/>
            <color indexed="81"/>
            <rFont val="宋体"/>
            <family val="3"/>
            <charset val="134"/>
          </rPr>
          <t>多元</t>
        </r>
        <r>
          <rPr>
            <sz val="9"/>
            <color indexed="81"/>
            <rFont val="Tahoma"/>
            <family val="2"/>
          </rPr>
          <t xml:space="preserve">325
</t>
        </r>
        <r>
          <rPr>
            <sz val="9"/>
            <color indexed="81"/>
            <rFont val="宋体"/>
            <family val="3"/>
            <charset val="134"/>
          </rPr>
          <t>收展</t>
        </r>
        <r>
          <rPr>
            <sz val="9"/>
            <color indexed="81"/>
            <rFont val="Tahoma"/>
            <family val="2"/>
          </rPr>
          <t>19</t>
        </r>
      </text>
    </comment>
    <comment ref="V4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219
</t>
        </r>
        <r>
          <rPr>
            <sz val="9"/>
            <color indexed="81"/>
            <rFont val="宋体"/>
            <family val="3"/>
            <charset val="134"/>
          </rPr>
          <t>团险</t>
        </r>
        <r>
          <rPr>
            <sz val="9"/>
            <color indexed="81"/>
            <rFont val="Tahoma"/>
            <family val="2"/>
          </rPr>
          <t xml:space="preserve">3
</t>
        </r>
        <r>
          <rPr>
            <sz val="9"/>
            <color indexed="81"/>
            <rFont val="宋体"/>
            <family val="3"/>
            <charset val="134"/>
          </rPr>
          <t>银保</t>
        </r>
        <r>
          <rPr>
            <sz val="9"/>
            <color indexed="81"/>
            <rFont val="Tahoma"/>
            <family val="2"/>
          </rPr>
          <t xml:space="preserve">6
</t>
        </r>
        <r>
          <rPr>
            <sz val="9"/>
            <color indexed="81"/>
            <rFont val="宋体"/>
            <family val="3"/>
            <charset val="134"/>
          </rPr>
          <t>多元</t>
        </r>
        <r>
          <rPr>
            <sz val="9"/>
            <color indexed="81"/>
            <rFont val="Tahoma"/>
            <family val="2"/>
          </rPr>
          <t xml:space="preserve">235
</t>
        </r>
        <r>
          <rPr>
            <sz val="9"/>
            <color indexed="81"/>
            <rFont val="宋体"/>
            <family val="3"/>
            <charset val="134"/>
          </rPr>
          <t>收展</t>
        </r>
        <r>
          <rPr>
            <sz val="9"/>
            <color indexed="81"/>
            <rFont val="Tahoma"/>
            <family val="2"/>
          </rPr>
          <t>15</t>
        </r>
      </text>
    </comment>
    <comment ref="AB4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2029
</t>
        </r>
        <r>
          <rPr>
            <sz val="9"/>
            <color indexed="81"/>
            <rFont val="宋体"/>
            <family val="3"/>
            <charset val="134"/>
          </rPr>
          <t>团险</t>
        </r>
        <r>
          <rPr>
            <sz val="9"/>
            <color indexed="81"/>
            <rFont val="Tahoma"/>
            <family val="2"/>
          </rPr>
          <t xml:space="preserve">14
</t>
        </r>
        <r>
          <rPr>
            <sz val="9"/>
            <color indexed="81"/>
            <rFont val="宋体"/>
            <family val="3"/>
            <charset val="134"/>
          </rPr>
          <t>银保</t>
        </r>
        <r>
          <rPr>
            <sz val="9"/>
            <color indexed="81"/>
            <rFont val="Tahoma"/>
            <family val="2"/>
          </rPr>
          <t xml:space="preserve">172
</t>
        </r>
        <r>
          <rPr>
            <sz val="9"/>
            <color indexed="81"/>
            <rFont val="宋体"/>
            <family val="3"/>
            <charset val="134"/>
          </rPr>
          <t>多元</t>
        </r>
        <r>
          <rPr>
            <sz val="9"/>
            <color indexed="81"/>
            <rFont val="Tahoma"/>
            <family val="2"/>
          </rPr>
          <t xml:space="preserve">0
</t>
        </r>
        <r>
          <rPr>
            <sz val="9"/>
            <color indexed="81"/>
            <rFont val="宋体"/>
            <family val="3"/>
            <charset val="134"/>
          </rPr>
          <t>收展</t>
        </r>
        <r>
          <rPr>
            <sz val="9"/>
            <color indexed="81"/>
            <rFont val="Tahoma"/>
            <family val="2"/>
          </rPr>
          <t>39</t>
        </r>
      </text>
    </comment>
    <comment ref="AH4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2763
</t>
        </r>
        <r>
          <rPr>
            <sz val="9"/>
            <color indexed="81"/>
            <rFont val="宋体"/>
            <family val="3"/>
            <charset val="134"/>
          </rPr>
          <t>团险</t>
        </r>
        <r>
          <rPr>
            <sz val="9"/>
            <color indexed="81"/>
            <rFont val="Tahoma"/>
            <family val="2"/>
          </rPr>
          <t xml:space="preserve">0
</t>
        </r>
        <r>
          <rPr>
            <sz val="9"/>
            <color indexed="81"/>
            <rFont val="宋体"/>
            <family val="3"/>
            <charset val="134"/>
          </rPr>
          <t>银保</t>
        </r>
        <r>
          <rPr>
            <sz val="9"/>
            <color indexed="81"/>
            <rFont val="Tahoma"/>
            <family val="2"/>
          </rPr>
          <t xml:space="preserve">0
</t>
        </r>
        <r>
          <rPr>
            <sz val="9"/>
            <color indexed="81"/>
            <rFont val="宋体"/>
            <family val="3"/>
            <charset val="134"/>
          </rPr>
          <t>多元</t>
        </r>
        <r>
          <rPr>
            <sz val="9"/>
            <color indexed="81"/>
            <rFont val="Tahoma"/>
            <family val="2"/>
          </rPr>
          <t xml:space="preserve">795
</t>
        </r>
        <r>
          <rPr>
            <sz val="9"/>
            <color indexed="81"/>
            <rFont val="宋体"/>
            <family val="3"/>
            <charset val="134"/>
          </rPr>
          <t>收展</t>
        </r>
        <r>
          <rPr>
            <sz val="9"/>
            <color indexed="81"/>
            <rFont val="Tahoma"/>
            <family val="2"/>
          </rPr>
          <t>84</t>
        </r>
      </text>
    </comment>
    <comment ref="AN4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313
</t>
        </r>
        <r>
          <rPr>
            <sz val="9"/>
            <color indexed="81"/>
            <rFont val="宋体"/>
            <family val="3"/>
            <charset val="134"/>
          </rPr>
          <t>团险</t>
        </r>
        <r>
          <rPr>
            <sz val="9"/>
            <color indexed="81"/>
            <rFont val="Tahoma"/>
            <family val="2"/>
          </rPr>
          <t xml:space="preserve">0
</t>
        </r>
        <r>
          <rPr>
            <sz val="9"/>
            <color indexed="81"/>
            <rFont val="宋体"/>
            <family val="3"/>
            <charset val="134"/>
          </rPr>
          <t>银保</t>
        </r>
        <r>
          <rPr>
            <sz val="9"/>
            <color indexed="81"/>
            <rFont val="Tahoma"/>
            <family val="2"/>
          </rPr>
          <t xml:space="preserve">402
</t>
        </r>
        <r>
          <rPr>
            <sz val="9"/>
            <color indexed="81"/>
            <rFont val="宋体"/>
            <family val="3"/>
            <charset val="134"/>
          </rPr>
          <t>多元</t>
        </r>
        <r>
          <rPr>
            <sz val="9"/>
            <color indexed="81"/>
            <rFont val="Tahoma"/>
            <family val="2"/>
          </rPr>
          <t xml:space="preserve">0
</t>
        </r>
        <r>
          <rPr>
            <sz val="9"/>
            <color indexed="81"/>
            <rFont val="宋体"/>
            <family val="3"/>
            <charset val="134"/>
          </rPr>
          <t>收展</t>
        </r>
        <r>
          <rPr>
            <sz val="9"/>
            <color indexed="81"/>
            <rFont val="Tahoma"/>
            <family val="2"/>
          </rPr>
          <t>7</t>
        </r>
      </text>
    </comment>
    <comment ref="AP4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银保渠道承保量变化较明显</t>
        </r>
      </text>
    </comment>
    <comment ref="AT4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3106
</t>
        </r>
        <r>
          <rPr>
            <sz val="9"/>
            <color indexed="81"/>
            <rFont val="宋体"/>
            <family val="3"/>
            <charset val="134"/>
          </rPr>
          <t>团险</t>
        </r>
        <r>
          <rPr>
            <sz val="9"/>
            <color indexed="81"/>
            <rFont val="Tahoma"/>
            <family val="2"/>
          </rPr>
          <t xml:space="preserve">2
</t>
        </r>
        <r>
          <rPr>
            <sz val="9"/>
            <color indexed="81"/>
            <rFont val="宋体"/>
            <family val="3"/>
            <charset val="134"/>
          </rPr>
          <t>银保</t>
        </r>
        <r>
          <rPr>
            <sz val="9"/>
            <color indexed="81"/>
            <rFont val="Tahoma"/>
            <family val="2"/>
          </rPr>
          <t xml:space="preserve">0
</t>
        </r>
        <r>
          <rPr>
            <sz val="9"/>
            <color indexed="81"/>
            <rFont val="宋体"/>
            <family val="3"/>
            <charset val="134"/>
          </rPr>
          <t>多元</t>
        </r>
        <r>
          <rPr>
            <sz val="9"/>
            <color indexed="81"/>
            <rFont val="Tahoma"/>
            <family val="2"/>
          </rPr>
          <t xml:space="preserve">685
</t>
        </r>
        <r>
          <rPr>
            <sz val="9"/>
            <color indexed="81"/>
            <rFont val="宋体"/>
            <family val="3"/>
            <charset val="134"/>
          </rPr>
          <t>收展</t>
        </r>
        <r>
          <rPr>
            <sz val="9"/>
            <color indexed="81"/>
            <rFont val="Tahoma"/>
            <family val="2"/>
          </rPr>
          <t>64</t>
        </r>
      </text>
    </comment>
    <comment ref="AZ4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2203
</t>
        </r>
        <r>
          <rPr>
            <sz val="9"/>
            <color indexed="81"/>
            <rFont val="宋体"/>
            <family val="3"/>
            <charset val="134"/>
          </rPr>
          <t>团险</t>
        </r>
        <r>
          <rPr>
            <sz val="9"/>
            <color indexed="81"/>
            <rFont val="Tahoma"/>
            <family val="2"/>
          </rPr>
          <t xml:space="preserve">8
</t>
        </r>
        <r>
          <rPr>
            <sz val="9"/>
            <color indexed="81"/>
            <rFont val="宋体"/>
            <family val="3"/>
            <charset val="134"/>
          </rPr>
          <t>银保</t>
        </r>
        <r>
          <rPr>
            <sz val="9"/>
            <color indexed="81"/>
            <rFont val="Tahoma"/>
            <family val="2"/>
          </rPr>
          <t xml:space="preserve">144
</t>
        </r>
        <r>
          <rPr>
            <sz val="9"/>
            <color indexed="81"/>
            <rFont val="宋体"/>
            <family val="3"/>
            <charset val="134"/>
          </rPr>
          <t>多元</t>
        </r>
        <r>
          <rPr>
            <sz val="9"/>
            <color indexed="81"/>
            <rFont val="Tahoma"/>
            <family val="2"/>
          </rPr>
          <t xml:space="preserve">1151
</t>
        </r>
        <r>
          <rPr>
            <sz val="9"/>
            <color indexed="81"/>
            <rFont val="宋体"/>
            <family val="3"/>
            <charset val="134"/>
          </rPr>
          <t>收展</t>
        </r>
        <r>
          <rPr>
            <sz val="9"/>
            <color indexed="81"/>
            <rFont val="Tahoma"/>
            <family val="2"/>
          </rPr>
          <t>64</t>
        </r>
      </text>
    </comment>
    <comment ref="BF4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773
</t>
        </r>
        <r>
          <rPr>
            <sz val="9"/>
            <color indexed="81"/>
            <rFont val="宋体"/>
            <family val="3"/>
            <charset val="134"/>
          </rPr>
          <t>多元</t>
        </r>
        <r>
          <rPr>
            <sz val="9"/>
            <color indexed="81"/>
            <rFont val="Tahoma"/>
            <family val="2"/>
          </rPr>
          <t xml:space="preserve">2
</t>
        </r>
        <r>
          <rPr>
            <sz val="9"/>
            <color indexed="81"/>
            <rFont val="宋体"/>
            <family val="3"/>
            <charset val="134"/>
          </rPr>
          <t>收展</t>
        </r>
        <r>
          <rPr>
            <sz val="9"/>
            <color indexed="81"/>
            <rFont val="Tahoma"/>
            <family val="2"/>
          </rPr>
          <t>16</t>
        </r>
      </text>
    </comment>
    <comment ref="BL4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1523
</t>
        </r>
        <r>
          <rPr>
            <sz val="9"/>
            <color indexed="81"/>
            <rFont val="宋体"/>
            <family val="3"/>
            <charset val="134"/>
          </rPr>
          <t>团险</t>
        </r>
        <r>
          <rPr>
            <sz val="9"/>
            <color indexed="81"/>
            <rFont val="Tahoma"/>
            <family val="2"/>
          </rPr>
          <t xml:space="preserve">0
</t>
        </r>
        <r>
          <rPr>
            <sz val="9"/>
            <color indexed="81"/>
            <rFont val="宋体"/>
            <family val="3"/>
            <charset val="134"/>
          </rPr>
          <t>银保</t>
        </r>
        <r>
          <rPr>
            <sz val="9"/>
            <color indexed="81"/>
            <rFont val="Tahoma"/>
            <family val="2"/>
          </rPr>
          <t xml:space="preserve">259
</t>
        </r>
        <r>
          <rPr>
            <sz val="9"/>
            <color indexed="81"/>
            <rFont val="宋体"/>
            <family val="3"/>
            <charset val="134"/>
          </rPr>
          <t>多元</t>
        </r>
        <r>
          <rPr>
            <sz val="9"/>
            <color indexed="81"/>
            <rFont val="Tahoma"/>
            <family val="2"/>
          </rPr>
          <t xml:space="preserve">512
</t>
        </r>
        <r>
          <rPr>
            <sz val="9"/>
            <color indexed="81"/>
            <rFont val="宋体"/>
            <family val="3"/>
            <charset val="134"/>
          </rPr>
          <t>收展</t>
        </r>
        <r>
          <rPr>
            <sz val="9"/>
            <color indexed="81"/>
            <rFont val="Tahoma"/>
            <family val="2"/>
          </rPr>
          <t>32</t>
        </r>
      </text>
    </comment>
    <comment ref="BR4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729
</t>
        </r>
        <r>
          <rPr>
            <sz val="9"/>
            <color indexed="81"/>
            <rFont val="宋体"/>
            <family val="3"/>
            <charset val="134"/>
          </rPr>
          <t>团险</t>
        </r>
        <r>
          <rPr>
            <sz val="9"/>
            <color indexed="81"/>
            <rFont val="Tahoma"/>
            <family val="2"/>
          </rPr>
          <t xml:space="preserve">0
</t>
        </r>
        <r>
          <rPr>
            <sz val="9"/>
            <color indexed="81"/>
            <rFont val="宋体"/>
            <family val="3"/>
            <charset val="134"/>
          </rPr>
          <t>银保</t>
        </r>
        <r>
          <rPr>
            <sz val="9"/>
            <color indexed="81"/>
            <rFont val="Tahoma"/>
            <family val="2"/>
          </rPr>
          <t xml:space="preserve">0
</t>
        </r>
        <r>
          <rPr>
            <sz val="9"/>
            <color indexed="81"/>
            <rFont val="宋体"/>
            <family val="3"/>
            <charset val="134"/>
          </rPr>
          <t>多元</t>
        </r>
        <r>
          <rPr>
            <sz val="9"/>
            <color indexed="81"/>
            <rFont val="Tahoma"/>
            <family val="2"/>
          </rPr>
          <t xml:space="preserve">220
</t>
        </r>
        <r>
          <rPr>
            <sz val="9"/>
            <color indexed="81"/>
            <rFont val="宋体"/>
            <family val="3"/>
            <charset val="134"/>
          </rPr>
          <t>收展</t>
        </r>
        <r>
          <rPr>
            <sz val="9"/>
            <color indexed="81"/>
            <rFont val="Tahoma"/>
            <family val="2"/>
          </rPr>
          <t>15</t>
        </r>
      </text>
    </comment>
    <comment ref="BX4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944
</t>
        </r>
        <r>
          <rPr>
            <sz val="9"/>
            <color indexed="81"/>
            <rFont val="宋体"/>
            <family val="3"/>
            <charset val="134"/>
          </rPr>
          <t>团险</t>
        </r>
        <r>
          <rPr>
            <sz val="9"/>
            <color indexed="81"/>
            <rFont val="Tahoma"/>
            <family val="2"/>
          </rPr>
          <t xml:space="preserve">1
</t>
        </r>
        <r>
          <rPr>
            <sz val="9"/>
            <color indexed="81"/>
            <rFont val="宋体"/>
            <family val="3"/>
            <charset val="134"/>
          </rPr>
          <t>银保</t>
        </r>
        <r>
          <rPr>
            <sz val="9"/>
            <color indexed="81"/>
            <rFont val="Tahoma"/>
            <family val="2"/>
          </rPr>
          <t xml:space="preserve">5
</t>
        </r>
        <r>
          <rPr>
            <sz val="9"/>
            <color indexed="81"/>
            <rFont val="宋体"/>
            <family val="3"/>
            <charset val="134"/>
          </rPr>
          <t>多元</t>
        </r>
        <r>
          <rPr>
            <sz val="9"/>
            <color indexed="81"/>
            <rFont val="Tahoma"/>
            <family val="2"/>
          </rPr>
          <t xml:space="preserve">328
</t>
        </r>
        <r>
          <rPr>
            <sz val="9"/>
            <color indexed="81"/>
            <rFont val="宋体"/>
            <family val="3"/>
            <charset val="134"/>
          </rPr>
          <t>收展</t>
        </r>
        <r>
          <rPr>
            <sz val="9"/>
            <color indexed="81"/>
            <rFont val="Tahoma"/>
            <family val="2"/>
          </rPr>
          <t>19</t>
        </r>
      </text>
    </comment>
    <comment ref="D4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四川失分</t>
        </r>
      </text>
    </comment>
    <comment ref="AR4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已过期</t>
        </r>
      </text>
    </comment>
    <comment ref="BX42" authorId="0">
      <text>
        <r>
          <rPr>
            <b/>
            <sz val="9"/>
            <color indexed="81"/>
            <rFont val="宋体"/>
            <family val="3"/>
            <charset val="134"/>
          </rPr>
          <t>徐梦薇</t>
        </r>
        <r>
          <rPr>
            <b/>
            <sz val="9"/>
            <color indexed="81"/>
            <rFont val="Tahoma"/>
            <family val="2"/>
          </rPr>
          <t>/Mengwei Xu:</t>
        </r>
        <r>
          <rPr>
            <sz val="9"/>
            <color indexed="81"/>
            <rFont val="Tahoma"/>
            <family val="2"/>
          </rPr>
          <t xml:space="preserve">
2019Q2</t>
        </r>
        <r>
          <rPr>
            <sz val="9"/>
            <color indexed="81"/>
            <rFont val="宋体"/>
            <family val="3"/>
            <charset val="134"/>
          </rPr>
          <t>上报</t>
        </r>
        <r>
          <rPr>
            <sz val="9"/>
            <color indexed="81"/>
            <rFont val="Tahoma"/>
            <family val="2"/>
          </rPr>
          <t>-</t>
        </r>
        <r>
          <rPr>
            <sz val="9"/>
            <color indexed="81"/>
            <rFont val="宋体"/>
            <family val="3"/>
            <charset val="134"/>
          </rPr>
          <t>四川分公司达州机构因</t>
        </r>
        <r>
          <rPr>
            <sz val="9"/>
            <color indexed="81"/>
            <rFont val="Tahoma"/>
            <family val="2"/>
          </rPr>
          <t>018</t>
        </r>
        <r>
          <rPr>
            <sz val="9"/>
            <color indexed="81"/>
            <rFont val="宋体"/>
            <family val="3"/>
            <charset val="134"/>
          </rPr>
          <t>年反洗钱评级为</t>
        </r>
        <r>
          <rPr>
            <sz val="9"/>
            <color indexed="81"/>
            <rFont val="Tahoma"/>
            <family val="2"/>
          </rPr>
          <t>CC</t>
        </r>
        <r>
          <rPr>
            <sz val="9"/>
            <color indexed="81"/>
            <rFont val="宋体"/>
            <family val="3"/>
            <charset val="134"/>
          </rPr>
          <t>级，人民银行达州中心支行对达州机构进行了约谈，并下发了监管意见书。</t>
        </r>
      </text>
    </comment>
    <comment ref="BZ4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四川分公司达州机构因</t>
        </r>
        <r>
          <rPr>
            <sz val="9"/>
            <color indexed="81"/>
            <rFont val="Tahoma"/>
            <family val="2"/>
          </rPr>
          <t>2018</t>
        </r>
        <r>
          <rPr>
            <sz val="9"/>
            <color indexed="81"/>
            <rFont val="宋体"/>
            <family val="3"/>
            <charset val="134"/>
          </rPr>
          <t>年反洗钱评级为</t>
        </r>
        <r>
          <rPr>
            <sz val="9"/>
            <color indexed="81"/>
            <rFont val="Tahoma"/>
            <family val="2"/>
          </rPr>
          <t>CC</t>
        </r>
        <r>
          <rPr>
            <sz val="9"/>
            <color indexed="81"/>
            <rFont val="宋体"/>
            <family val="3"/>
            <charset val="134"/>
          </rPr>
          <t>级，人民银行达州中心支行对达州机构进行了约谈，并下发了监管意见书。</t>
        </r>
      </text>
    </comment>
    <comment ref="D4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广东失分</t>
        </r>
      </text>
    </comment>
    <comment ref="F46" authorId="2">
      <text>
        <r>
          <rPr>
            <b/>
            <sz val="9"/>
            <color indexed="81"/>
            <rFont val="Tahoma"/>
            <family val="2"/>
          </rPr>
          <t>pe0826:</t>
        </r>
        <r>
          <rPr>
            <sz val="9"/>
            <color indexed="81"/>
            <rFont val="Tahoma"/>
            <family val="2"/>
          </rPr>
          <t xml:space="preserve">
2018Q1</t>
        </r>
        <r>
          <rPr>
            <sz val="9"/>
            <color indexed="81"/>
            <rFont val="宋体"/>
            <family val="3"/>
            <charset val="134"/>
          </rPr>
          <t>还是这个证据吗？</t>
        </r>
      </text>
    </comment>
    <comment ref="AJ5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主要是补充告知业务有所增加</t>
        </r>
      </text>
    </comment>
    <comment ref="BB5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主要是补充告知业务有所增加</t>
        </r>
      </text>
    </comment>
    <comment ref="BH5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基数低</t>
        </r>
      </text>
    </comment>
    <comment ref="BN5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主要是补充告知业务有所增加</t>
        </r>
      </text>
    </comment>
    <comment ref="BT5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本期降低</t>
        </r>
      </text>
    </comment>
    <comment ref="BZ5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主要是补充告知业务有所增加</t>
        </r>
      </text>
    </comment>
    <comment ref="D5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大连、河南、四川失分</t>
        </r>
      </text>
    </comment>
    <comment ref="D6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北京、广东失分</t>
        </r>
      </text>
    </comment>
    <comment ref="X6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主要原因是加大了质检力度，发现的问题较原来有所增多</t>
        </r>
      </text>
    </comment>
    <comment ref="AD6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减少</t>
        </r>
      </text>
    </comment>
    <comment ref="AJ6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本期无</t>
        </r>
      </text>
    </comment>
    <comment ref="AP6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主要原因是加大了质检力度，发现的问题较原来有所增多</t>
        </r>
      </text>
    </comment>
    <comment ref="BB6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减少</t>
        </r>
      </text>
    </comment>
    <comment ref="BH6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减少</t>
        </r>
      </text>
    </comment>
    <comment ref="BN6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本期下降</t>
        </r>
      </text>
    </comment>
    <comment ref="BT6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主要原因是加大了质检力度，发现的问题较原来有所增多</t>
        </r>
      </text>
    </comment>
    <comment ref="BZ6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本期下降</t>
        </r>
      </text>
    </comment>
  </commentList>
</comments>
</file>

<file path=xl/comments5.xml><?xml version="1.0" encoding="utf-8"?>
<comments xmlns="http://schemas.openxmlformats.org/spreadsheetml/2006/main">
  <authors>
    <author>徐梦薇/Mengwei Xu</author>
  </authors>
  <commentList>
    <comment ref="D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青岛失分</t>
        </r>
      </text>
    </comment>
    <comment ref="D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天津、江苏、山东、青岛、广东失分</t>
        </r>
      </text>
    </comment>
    <comment ref="AV8" authorId="0">
      <text>
        <r>
          <rPr>
            <b/>
            <sz val="9"/>
            <color indexed="81"/>
            <rFont val="宋体"/>
            <family val="3"/>
            <charset val="134"/>
          </rPr>
          <t>徐梦薇</t>
        </r>
        <r>
          <rPr>
            <b/>
            <sz val="9"/>
            <color indexed="81"/>
            <rFont val="Tahoma"/>
            <family val="2"/>
          </rPr>
          <t>/Mengwei Xu:</t>
        </r>
        <r>
          <rPr>
            <sz val="9"/>
            <color indexed="81"/>
            <rFont val="Tahoma"/>
            <family val="2"/>
          </rPr>
          <t xml:space="preserve">
19Q2</t>
        </r>
        <r>
          <rPr>
            <sz val="9"/>
            <color indexed="81"/>
            <rFont val="宋体"/>
            <family val="3"/>
            <charset val="134"/>
          </rPr>
          <t>离职</t>
        </r>
        <r>
          <rPr>
            <sz val="9"/>
            <color indexed="81"/>
            <rFont val="Tahoma"/>
            <family val="2"/>
          </rPr>
          <t>1</t>
        </r>
        <r>
          <rPr>
            <sz val="9"/>
            <color indexed="81"/>
            <rFont val="宋体"/>
            <family val="3"/>
            <charset val="134"/>
          </rPr>
          <t>人</t>
        </r>
      </text>
    </comment>
    <comment ref="BB8" authorId="0">
      <text>
        <r>
          <rPr>
            <b/>
            <sz val="9"/>
            <color indexed="81"/>
            <rFont val="宋体"/>
            <family val="3"/>
            <charset val="134"/>
          </rPr>
          <t>徐梦薇</t>
        </r>
        <r>
          <rPr>
            <b/>
            <sz val="9"/>
            <color indexed="81"/>
            <rFont val="Tahoma"/>
            <family val="2"/>
          </rPr>
          <t>/Mengwei Xu:</t>
        </r>
        <r>
          <rPr>
            <sz val="9"/>
            <color indexed="81"/>
            <rFont val="Tahoma"/>
            <family val="2"/>
          </rPr>
          <t xml:space="preserve">
19Q2</t>
        </r>
        <r>
          <rPr>
            <sz val="9"/>
            <color indexed="81"/>
            <rFont val="宋体"/>
            <family val="3"/>
            <charset val="134"/>
          </rPr>
          <t>离职</t>
        </r>
        <r>
          <rPr>
            <sz val="9"/>
            <color indexed="81"/>
            <rFont val="Tahoma"/>
            <family val="2"/>
          </rPr>
          <t>1</t>
        </r>
        <r>
          <rPr>
            <sz val="9"/>
            <color indexed="81"/>
            <rFont val="宋体"/>
            <family val="3"/>
            <charset val="134"/>
          </rPr>
          <t>人</t>
        </r>
      </text>
    </comment>
    <comment ref="BT8" authorId="0">
      <text>
        <r>
          <rPr>
            <b/>
            <sz val="9"/>
            <color indexed="81"/>
            <rFont val="宋体"/>
            <family val="3"/>
            <charset val="134"/>
          </rPr>
          <t>徐梦薇</t>
        </r>
        <r>
          <rPr>
            <b/>
            <sz val="9"/>
            <color indexed="81"/>
            <rFont val="Tahoma"/>
            <family val="2"/>
          </rPr>
          <t>/Mengwei Xu:</t>
        </r>
        <r>
          <rPr>
            <sz val="9"/>
            <color indexed="81"/>
            <rFont val="Tahoma"/>
            <family val="2"/>
          </rPr>
          <t xml:space="preserve">
19Q2</t>
        </r>
        <r>
          <rPr>
            <sz val="9"/>
            <color indexed="81"/>
            <rFont val="宋体"/>
            <family val="3"/>
            <charset val="134"/>
          </rPr>
          <t>离职</t>
        </r>
        <r>
          <rPr>
            <sz val="9"/>
            <color indexed="81"/>
            <rFont val="Tahoma"/>
            <family val="2"/>
          </rPr>
          <t>1</t>
        </r>
        <r>
          <rPr>
            <sz val="9"/>
            <color indexed="81"/>
            <rFont val="宋体"/>
            <family val="3"/>
            <charset val="134"/>
          </rPr>
          <t>人</t>
        </r>
      </text>
    </comment>
    <comment ref="AV10" authorId="0">
      <text>
        <r>
          <rPr>
            <b/>
            <sz val="9"/>
            <color indexed="81"/>
            <rFont val="宋体"/>
            <family val="3"/>
            <charset val="134"/>
          </rPr>
          <t>徐梦薇</t>
        </r>
        <r>
          <rPr>
            <b/>
            <sz val="9"/>
            <color indexed="81"/>
            <rFont val="Tahoma"/>
            <family val="2"/>
          </rPr>
          <t>/Mengwei Xu:</t>
        </r>
        <r>
          <rPr>
            <sz val="9"/>
            <color indexed="81"/>
            <rFont val="Tahoma"/>
            <family val="2"/>
          </rPr>
          <t xml:space="preserve">
19Q2</t>
        </r>
        <r>
          <rPr>
            <sz val="9"/>
            <color indexed="81"/>
            <rFont val="宋体"/>
            <family val="3"/>
            <charset val="134"/>
          </rPr>
          <t>入职</t>
        </r>
        <r>
          <rPr>
            <sz val="9"/>
            <color indexed="81"/>
            <rFont val="Tahoma"/>
            <family val="2"/>
          </rPr>
          <t>1</t>
        </r>
        <r>
          <rPr>
            <sz val="9"/>
            <color indexed="81"/>
            <rFont val="宋体"/>
            <family val="3"/>
            <charset val="134"/>
          </rPr>
          <t>人</t>
        </r>
      </text>
    </comment>
    <comment ref="BB10" authorId="0">
      <text>
        <r>
          <rPr>
            <b/>
            <sz val="9"/>
            <color indexed="81"/>
            <rFont val="宋体"/>
            <family val="3"/>
            <charset val="134"/>
          </rPr>
          <t>徐梦薇</t>
        </r>
        <r>
          <rPr>
            <b/>
            <sz val="9"/>
            <color indexed="81"/>
            <rFont val="Tahoma"/>
            <family val="2"/>
          </rPr>
          <t>/Mengwei Xu:</t>
        </r>
        <r>
          <rPr>
            <sz val="9"/>
            <color indexed="81"/>
            <rFont val="Tahoma"/>
            <family val="2"/>
          </rPr>
          <t xml:space="preserve">
19Q2</t>
        </r>
        <r>
          <rPr>
            <sz val="9"/>
            <color indexed="81"/>
            <rFont val="宋体"/>
            <family val="3"/>
            <charset val="134"/>
          </rPr>
          <t>入职</t>
        </r>
        <r>
          <rPr>
            <sz val="9"/>
            <color indexed="81"/>
            <rFont val="Tahoma"/>
            <family val="2"/>
          </rPr>
          <t>1</t>
        </r>
        <r>
          <rPr>
            <sz val="9"/>
            <color indexed="81"/>
            <rFont val="宋体"/>
            <family val="3"/>
            <charset val="134"/>
          </rPr>
          <t>人</t>
        </r>
      </text>
    </comment>
    <comment ref="BN1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增加理赔人力</t>
        </r>
      </text>
    </comment>
    <comment ref="BT10" authorId="0">
      <text>
        <r>
          <rPr>
            <b/>
            <sz val="9"/>
            <color indexed="81"/>
            <rFont val="宋体"/>
            <family val="3"/>
            <charset val="134"/>
          </rPr>
          <t>徐梦薇</t>
        </r>
        <r>
          <rPr>
            <b/>
            <sz val="9"/>
            <color indexed="81"/>
            <rFont val="Tahoma"/>
            <family val="2"/>
          </rPr>
          <t>/Mengwei Xu:</t>
        </r>
        <r>
          <rPr>
            <sz val="9"/>
            <color indexed="81"/>
            <rFont val="Tahoma"/>
            <family val="2"/>
          </rPr>
          <t xml:space="preserve">
19Q2</t>
        </r>
        <r>
          <rPr>
            <sz val="9"/>
            <color indexed="81"/>
            <rFont val="宋体"/>
            <family val="3"/>
            <charset val="134"/>
          </rPr>
          <t>入职</t>
        </r>
        <r>
          <rPr>
            <sz val="9"/>
            <color indexed="81"/>
            <rFont val="Tahoma"/>
            <family val="2"/>
          </rPr>
          <t>1</t>
        </r>
        <r>
          <rPr>
            <sz val="9"/>
            <color indexed="81"/>
            <rFont val="宋体"/>
            <family val="3"/>
            <charset val="134"/>
          </rPr>
          <t>人</t>
        </r>
      </text>
    </comment>
    <comment ref="BH1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支付时效缩短</t>
        </r>
      </text>
    </comment>
    <comment ref="BZ1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部分赔案支付时效较长</t>
        </r>
      </text>
    </comment>
    <comment ref="X1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赔案增加</t>
        </r>
      </text>
    </comment>
    <comment ref="BH1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赔案正常增加</t>
        </r>
      </text>
    </comment>
    <comment ref="X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个别赔案时效较长</t>
        </r>
      </text>
    </comment>
    <comment ref="AD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正常时效</t>
        </r>
      </text>
    </comment>
    <comment ref="AJ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核赔时效缩短</t>
        </r>
      </text>
    </comment>
    <comment ref="AV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部分赔案时效延长</t>
        </r>
      </text>
    </comment>
    <comment ref="BH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拒赔案件减少</t>
        </r>
      </text>
    </comment>
    <comment ref="BP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加强审核时效管控</t>
        </r>
      </text>
    </comment>
    <comment ref="BT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核赔时效改善</t>
        </r>
      </text>
    </comment>
    <comment ref="BZ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核赔时效缩短</t>
        </r>
      </text>
    </comment>
    <comment ref="X1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赔案增加</t>
        </r>
      </text>
    </comment>
    <comment ref="BH1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赔案正常增加</t>
        </r>
      </text>
    </comment>
    <comment ref="X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赔案增加</t>
        </r>
      </text>
    </comment>
    <comment ref="BH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赔案正常增加</t>
        </r>
      </text>
    </comment>
    <comment ref="X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赔案增加</t>
        </r>
      </text>
    </comment>
    <comment ref="BH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赔案正常增加</t>
        </r>
      </text>
    </comment>
    <comment ref="X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正常理算</t>
        </r>
      </text>
    </comment>
    <comment ref="AD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正常扣费，无异常</t>
        </r>
      </text>
    </comment>
    <comment ref="BH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正常扣费，无异常</t>
        </r>
      </text>
    </comment>
    <comment ref="BJ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正常扣费，无异常</t>
        </r>
      </text>
    </comment>
    <comment ref="BN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正常调整金额</t>
        </r>
      </text>
    </comment>
    <comment ref="BT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无异常</t>
        </r>
      </text>
    </comment>
    <comment ref="BZ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正常扣费，无异常</t>
        </r>
      </text>
    </comment>
    <comment ref="X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有大额理赔</t>
        </r>
      </text>
    </comment>
    <comment ref="AD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有大额理赔</t>
        </r>
      </text>
    </comment>
    <comment ref="AP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有大额理赔</t>
        </r>
      </text>
    </comment>
    <comment ref="BB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有大额赔案</t>
        </r>
      </text>
    </comment>
    <comment ref="BH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无大额赔付</t>
        </r>
      </text>
    </comment>
    <comment ref="BN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大额理赔件较多</t>
        </r>
      </text>
    </comment>
    <comment ref="BT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有大额赔案</t>
        </r>
      </text>
    </comment>
    <comment ref="BZ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有大额理赔</t>
        </r>
      </text>
    </comment>
  </commentList>
</comments>
</file>

<file path=xl/comments6.xml><?xml version="1.0" encoding="utf-8"?>
<comments xmlns="http://schemas.openxmlformats.org/spreadsheetml/2006/main">
  <authors>
    <author>徐梦薇/Mengwei Xu</author>
    <author>徐梦薇</author>
  </authors>
  <commentList>
    <comment ref="D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北京失分</t>
        </r>
      </text>
    </comment>
    <comment ref="D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审慎原则，辽宁，河南失分</t>
        </r>
      </text>
    </comment>
    <comment ref="D2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江苏失分</t>
        </r>
      </text>
    </comment>
    <comment ref="D3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大连失分</t>
        </r>
      </text>
    </comment>
    <comment ref="D4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山东失分</t>
        </r>
      </text>
    </comment>
    <comment ref="O62" authorId="1">
      <text>
        <r>
          <rPr>
            <b/>
            <sz val="9"/>
            <color indexed="81"/>
            <rFont val="宋体"/>
            <family val="3"/>
            <charset val="134"/>
          </rPr>
          <t>徐梦薇</t>
        </r>
        <r>
          <rPr>
            <b/>
            <sz val="9"/>
            <color indexed="81"/>
            <rFont val="Tahoma"/>
            <family val="2"/>
          </rPr>
          <t xml:space="preserve">:
</t>
        </r>
        <r>
          <rPr>
            <b/>
            <sz val="9"/>
            <color indexed="81"/>
            <rFont val="宋体"/>
            <family val="3"/>
            <charset val="134"/>
          </rPr>
          <t xml:space="preserve">一些分公司在行业水平中可以确定得到满分
</t>
        </r>
      </text>
    </comment>
  </commentList>
</comments>
</file>

<file path=xl/comments7.xml><?xml version="1.0" encoding="utf-8"?>
<comments xmlns="http://schemas.openxmlformats.org/spreadsheetml/2006/main">
  <authors>
    <author>徐梦薇/Mengwei Xu</author>
    <author>刘辉</author>
    <author>徐梦薇</author>
    <author>pe0826</author>
  </authors>
  <commentList>
    <comment ref="D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客服新入司核保人员</t>
        </r>
      </text>
    </comment>
    <comment ref="L22" authorId="1">
      <text>
        <r>
          <rPr>
            <sz val="9"/>
            <color indexed="81"/>
            <rFont val="宋体"/>
            <family val="3"/>
            <charset val="134"/>
          </rPr>
          <t>1.19Q1大连有私印宣传材料，来源于分公司OR04表
2.19Q2盐城、南通机构个别培训课件中存在同业产品对比的情况。
原因分析：相关人员在制作或修改课件时为突出公司产品优点，与同业类似产品进行对比，且未将相关课件上报总分公司相关部门审核。
整改举措：
（1）相关培训课件已全部销毁并停止使用，对相关人员进行批评教育；
（2）在以后的课件制作中，严格按照公司规定制作，加强合规管理，对未经总公司审核通过的课件坚决不予使用。
整改结果：已完成整改。
3.19Q2在对营销员展业资料检查中发现，丹东中心支公司营销员展业柜中存放有自行印制的空白《奖品签收确认函》;本溪中心支公司营销员展业柜中发现“每份保单送智能机器人一台”的自制宣传资料，涉嫌给予投保人保险合同以外的利益。本溪、丹东机构各一次，合计扣1分。</t>
        </r>
      </text>
    </comment>
    <comment ref="L23" authorId="0">
      <text>
        <r>
          <rPr>
            <b/>
            <sz val="9"/>
            <color indexed="81"/>
            <rFont val="宋体"/>
            <family val="3"/>
            <charset val="134"/>
          </rPr>
          <t>徐梦薇</t>
        </r>
        <r>
          <rPr>
            <b/>
            <sz val="9"/>
            <color indexed="81"/>
            <rFont val="Tahoma"/>
            <family val="2"/>
          </rPr>
          <t>/Mengwei Xu:</t>
        </r>
        <r>
          <rPr>
            <sz val="9"/>
            <color indexed="81"/>
            <rFont val="Tahoma"/>
            <family val="2"/>
          </rPr>
          <t xml:space="preserve">
1.2.18Q3 </t>
        </r>
        <r>
          <rPr>
            <sz val="9"/>
            <color indexed="81"/>
            <rFont val="宋体"/>
            <family val="3"/>
            <charset val="134"/>
          </rPr>
          <t>大连保监局现场检查发现</t>
        </r>
        <r>
          <rPr>
            <sz val="9"/>
            <color indexed="81"/>
            <rFont val="Tahoma"/>
            <family val="2"/>
          </rPr>
          <t>2</t>
        </r>
        <r>
          <rPr>
            <sz val="9"/>
            <color indexed="81"/>
            <rFont val="宋体"/>
            <family val="3"/>
            <charset val="134"/>
          </rPr>
          <t xml:space="preserve">个问题
</t>
        </r>
        <r>
          <rPr>
            <sz val="9"/>
            <color indexed="81"/>
            <rFont val="Tahoma"/>
            <family val="2"/>
          </rPr>
          <t>3.2019Q2</t>
        </r>
        <r>
          <rPr>
            <sz val="9"/>
            <color indexed="81"/>
            <rFont val="宋体"/>
            <family val="3"/>
            <charset val="134"/>
          </rPr>
          <t>在课件检查中发现，辽阳中心支公司、鞍山中心支公司存在使用未经合规审核的课件，自行制作的课件缺少免除责任、犹豫期、期外退保损失介绍、红利无三档红利演示、缺少红利演示说明文字等元素。
辽阳、鞍山机构各一次，合计扣</t>
        </r>
        <r>
          <rPr>
            <sz val="9"/>
            <color indexed="81"/>
            <rFont val="Tahoma"/>
            <family val="2"/>
          </rPr>
          <t>1</t>
        </r>
        <r>
          <rPr>
            <sz val="9"/>
            <color indexed="81"/>
            <rFont val="宋体"/>
            <family val="3"/>
            <charset val="134"/>
          </rPr>
          <t xml:space="preserve">分
</t>
        </r>
      </text>
    </comment>
    <comment ref="Q2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过期</t>
        </r>
      </text>
    </comment>
    <comment ref="U36"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除非投诉次数为</t>
        </r>
        <r>
          <rPr>
            <sz val="9"/>
            <color indexed="81"/>
            <rFont val="Tahoma"/>
            <family val="2"/>
          </rPr>
          <t>0</t>
        </r>
        <r>
          <rPr>
            <sz val="9"/>
            <color indexed="81"/>
            <rFont val="宋体"/>
            <family val="3"/>
            <charset val="134"/>
          </rPr>
          <t>，否则</t>
        </r>
        <r>
          <rPr>
            <sz val="9"/>
            <color indexed="81"/>
            <rFont val="Tahoma"/>
            <family val="2"/>
          </rPr>
          <t>10</t>
        </r>
        <r>
          <rPr>
            <sz val="9"/>
            <color indexed="81"/>
            <rFont val="宋体"/>
            <family val="3"/>
            <charset val="134"/>
          </rPr>
          <t xml:space="preserve">分全扣
</t>
        </r>
      </text>
    </comment>
    <comment ref="D40"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自填</t>
        </r>
      </text>
    </comment>
    <comment ref="D41"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自填</t>
        </r>
      </text>
    </comment>
    <comment ref="D42" authorId="3">
      <text>
        <r>
          <rPr>
            <sz val="9"/>
            <color indexed="81"/>
            <rFont val="宋体"/>
            <family val="3"/>
            <charset val="134"/>
          </rPr>
          <t>自填</t>
        </r>
        <r>
          <rPr>
            <sz val="9"/>
            <color indexed="81"/>
            <rFont val="Tahoma"/>
            <family val="2"/>
          </rPr>
          <t xml:space="preserve">
</t>
        </r>
      </text>
    </comment>
  </commentList>
</comments>
</file>

<file path=xl/comments8.xml><?xml version="1.0" encoding="utf-8"?>
<comments xmlns="http://schemas.openxmlformats.org/spreadsheetml/2006/main">
  <authors>
    <author>徐梦薇/Mengwei Xu</author>
    <author>pe0826</author>
    <author>徐梦薇</author>
  </authors>
  <commentList>
    <comment ref="L1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向好</t>
        </r>
      </text>
    </comment>
    <comment ref="L1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广东部分投诉案件处理完毕后未及时操作结案，导致结案时效延长</t>
        </r>
      </text>
    </comment>
    <comment ref="D18" authorId="0">
      <text>
        <r>
          <rPr>
            <b/>
            <sz val="9"/>
            <color indexed="81"/>
            <rFont val="宋体"/>
            <family val="3"/>
            <charset val="134"/>
          </rPr>
          <t>徐梦薇</t>
        </r>
        <r>
          <rPr>
            <b/>
            <sz val="9"/>
            <color indexed="81"/>
            <rFont val="Tahoma"/>
            <family val="2"/>
          </rPr>
          <t>/Mengwei Xu:</t>
        </r>
        <r>
          <rPr>
            <sz val="9"/>
            <color indexed="81"/>
            <rFont val="Tahoma"/>
            <family val="2"/>
          </rPr>
          <t xml:space="preserve">
19Q2</t>
        </r>
        <r>
          <rPr>
            <sz val="9"/>
            <color indexed="81"/>
            <rFont val="宋体"/>
            <family val="3"/>
            <charset val="134"/>
          </rPr>
          <t>理赔、保全业务投诉</t>
        </r>
        <r>
          <rPr>
            <sz val="9"/>
            <color indexed="81"/>
            <rFont val="Tahoma"/>
            <family val="2"/>
          </rPr>
          <t>1</t>
        </r>
        <r>
          <rPr>
            <sz val="9"/>
            <color indexed="81"/>
            <rFont val="宋体"/>
            <family val="3"/>
            <charset val="134"/>
          </rPr>
          <t>件</t>
        </r>
      </text>
    </comment>
    <comment ref="L1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本期</t>
        </r>
        <r>
          <rPr>
            <sz val="9"/>
            <color indexed="81"/>
            <rFont val="Tahoma"/>
            <family val="2"/>
          </rPr>
          <t>1</t>
        </r>
        <r>
          <rPr>
            <sz val="9"/>
            <color indexed="81"/>
            <rFont val="宋体"/>
            <family val="3"/>
            <charset val="134"/>
          </rPr>
          <t>件理赔投诉</t>
        </r>
      </text>
    </comment>
    <comment ref="J19" authorId="1">
      <text>
        <r>
          <rPr>
            <sz val="9"/>
            <color indexed="81"/>
            <rFont val="宋体"/>
            <family val="3"/>
            <charset val="134"/>
          </rPr>
          <t>1、刘沛彤诉恒安标准人寿天津分公司理赔纠纷案件                               
2、张景霞诉恒安标准人寿保险有限公司河南分公司理赔纠纷案件
3、周淑芹诉恒安标准人寿保险有限公司锦州中心支公司理赔纠纷案件
4、王永法诉恒安标准人寿保险有限公司山东分公司退保纠纷案件
5、济宁市欣和食品有限公司诉恒安标准人寿保险有限公司济宁中心支公司理赔纠纷案件
6、高岚诉恒安标准人寿保险有限公司丹东中心支公司其他纠纷案件
7、张德强诉恒安标准人寿保险有限公司辽宁分公司理赔纠纷案件
8、王保国诉恒安标准人寿保险有限公司河南分公司理赔纠纷案件</t>
        </r>
      </text>
    </comment>
    <comment ref="K19" authorId="1">
      <text>
        <r>
          <rPr>
            <sz val="9"/>
            <color indexed="81"/>
            <rFont val="宋体"/>
            <family val="3"/>
            <charset val="134"/>
          </rPr>
          <t>1、刘沛彤诉恒安标准人寿天津分公司理赔纠纷案件                            
2、周淑芹诉恒安标准人寿保险有限公司锦州中心支公司理赔纠纷案件
3、王永法诉恒安标准人寿保险有限公司山东分公司退保纠纷案件
4、济宁市欣和食品有限公司诉恒安标准人寿保险有限公司济宁中心支公司理赔纠纷案件
5、高岚诉恒安标准人寿保险有限公司丹东中心支公司其他纠纷案件
6、张德强诉恒安标准人寿保险有限公司辽宁分公司理赔纠纷案件
7、王保国诉恒安标准人寿保险有限公司河南分公司理赔纠纷案件
8、郭新霞诉恒安标准人寿保险有限公司烟台中心支公司理赔纠纷案件（新增）
9、翟驰宇诉恒安标准人寿保险有限公司江苏分公司理赔纠纷案件（新增）
10、薛吉香诉恒安标准人寿保险有限公司青岛分公司理赔纠纷案件（新增）
11、陈迎男诉恒安标准人寿天津分公司理赔纠纷案件（新增）
12、张秦岭诉恒安标准人寿保险有限公司潍坊中心支公司理赔纠纷案件（新增）</t>
        </r>
      </text>
    </comment>
    <comment ref="L1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本期新增</t>
        </r>
        <r>
          <rPr>
            <sz val="9"/>
            <color indexed="81"/>
            <rFont val="Tahoma"/>
            <family val="2"/>
          </rPr>
          <t>5</t>
        </r>
        <r>
          <rPr>
            <sz val="9"/>
            <color indexed="81"/>
            <rFont val="宋体"/>
            <family val="3"/>
            <charset val="134"/>
          </rPr>
          <t>件诉讼</t>
        </r>
      </text>
    </comment>
    <comment ref="K20" authorId="0">
      <text>
        <r>
          <rPr>
            <b/>
            <sz val="9"/>
            <color indexed="81"/>
            <rFont val="宋体"/>
            <family val="3"/>
            <charset val="134"/>
          </rPr>
          <t>徐梦薇</t>
        </r>
        <r>
          <rPr>
            <b/>
            <sz val="9"/>
            <color indexed="81"/>
            <rFont val="Tahoma"/>
            <family val="2"/>
          </rPr>
          <t>/Mengwei Xu:</t>
        </r>
        <r>
          <rPr>
            <sz val="9"/>
            <color indexed="81"/>
            <rFont val="Tahoma"/>
            <family val="2"/>
          </rPr>
          <t xml:space="preserve">
1</t>
        </r>
        <r>
          <rPr>
            <sz val="9"/>
            <color indexed="81"/>
            <rFont val="宋体"/>
            <family val="3"/>
            <charset val="134"/>
          </rPr>
          <t>、张景霞诉恒安标准人寿保险有限公司河南分公司理赔纠纷案件
（</t>
        </r>
        <r>
          <rPr>
            <sz val="9"/>
            <color indexed="81"/>
            <rFont val="Tahoma"/>
            <family val="2"/>
          </rPr>
          <t>100%</t>
        </r>
        <r>
          <rPr>
            <sz val="9"/>
            <color indexed="81"/>
            <rFont val="宋体"/>
            <family val="3"/>
            <charset val="134"/>
          </rPr>
          <t>承担费用）</t>
        </r>
      </text>
    </comment>
    <comment ref="L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本期新增</t>
        </r>
        <r>
          <rPr>
            <sz val="9"/>
            <color indexed="81"/>
            <rFont val="Tahoma"/>
            <family val="2"/>
          </rPr>
          <t>1</t>
        </r>
        <r>
          <rPr>
            <sz val="9"/>
            <color indexed="81"/>
            <rFont val="宋体"/>
            <family val="3"/>
            <charset val="134"/>
          </rPr>
          <t>件败诉</t>
        </r>
      </text>
    </comment>
    <comment ref="D24"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 xml:space="preserve">自填
</t>
        </r>
      </text>
    </comment>
    <comment ref="D25"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自填</t>
        </r>
      </text>
    </comment>
  </commentList>
</comments>
</file>

<file path=xl/comments9.xml><?xml version="1.0" encoding="utf-8"?>
<comments xmlns="http://schemas.openxmlformats.org/spreadsheetml/2006/main">
  <authors>
    <author>徐梦薇/Mengwei Xu</author>
  </authors>
  <commentList>
    <comment ref="O1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变好</t>
        </r>
      </text>
    </comment>
    <comment ref="O1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变好</t>
        </r>
      </text>
    </comment>
  </commentList>
</comments>
</file>

<file path=xl/sharedStrings.xml><?xml version="1.0" encoding="utf-8"?>
<sst xmlns="http://schemas.openxmlformats.org/spreadsheetml/2006/main" count="6442" uniqueCount="2500">
  <si>
    <t>人身保险公司销售、承保业务线的操作风险</t>
  </si>
  <si>
    <t>销售人员离职率</t>
  </si>
  <si>
    <t>销售人员学历水平</t>
  </si>
  <si>
    <t>评估期评估公司规模保费</t>
  </si>
  <si>
    <t>电话营销质监问题比例</t>
  </si>
  <si>
    <t>评估期公司电话营销质监发现存在销售误导问题的保单件数</t>
  </si>
  <si>
    <t>评估期公司进行电话营销质监的保单总数</t>
  </si>
  <si>
    <t>与核心业务系统实时对接情况</t>
  </si>
  <si>
    <t>1|意外险出单系统不存在未与核心业务系统实时对接的问题</t>
  </si>
  <si>
    <t>2|意外险出单系统存在未与核心业务系统实时对接的问题</t>
  </si>
  <si>
    <t>完整记录意外险保单信息内容情况</t>
  </si>
  <si>
    <t>1|核心业务系统完整记录意外险保单信息内容</t>
  </si>
  <si>
    <t>2|核心业务系统未完整记录意外险保单信息内容</t>
  </si>
  <si>
    <t>完整性控制功能情况</t>
  </si>
  <si>
    <t>1|不具备完整性控制功能</t>
  </si>
  <si>
    <t>2|具备完整性控制功能，但功能不完备</t>
  </si>
  <si>
    <t>3|具备完整性控制功能，且功能完备</t>
  </si>
  <si>
    <t>逻辑准确性控制功能情况</t>
  </si>
  <si>
    <t>1|不具备逻辑准确性控制功能</t>
  </si>
  <si>
    <t>2|具备逻辑准确性控制功能，但功能不完备</t>
  </si>
  <si>
    <t>3|具备逻辑准确性控制功能，且功能完备</t>
  </si>
  <si>
    <t>系统发生故障次数</t>
  </si>
  <si>
    <t xml:space="preserve">人身保险公司理赔、保全业务线的操作风险 </t>
  </si>
  <si>
    <t>从事保全工作的时间在5年以上的保全工作人员数量</t>
  </si>
  <si>
    <t>从事保全工作的时间在1年以下的保全工作人员数量</t>
  </si>
  <si>
    <t>保险公司资金运用业务线操作风险</t>
  </si>
  <si>
    <t>资产管理部门负责人从业年限</t>
  </si>
  <si>
    <t>资产管理部门负责人违法违规及处罚情况</t>
  </si>
  <si>
    <t>1|最近4个季度内资产管理部门负责人未因违法违规受到行政处罚</t>
  </si>
  <si>
    <t>资产管理部门人员平均从业年限</t>
  </si>
  <si>
    <t>保险公司委托投资的，资产管理部门岗位设置情况</t>
  </si>
  <si>
    <t>1|资产管理部门在投资研究、资产清算或托管、风险控制、业绩评估、相关保障等环节设置岗位</t>
  </si>
  <si>
    <t>保险公司自行投资的，资产管理部门岗位设置情况</t>
  </si>
  <si>
    <t>1|资产管理部门除在投资研究、资产清算或托管、风险控制、业绩评估、相关保障等环节设置岗位外，还设置投资、交易等与资金运用业务直接相关的岗位</t>
  </si>
  <si>
    <t>人员结构</t>
  </si>
  <si>
    <t>资金运用风险管理人员数量</t>
  </si>
  <si>
    <t>投研人员数量</t>
  </si>
  <si>
    <t>资产管理部门人员流失率</t>
  </si>
  <si>
    <t>最近4个季度内离职的部门人员数量</t>
  </si>
  <si>
    <t>前4个季度初的部门人员数量</t>
  </si>
  <si>
    <t>最近4个季度增加的部门人员数量</t>
  </si>
  <si>
    <t>投资风险责任人人数</t>
  </si>
  <si>
    <t>最近4个季度投资风险责任人培训次数</t>
  </si>
  <si>
    <t>员工培训频率</t>
  </si>
  <si>
    <t>最近4个季度内员工培训人次</t>
  </si>
  <si>
    <t>资产管理部总人数</t>
  </si>
  <si>
    <t>保险公司自行投资的，投研人员激励机制情况</t>
  </si>
  <si>
    <t>2|对投研人员的激励机制与长期（一年以上）业绩挂钩</t>
  </si>
  <si>
    <t>保险公司委托投资的，投研人员激励机制情况</t>
  </si>
  <si>
    <t>1|能够提供受托机构相关证明材料</t>
  </si>
  <si>
    <t>保险公司自行投资的，风险管理人员激励机制情况</t>
  </si>
  <si>
    <t>1|资金运用风险管理人员激励机制不直接与投资业绩挂钩</t>
  </si>
  <si>
    <t>保险公司委托投资的，风险管理人员激励机制情况</t>
  </si>
  <si>
    <t>1|业绩考核与操作风险挂钩</t>
  </si>
  <si>
    <t>操作风险数据库情况</t>
  </si>
  <si>
    <t>1|建立资金运用操作风险数据库且如实记录操作风险事件</t>
  </si>
  <si>
    <t>委托投资管理制度情况</t>
  </si>
  <si>
    <t>1|保险公司委托投资的，全部建立相关制度</t>
  </si>
  <si>
    <t>委托投资指引情况</t>
  </si>
  <si>
    <t>1|委托投资指引达到要求</t>
  </si>
  <si>
    <t>定期评估情况</t>
  </si>
  <si>
    <t>1|最近4个季度内对全部投资管理人评估大于1次</t>
  </si>
  <si>
    <t>压力测试情况</t>
  </si>
  <si>
    <t>1|资产配置压力测试达到要求</t>
  </si>
  <si>
    <t>保险公司自行投资的，分账户情况</t>
  </si>
  <si>
    <t>1|资产配置分账户管理达到要求</t>
  </si>
  <si>
    <t>保险公司委托投资的，分账户情况</t>
  </si>
  <si>
    <t>托管情况</t>
  </si>
  <si>
    <t>1|全部投资资产实施托管</t>
  </si>
  <si>
    <t>投资授权制度情况</t>
  </si>
  <si>
    <t>1|具备完善的投资授权制度，建立董事会投资决策委员会体系，决策及批准权限明确</t>
  </si>
  <si>
    <t>保险公司自行投资的，决策流程信息化和自动化情况</t>
  </si>
  <si>
    <t>1|实现决策流程的信息化和自动化，通过信息系统手段实现投资决策流程、次序自动控制</t>
  </si>
  <si>
    <t>保险公司委托投资的，决策流程信息化和自动化情况</t>
  </si>
  <si>
    <t>保险公司自行投资的，投资决策书面记录情况</t>
  </si>
  <si>
    <t>1|重要投资决策有相关书面记录，如会议纪要、最终投资决议等，并由决策人在最终投资决议上确认</t>
  </si>
  <si>
    <t>保险公司委托投资的，投资决策书面记录情况</t>
  </si>
  <si>
    <t>保险公司自行投资的，投资池、备选池和禁投池体系情况</t>
  </si>
  <si>
    <t>1|构建投资池、备选池和禁投池体系且定期维护</t>
  </si>
  <si>
    <t>保险公司委托投资的，投资池、备选池和禁投池体系情况</t>
  </si>
  <si>
    <t>最近4个季度投资决策操作风险事件次数</t>
  </si>
  <si>
    <t>保险公司自行投资的，集中交易情况</t>
  </si>
  <si>
    <t>1|实行集中交易制度，安装必要的监测系统、预警系统和反馈系统，对交易室通讯设备进行监控</t>
  </si>
  <si>
    <t>保险公司委托投资的，集中交易情况</t>
  </si>
  <si>
    <t>保险公司自行投资的，交易记录情况</t>
  </si>
  <si>
    <t>1|建立完善的交易记录制度，每日对交易记录及时核对并存档</t>
  </si>
  <si>
    <t>保险公司委托投资的，交易记录情况</t>
  </si>
  <si>
    <t>最近4个季度交易行为操作风险事件次数</t>
  </si>
  <si>
    <t>保险公司自行投资的，会计估值政策与制度规范情况</t>
  </si>
  <si>
    <t>1|建立会计估值政策与制度规范，估值结果经过复核审查</t>
  </si>
  <si>
    <t>保险公司委托投资的，会计估值政策与制度规范情况</t>
  </si>
  <si>
    <t>保险公司自行投资的，清算和交易信息核对频率情况</t>
  </si>
  <si>
    <t>1|投资部门的业务交易台账与后台清算记录和资金记录应保持一致，并保留复核纪录，每日完成交易后进行清算和交易信息核对</t>
  </si>
  <si>
    <t>保险公司委托投资的，清算和交易信息核对频率情况</t>
  </si>
  <si>
    <t>1|由投资部门督促检查管理人和托管人的业务交易台账与后台清算记录和资金记录是否保持一致，管理人和托管人每日核对清算和交易信息</t>
  </si>
  <si>
    <t>最近4个季度估值核算操作风险事件次数</t>
  </si>
  <si>
    <t>最近4个季度信息披露风险事件次数</t>
  </si>
  <si>
    <t>保险公司自行投资的，系统自动化情况</t>
  </si>
  <si>
    <t>1|建立资金运用信息系统，设定合规性和风险指标阀值，将风险监控的各项要素固化到信息系统之中，实现管理自动化</t>
  </si>
  <si>
    <t>保险公司委托投资的，系统自动化情况</t>
  </si>
  <si>
    <t>系统设计差错量</t>
  </si>
  <si>
    <t>最近4个季度系统中断次数</t>
  </si>
  <si>
    <t>最近4个季度系统异常事件数量</t>
  </si>
  <si>
    <t>最近4个季度信息安全事件数量</t>
  </si>
  <si>
    <t>最近4个季度数据差错量</t>
  </si>
  <si>
    <t>对新政策的参与和反应速度</t>
  </si>
  <si>
    <t>1|能积极参与、密切跟踪新的资金运用、偿付能力等政策制度，能够及时对新政作出调整资金运用管理流程和经营行为</t>
  </si>
  <si>
    <t>新政策培训情况</t>
  </si>
  <si>
    <t>1|对新的资金运用、偿付能力等政策制度，保险公司能够及时对高管、相关部门人员进行培训</t>
  </si>
  <si>
    <t>保险公司财务管理操作风险</t>
  </si>
  <si>
    <t>1|财会部门主要负责人符合专业性要求</t>
  </si>
  <si>
    <t>2|保险公司有多个部门负责财会工作的，所有的部门主要负责人符合专业性要求</t>
  </si>
  <si>
    <t>3|其他</t>
  </si>
  <si>
    <t>最近4个季度内离职的财会人员数量</t>
  </si>
  <si>
    <t>前4个季度初的财会人员数量</t>
  </si>
  <si>
    <t>最近4个季度增加的财会人员数量</t>
  </si>
  <si>
    <t>总公司财会部门人员数量</t>
  </si>
  <si>
    <t>业绩考核</t>
  </si>
  <si>
    <t>1|总公司财会部门负责人和分支机构财会部门负责人的业绩考核与相关操作风险相挂钩</t>
  </si>
  <si>
    <t>2|总公司财会部门负责人和分支机构财会部门负责人的业绩考核不与相关操作风险相挂钩</t>
  </si>
  <si>
    <t>1|建立财务管理操作风险数据库且如实记录操作风险事件</t>
  </si>
  <si>
    <t>2|未建立财务管理操作风险数据库或未如实记录操作风险事件</t>
  </si>
  <si>
    <t>核算集中度</t>
  </si>
  <si>
    <t>1|保险公司的会计核算在总公司或省级分公司集中处理</t>
  </si>
  <si>
    <t>2|保险公司的会计核算未在总公司和省级分公司集中处理</t>
  </si>
  <si>
    <t>会计差错量</t>
  </si>
  <si>
    <t>委托投资资产数据核对</t>
  </si>
  <si>
    <t>1|符合要求</t>
  </si>
  <si>
    <t>2|不符合要求</t>
  </si>
  <si>
    <t>最近4个季度偿付能力报告出现错报、漏报、未按时报送等差错的次数</t>
  </si>
  <si>
    <t>最近4个季度财务报告出现错报、漏报、未按时报送等差错的次数</t>
  </si>
  <si>
    <t>银行账户集中管理</t>
  </si>
  <si>
    <t>1|单证的领用、核销有专门内控程序和专人负责</t>
  </si>
  <si>
    <t>2|单证的领用、核销无专门内控程序和专人负责</t>
  </si>
  <si>
    <t>最近4个季度内已发放空白单证缺失的数量</t>
  </si>
  <si>
    <t>1|财务类印章印鉴实行专人管理，且其使用有明确的内部审批流程</t>
  </si>
  <si>
    <t>2|财务类印章印鉴无专人管理，或其使用无明确的内部审批流程</t>
  </si>
  <si>
    <t>最近4个季度印章管理操作风险事件次数</t>
  </si>
  <si>
    <t>税收管理负责情况</t>
  </si>
  <si>
    <t>1|总公司和分公司有专人专岗负责税收管理</t>
  </si>
  <si>
    <t>2|总公司和分公司无专岗但有专人负责税收管理</t>
  </si>
  <si>
    <t>最近4个季度税收操作风险事件次数</t>
  </si>
  <si>
    <t>系统自动化</t>
  </si>
  <si>
    <t>1|保险公司建立了财务信息系统，实现管理自动化</t>
  </si>
  <si>
    <t>2|保险公司未建立财务信息系统，未实现管理自动化</t>
  </si>
  <si>
    <t>系统管理集中度</t>
  </si>
  <si>
    <t>1|财务数据由总公司集中存储，分支机构没有修改财务数据权限</t>
  </si>
  <si>
    <t>2|财务数据不是由总公司集中存储，或者分支机构有修改财务数据权限</t>
  </si>
  <si>
    <t>数据核对频率</t>
  </si>
  <si>
    <t>1|核对频率高于等于每周一次</t>
  </si>
  <si>
    <t>2|核对频率低于每周一次但高于等于每月一次</t>
  </si>
  <si>
    <t>当期保费收入</t>
  </si>
  <si>
    <t>1|能积极参与、密切跟踪新的会计、税收、财务监管、偿付能力等政策制度，能够及时调整财务管理流程和经营行为</t>
  </si>
  <si>
    <t>2|未能积极参与、密切跟踪新的会计、税收、财务监管、偿付能力等政策制度，未能及时调整财务管理流程和经营行为</t>
  </si>
  <si>
    <t>1|对新的会计、税收、财务监管、偿付能力等政策制度，保险公司能够及时对高管、相关部门人员进行培训</t>
  </si>
  <si>
    <t>2|对新的会计、税收、财务监管、偿付能力等政策制度，保险公司不能及时对高管、相关部门人员进行培训</t>
  </si>
  <si>
    <t>具有三年以上寿险准备金评估工作经验的人员占比</t>
  </si>
  <si>
    <t>评估期末，公司从事寿险准备金评估工作的精算人员中具有三年以上寿险精算工作经验的人员数量</t>
  </si>
  <si>
    <t>评估期末，从事寿险准备金评估工作的精算人员数量</t>
  </si>
  <si>
    <t>总精算师在公司连续工作年限</t>
  </si>
  <si>
    <t>总精算师变更次数</t>
  </si>
  <si>
    <t>从事再保险管理工作的人员中具有三年以上相关工作经验的人员数量</t>
  </si>
  <si>
    <t>从事再保险管理工作的人员数量</t>
  </si>
  <si>
    <t>再保险合约出现差错的次数</t>
  </si>
  <si>
    <t>准备金评估系统故障次数</t>
  </si>
  <si>
    <t>非保险类行政处罚情况</t>
  </si>
  <si>
    <t>1|未受到该类行政处罚</t>
  </si>
  <si>
    <t>2|受到该类行政处罚</t>
  </si>
  <si>
    <t>设置合规管理部门的情况</t>
  </si>
  <si>
    <t>1|设置合规管理部门</t>
  </si>
  <si>
    <t>2|未设置合规管理部门</t>
  </si>
  <si>
    <t>制定合规管理政策的情况</t>
  </si>
  <si>
    <t>1|按照规定制定合规管理政策</t>
  </si>
  <si>
    <t>2|未按照规定制定合规管理政策</t>
  </si>
  <si>
    <t>落实合规政策的文件的情况</t>
  </si>
  <si>
    <t>1|制定员工行为准则等落实合规政策的文件</t>
  </si>
  <si>
    <t>2|未制定员工行为准则等落实合规政策的文件</t>
  </si>
  <si>
    <t>开展合规培训的情况</t>
  </si>
  <si>
    <t>1|定期开展合规培训</t>
  </si>
  <si>
    <t>2|未定期开展合规培训</t>
  </si>
  <si>
    <t>年度合规报告的情况</t>
  </si>
  <si>
    <t>1|按时提交年度合规报告</t>
  </si>
  <si>
    <t>2|未按时提交年度合规报告</t>
  </si>
  <si>
    <t>评价指标</t>
    <phoneticPr fontId="3" type="noConversion"/>
  </si>
  <si>
    <t>行次</t>
    <phoneticPr fontId="3" type="noConversion"/>
  </si>
  <si>
    <t>人身保险公司准备金、再保险业务线操作风险</t>
    <phoneticPr fontId="3" type="noConversion"/>
  </si>
  <si>
    <t>序号</t>
    <phoneticPr fontId="3" type="noConversion"/>
  </si>
  <si>
    <t>报表名称</t>
    <phoneticPr fontId="3" type="noConversion"/>
  </si>
  <si>
    <t>行次</t>
    <phoneticPr fontId="3" type="noConversion"/>
  </si>
  <si>
    <t>评估期末销售人员数量</t>
    <phoneticPr fontId="3" type="noConversion"/>
  </si>
  <si>
    <t>评价指标</t>
    <phoneticPr fontId="3" type="noConversion"/>
  </si>
  <si>
    <t>总公司财会部门人员数量</t>
    <phoneticPr fontId="3" type="noConversion"/>
  </si>
  <si>
    <t>最近4个季度内员工培训人次</t>
    <phoneticPr fontId="3" type="noConversion"/>
  </si>
  <si>
    <t>收支两条线</t>
    <phoneticPr fontId="3" type="noConversion"/>
  </si>
  <si>
    <t>单证管理</t>
    <phoneticPr fontId="3" type="noConversion"/>
  </si>
  <si>
    <t>印章管理情况</t>
    <phoneticPr fontId="3" type="noConversion"/>
  </si>
  <si>
    <t>保险公司合规风险</t>
  </si>
  <si>
    <t>评价指标</t>
    <phoneticPr fontId="3" type="noConversion"/>
  </si>
  <si>
    <t>保险公司自行投资的，业绩考核</t>
    <phoneticPr fontId="3" type="noConversion"/>
  </si>
  <si>
    <t>保险公司委托投资的，业绩考核</t>
    <phoneticPr fontId="3" type="noConversion"/>
  </si>
  <si>
    <t>最近4个季度数据差错金额绝对值之和</t>
    <phoneticPr fontId="3" type="noConversion"/>
  </si>
  <si>
    <t>具有三年以上工作经验的人员占比</t>
    <phoneticPr fontId="3" type="noConversion"/>
  </si>
  <si>
    <t>评估期保险公司关于承保、销售业务线的投诉次数</t>
    <phoneticPr fontId="12" type="noConversion"/>
  </si>
  <si>
    <t>总公司客服部</t>
    <phoneticPr fontId="3" type="noConversion"/>
  </si>
  <si>
    <t>总公司法律合规部</t>
  </si>
  <si>
    <t>总公司信息技术部</t>
  </si>
  <si>
    <t>总公司财务部</t>
  </si>
  <si>
    <t>总公司投资部</t>
  </si>
  <si>
    <t>总公司精算部</t>
  </si>
  <si>
    <t>审计报告</t>
  </si>
  <si>
    <t>投资部人员JD</t>
  </si>
  <si>
    <t>绩效合约</t>
  </si>
  <si>
    <t>再保账单、再保公司付款确认</t>
  </si>
  <si>
    <t>数据校验底稿</t>
  </si>
  <si>
    <t>准备金文件备份</t>
  </si>
  <si>
    <t>各相关报告</t>
  </si>
  <si>
    <t>咨诉系统</t>
  </si>
  <si>
    <t>HR的人力编制</t>
  </si>
  <si>
    <t>协同业务系统</t>
  </si>
  <si>
    <t>HR人力编制</t>
  </si>
  <si>
    <t>理赔系统</t>
  </si>
  <si>
    <t>保全系统</t>
  </si>
  <si>
    <t>是</t>
  </si>
  <si>
    <t>总分</t>
    <phoneticPr fontId="12" type="noConversion"/>
  </si>
  <si>
    <t>总分</t>
    <phoneticPr fontId="12" type="noConversion"/>
  </si>
  <si>
    <t>总分</t>
    <phoneticPr fontId="3" type="noConversion"/>
  </si>
  <si>
    <t>总分</t>
    <phoneticPr fontId="3" type="noConversion"/>
  </si>
  <si>
    <t>行业水平评分</t>
    <phoneticPr fontId="12" type="noConversion"/>
  </si>
  <si>
    <t>直接评分</t>
    <phoneticPr fontId="12" type="noConversion"/>
  </si>
  <si>
    <t>直接评分</t>
    <phoneticPr fontId="12" type="noConversion"/>
  </si>
  <si>
    <t>直接评分</t>
  </si>
  <si>
    <t>行业水平评分</t>
  </si>
  <si>
    <t>直接评分</t>
    <phoneticPr fontId="3" type="noConversion"/>
  </si>
  <si>
    <t>发现一次，扣0.5分，扣完为止</t>
  </si>
  <si>
    <t>发现一次，扣0.5分，扣完为止。</t>
  </si>
  <si>
    <t xml:space="preserve">电话营销质监问题比例=评估期公司电话营销质监发现存在销售误导问题的保单件数/评估期公司进行电话营销质监的保单总数。
（1）评估期为评估时点之前的3个月。
（2）电话营销的质监方法应是由专职质监人员对销售录音进行监听。 （3）保单的统计范围指承保生效保单，不包括未生效保单和赠险保单。                                                                                            （4）对于不开展电话销售的公司，填写“不适用”。    </t>
  </si>
  <si>
    <t>将全部n家公司的电话有效质监问题比例按从小到大排序，根据排名Ri进行赋分，其中1≤Ri&lt;[0.25∙n]，3分；
[0.25∙n]≤Ri&lt;[0.5∙n]，2分；
[0.5∙n]≤Ri&lt;[0.75∙n]，1分；
[0.75∙n]≤Ri≤n ，0分；对于填写“不适用”的公司由系统根据该项在操作流程中的权重赋分。</t>
  </si>
  <si>
    <t>评估期内发现公司内勤员工或销售人员组织参与非法集资的案件数量。评估期为评估时点之前12个月。</t>
  </si>
  <si>
    <t>评估期内发现发现公司内勤员工或销售人员通过盗用、伪造印鉴和保单等手段进行诈骗的案件数量。                                                         
评估期为评估时点之前12个月。</t>
  </si>
  <si>
    <t>意外险出单系统是否与核心业务系统实时对接，意外险保单信息内容是否完整记录在核心业务系统。</t>
  </si>
  <si>
    <t>意外险出单系统存在未与核心业务系统实时对接的问题，扣2分，核心业务系统未完整记录意外险保单信息内容，扣2分。合计扣分不超过5分。</t>
  </si>
  <si>
    <t>核心业务系统、银（邮）保通系统及其他与核心业务系统对接的保险专业中介机构的业务系统是否具备客户信息字段完整性和逻辑准确性的控制可能。</t>
  </si>
  <si>
    <t>完整性控制功能不完备，扣2分；逻辑准确性控制功能不完备，扣2分；不具备完整性控制功能，扣3分；不具备逻辑准确性控制功能；扣3分。合计扣分不超过5分。</t>
  </si>
  <si>
    <t>系统故障导致无法出单，系统故障导致保单信息缺失和错误，系统故障导致业务系统与财务系统未实现无缝对接。</t>
  </si>
  <si>
    <t>每出现一次系统故障，扣1分。合计扣分不超过5分</t>
  </si>
  <si>
    <t>设行业平均水平为θ天，如果8≤θ，则评分为：
x≤8，4分；
8&lt;x≤15，2分；
15&lt;x，1分；
如果θ&lt;8，则评分为：
x≤θ，4分；
θ&lt;x≤8，3分；
8&lt;x≤15，2分；
15&lt;x，1分。</t>
  </si>
  <si>
    <t>评估期内完成理赔的案件从保险公司作出理赔核定结果到给付保险金的平均天数。                          
评估期为评估时点之前3个月。</t>
  </si>
  <si>
    <t>设行业平均水平为θ天，如果10≤θ，则评分为：
x≤10，6分；
10&lt;x≤15，2分；
15&lt;x，0分；
如果θ&lt;10，则评分为：
x≤θ，6分；
θ&lt;x≤10，4分；
10&lt;x≤15，2分；
15&lt;x，0分。</t>
  </si>
  <si>
    <t>设行业平均水平为θ天，如果7≤θ，则评分为：
x≤7，10分；
7&lt;x≤13，4分；
13&lt;x，0分；
如果θ&lt;7，则评分为：
x≤θ，10分；
θ&lt;x≤7，7分；
7&lt;x≤13，4分；
13&lt;x，0分。</t>
  </si>
  <si>
    <t>设行业平均水平为θ天，如果10≤θ，则评分为：
x≤10，7分；
10&lt;x≤15，3分；
15&lt;x，0分；
如果θ&lt;10，则评分为：
x≤θ，7分；
θ&lt;x≤10，5分；
10&lt;x≤15，3分；
15&lt;x，0分。</t>
  </si>
  <si>
    <t>发现一次，扣1分，扣完为止。</t>
  </si>
  <si>
    <t>评估期内保险公司因理赔、保全业务引发的群体性事件数量。       评估期为评估时点之前12个月。</t>
  </si>
  <si>
    <t>每发生一件，扣1分，最多扣至0分。</t>
  </si>
  <si>
    <t>具有7年以上从业经验的，得2分；5年以上得1分；否则，得0分。</t>
  </si>
  <si>
    <t>处罚是指资产管理部门负责人因违法违规受到监管部门行政处罚的次数。</t>
  </si>
  <si>
    <t>最近4个季度内资产管理部门负责人未因违法违规受到行政处罚的，得2分；否则，得0分。</t>
  </si>
  <si>
    <t>平均从业年限是指资产管理部门全体人员从事金融机构投资相关工作年限的算术平均数。</t>
  </si>
  <si>
    <t>资产管理部门人员平均从业年限5年以上得2分；3年以上得1分；否则，得0分。</t>
  </si>
  <si>
    <t>根据《保险资产运用管理暂行办法》（保监会令2014年第3号），保险公司的资产管理部门应当在投资研究、资产清算、风险控制、业绩评估、相关保障等环节设置岗位。</t>
  </si>
  <si>
    <t>资产管理部门在投资研究、资产清算或托管、风险控制、业绩评估、相关保障等环节设置岗位的，得1分；否则，得0分。保险公司自行投资的，资产管理部门除设置上述岗位外，还设置投资、交易等与资金运用业务直接相关的岗位的，得1分；否则，得0分。</t>
  </si>
  <si>
    <t>资金运用风险管理人员数量与投研人员数量的比例在1/4以上得1分；其他得0分。</t>
  </si>
  <si>
    <t>投资风险责任人培训次数是指投资风险责任人参加保监会组织或认可的培训的累计次数。投资风险责任人是指符合《关于保险机构投资风险责任人有关事项的通知》（保监发〔2013〕28号）规定的风险责任人。</t>
  </si>
  <si>
    <t xml:space="preserve">最近4个季度内投资风险责任人培训次数大于1的，得1分；否则，得0分。保险公司没有相关投资风险责任人的，得1分。   </t>
  </si>
  <si>
    <t>员工培训频率≥2，得1分；
不满足上述要求的，得0分。</t>
  </si>
  <si>
    <t>投研人员激励机制是指对投研人员的薪酬水平是否与业绩相挂钩。</t>
  </si>
  <si>
    <t>保险公司自行投资的，对投研人员无激励机制或激励机制只与短期（一年及以内）业绩挂钩，得0分；与长期（一年以上）业绩挂钩，得1分。保险公司委托投资的，能够提供受托机构相关证明材料的，得1分；否则，得0分。</t>
  </si>
  <si>
    <t>风险管理人员激励机制是指资金运用风险管理人员的薪酬水平是否直接与投资业绩挂钩。</t>
  </si>
  <si>
    <t>保险公司自行投资的，资金运用风险管理人员激励机制不直接与投资业绩挂钩的，得1分；否则，得0分。保险公司委托投资的，能够提供受托机构相关证明材料的，得1分；否则，得0分。</t>
  </si>
  <si>
    <t>业绩考核是指资产管理部门负责人的业绩考核是否与操作风险相挂钩。</t>
  </si>
  <si>
    <t>保险公司自行投资的，业绩考核与操作风险挂钩，得1分；否则，得0分。保险公司委托投资的，能够提供受托机构相关证明材料的，得1分；否则，得0分。</t>
  </si>
  <si>
    <t>操作风险数据库指保险公司建立的资金运用操作风险数据库，及时记录投资决策、交易行为、估值核算、信息披露的操作风险事件。</t>
  </si>
  <si>
    <t>建立资金运用操作风险数据库且如实记录操作风险事件的，得5分，否则得0分。</t>
  </si>
  <si>
    <t>根据《保险资金委托投资管理暂行办法》（保监发〔2012〕60号），保险公司委托投资，应建立委托投资管理制度，建立投资管理人选聘、监督、评价、考核制度，建立投资资产退出机制。</t>
  </si>
  <si>
    <t>保险公司委托投资的，全部建立相关制度的，得1分；未全部建立的，得0分。保险公司未开展委托投资的，得1分。</t>
  </si>
  <si>
    <t>保险公司委托投资的，应制定委托投资指引，合理确定投资范围、投资目标、投资期限和投资限制等要素，定期或者不定期审核委托投资指引，并做出适当调整。</t>
  </si>
  <si>
    <t>委托投资指引达到要求的，得1分；未达到要求的，得0分。保险公司未开展委托投资的，得1分。</t>
  </si>
  <si>
    <t>根据《保险资产配置管理暂行办法》（保监发〔2012〕61号），保险公司应当建立资产配置压力测试模型，实施敏感性测试和情景测试，测试特定情景和各种不利情景下资产、收益和偿付能力变化。</t>
  </si>
  <si>
    <t>资产配置压力测试达到要求的，得4分；否则，得0分。</t>
  </si>
  <si>
    <t>保险公司委托投资的，应定期评估投资管理人的管理能力、投资业绩、服务质量等要素，跟踪监测各类委托投资账户风险及合规状况，定期出具分析报告。</t>
  </si>
  <si>
    <t>最近4个季度内对全部投资管理人评估大于1次的，得2分；只对部分投资管理人进行评估的，得1分；未对投资管理人进行评估的，得0分。保险公司未开展委托投资的，得2分。</t>
  </si>
  <si>
    <t>保险公司应实行资产配置分账户管理，并确保资金清算、会计核算、账户记录等方面独立、清晰与完整。</t>
  </si>
  <si>
    <t>保险公司自行投资的，资产配置分账户管理达到要求的，得3分；否则，得0分。保险公司委托投资的，能够提供受托机构相关证明材料的，得3分；否则，得0分。</t>
  </si>
  <si>
    <t>根据《关于规范保险资产托管业务的通知》（保监发〔2014〕84号），保险公司应将保险资金运用形成的各项投资资产全部实行第三方托管和监督。</t>
  </si>
  <si>
    <t>全部投资资产实施托管的，得5分；投资资产部分托管的，得3分；投资资产未托管的，得0分。</t>
  </si>
  <si>
    <t xml:space="preserve">根据《保险资产运用管理暂行办法》（保监会令2014年第3号），保险公司应当建立健全相对集中、分级管理、权责统一的投资决策和授权制度，董事会应当设立资产负债管理委员会（投资决策委员会）和风险管理委员会。
</t>
  </si>
  <si>
    <t>具备完善的投资授权制度，建立董事会投资决策委员会体系，决策及批准权限明确的，得1分；否则，得0分。</t>
  </si>
  <si>
    <t>根据《保险资产运用内部控制指引》（保监发〔2015〕114号），保险公司应实现决策流程的信息化和自动化，通过信息系统手段实现投资决策流程、次序的自动控制。</t>
  </si>
  <si>
    <t>保险公司自行投资的，实现决策流程的信息化和自动化，通过信息系统手段实现投资决策流程、次序自动控制的，得1分；否则，得0分。保险公司委托投资的，能够提供受托机构相关证明材料的，得1分；否则，得0分。</t>
  </si>
  <si>
    <t>保险公司重要投资决策应留下相关书面记录，如会议纪要、最终投资决议等，确保投资决策所依据的材料均经过审慎考虑，并由决策人在最终投资决议上确认。</t>
  </si>
  <si>
    <t>保险公司自行投资的，重要投资决策有相关书面记录，如会议纪要、最终投资决议等，并由决策人在最终投资决议上确认的，得1分；否则，得0分。保险公司委托投资的，能够提供受托机构相关证明材料的，得1分；否则，得0分。</t>
  </si>
  <si>
    <t>根据《保险资产运用管理暂行办法》（保监会令2014年第3号），保险公司应当建立专业化分析平台，并利用外部研究成果，研究制定涵盖交易对手管理和投资品种选择的模型和制度，构建投资池、备选池和禁投池体系。</t>
  </si>
  <si>
    <t>保险公司自行投资股票、债券、开放式基金等投资品种的，构建投资池、备选池和禁投池体系且定期维护的，得1分；否则，得0分。保险公司未开展股票、债券、开放式基金等投资的，得1分。保险公司委托投资的，能够提供受托机构相关证明材料的，得1分；否则，得0分。</t>
  </si>
  <si>
    <t>投资决策操作风险事件包括投资决策过程中越权投资、超过交易对手风险限额投资等风险事件，具体事件分类不重复计算。</t>
  </si>
  <si>
    <t>最近4个季度内未发生投资决策操作风险事件的，得5分；最近4个季度内发生1次以上、3次以内投资决策操作风险事件的，得3分；最近4个季度内发生的投资决策操作风险事件次数超过3次的，得0分。</t>
  </si>
  <si>
    <t>保险公司自行投资股票、债券、开放式基金等投资品种的，实行集中交易制度，安装必要的监测系统、预警系统和反馈系统，对交易室通讯设备进行监控的，得2分；否则，得0分。保险公司未开展股票、债券、开放式基金等投资的，得2分。保险公司委托投资的，能够提供受托机构相关证明材料的，得2分；否则，得0分。</t>
  </si>
  <si>
    <t>根据《保险资产运用内部控制指引》（保监发〔2015〕114号），保险公司应当建立完善的交易记录制度，每日的交易记录应当及时核对并存档。</t>
  </si>
  <si>
    <t>交易行为操作风险事件包括交易执行过程中越权交易、投资指令误操作、错误传达信息、交易下单差错、数据维护错误等风险事件，具体事件分类不重复计算。</t>
  </si>
  <si>
    <t>最近4个季度内未发生交易行为操作风险事件的，得5分；最近4个季度内发生1次以上、3次以内交易行为操作风险事件的，得3分；最近4个季度内发生的交易行为操作风险事件次数超过3次的，得0分。</t>
  </si>
  <si>
    <t>保险机构应当建立适当的会计估值政策与制度规范。估值结果应当经过恰当的复核审查，按照有关规定和合同的约定及时处理估值错误，并进行信息披露。</t>
  </si>
  <si>
    <t>保险公司自行投资的，建立会计估值政策与制度规范，估值结果经过复核审查，得1分；否则，得0分。保险公司委托投资的，能够提供受托机构相关证明材料的，得1分；否则，得0分。</t>
  </si>
  <si>
    <t xml:space="preserve">保险机构每日完成交易后，应当进行清算和交易信息核对工作。投资部门的业务交易台账应该与后台清算记录和资金记录保持一致，并保留复核纪录。
</t>
  </si>
  <si>
    <t>保险公司自行投资的，投资部门的业务交易台账与后台清算记录和资金记录应保持一致，并保留复核纪录，每日完成交易后进行清算和交易信息核对的，得1分；否则，得0分。保险公司委托投资的，由投资部门督促检查管理人和托管人的业务交易台账与后台清算记录和资金记录是否保持一致，管理人和托管人每日核对清算和交易信息的，得1分；否则，得0分。</t>
  </si>
  <si>
    <t>信息披露风险事件是指未按照保险公司资金运用信息披露相关准则及时、准确、完整披露相关信息的事件。</t>
  </si>
  <si>
    <t>最近4个季度内按照保险公司资金运用信息披露相关准则及时、准确、完整披露相关信息的，得5分；未及时、准确、完整披露相关信息的，累计1次以上、3次以内的，得3分；累计超过3次的，得0分。</t>
  </si>
  <si>
    <t>根据《保险资产运用管理暂行办法》（保监会令2014年第3号），保险公司应当建立保险资金运用信息管理系统，信息管理系统应当设定合规性和风险指标阀值，将风险监控的各项要素固化到相关信息技术系统之中。</t>
  </si>
  <si>
    <t>保险公司自行投资的，建立资金运用信息系统，设定合规性和风险指标阀值，将风险监控的各项要素固化到信息系统之中，实现管理自动化的，得3分；将部分合规性和风险指标阀值设置于信息系统的，得1分；否则，得0分。保险公司委托投资的，能够提供受托机构相关证明材料的，得3分；否则，得0分。</t>
  </si>
  <si>
    <t>系统设计差错是指在资金运用信息系统上线后，发现的设计开发中存在的核算规则错误、逻辑错误、设置错误等差错。</t>
  </si>
  <si>
    <t>资金运用信息系统设计差错量小于2个的，得1分；否则，得0分。</t>
  </si>
  <si>
    <t>系统中断次数是指资金运用信息系统出现故障，无法正常运转的次数。</t>
  </si>
  <si>
    <t>最近4个季度内累计中断次数小于1次的，得1分；否则，得0分。</t>
  </si>
  <si>
    <t>系统异常事件是指资金运用相关人员使用资金运用信息系统过程中，出现的用户无法登录、数据传输失败等个体事件。</t>
  </si>
  <si>
    <t>最近4个季度内系统异常事件数量累计小于5次的，得1分；超过5次的，得0分。</t>
  </si>
  <si>
    <t xml:space="preserve">信息安全事件是指资金运用信息系统等遭受病毒攻击、非法入侵、木马植入、外部网络攻击、信息泄露等，给公司声誉造成负面影响或者造成直接经济损失的事件数量。   </t>
  </si>
  <si>
    <t xml:space="preserve"> 最近4个季度内信息安全事件数量累计小于3次的，得2分；超过3次，少于6次的，得1分；其他情况，得0分。 </t>
  </si>
  <si>
    <t>数据差错量指保险公司资金运用信息系统数据出现差错的次数。</t>
  </si>
  <si>
    <t>最近4个季度内资金运用信息系统数据出现差错少于3次的，得2分；否则，得0分。</t>
  </si>
  <si>
    <t>保险公司是否能积极参与、密切跟踪新的资金运用、偿付能力等政策制度，能够及时对新政作出调整资金运用管理流程和经营行为的情况。</t>
  </si>
  <si>
    <t>能积极参与、密切跟踪新的资金运用、偿付能力等政策制度，能够及时对新政作出调整资金运用管理流程和经营行为的，得3分；否则，得0分。</t>
  </si>
  <si>
    <t>保险公司及时对高管、相关部门人员进行的新的资金运用、偿付能力等政策制度培训的情况。</t>
  </si>
  <si>
    <t>对新的资金运用、偿付能力等政策制度，保险公司能够及时对高管、相关部门人员进行培训的，得2分；否则，得0分。</t>
  </si>
  <si>
    <t>财会部门主要负责人专业性指财会部门主要负责人具有财务、会计类学历专业背景；且具有金融机构财务会计工作3年以上从业经验。
财会部门是指履行《保险公司财会工作规范》第七条规定职责的相关部门。（下同）</t>
  </si>
  <si>
    <t>财会部门人数指保险公司总公司财会部门的人员数量。</t>
  </si>
  <si>
    <t>财会部门人员流失率＝最近4个季度内离职的财会人员数量÷（前4个季度初的财会人员数量+最近4个季度增加的财会人员数量）×100％；
财会部门人员指总公司财会部门的人员。</t>
  </si>
  <si>
    <t>员工培训频率＝最近4个季度内员工培训人次/财会部门总人数；
员工培训人次指最近4个季度内保险公司组织财会部门人员参加的会计、财务、税收、偿付能力、风险管理等各类专业培训的人次。
财会部门人员指总公司财会部门的人员。</t>
  </si>
  <si>
    <t>员工培训频率≥2，得4分；
不满足上述要求的，得0分。</t>
  </si>
  <si>
    <t>业绩考核指公司有明确的制度规定总公司财会部门负责人和分支机构财会部门负责人的业绩考核应与财务管理相关操作风险相挂钩。</t>
  </si>
  <si>
    <t>总公司财会部门负责人和分支机构财会部门负责人的业绩考核与相关操作风险相挂钩的，得4分；否则，得0分</t>
  </si>
  <si>
    <t>操作风险数据库指保险公司建立的财务管理操作风险数据库及时记录会计核算、财务报告、资金管理、单证管理、印章管理、税收管理的操作风险事件。</t>
  </si>
  <si>
    <t>建立财务管理操作风险数据库且如实记录操作风险事件的，得5分，否则得0分。</t>
  </si>
  <si>
    <t>核算集中度指保险公司的会计核算应在总公司或省级分公司集中处理。</t>
  </si>
  <si>
    <t>保险公司的会计核算在总公司或省级分公司集中处理的，得1分；否则，得0分。</t>
  </si>
  <si>
    <t>会计差错量指是保险公司发生的，达到《企业会计准则第28号－会计政策、会计估计变更和差错更正》规定的前期差错的数量。</t>
  </si>
  <si>
    <t>会计差错量小于等于2次的，得4分；大于2次的，得0分。</t>
  </si>
  <si>
    <t xml:space="preserve">委托投资资产数据核对指保险公司建立了委托投资资产的数据核对机制，受托方与托管行每日核对委托投资资产数据；保险公司与受托方、托管行定期核对委托投资资产数据。  </t>
  </si>
  <si>
    <t xml:space="preserve"> 符合要求的，得1分；否则，得0分。</t>
  </si>
  <si>
    <t>最近4个季度内，未发生过错报、漏报和未按时报送的，得5分；最近4个季度内，错报、漏报或未按时报送的次数少于2次的，得3分；最近4个季度内，错报、漏报或未按时报送的次数超过2次，或者发生1次重大错报或漏报的，得0分。</t>
  </si>
  <si>
    <t>财务报告差错量指保险公司向保监会报送财务报告出现错报、漏报、未按时报送等差错的次数。</t>
  </si>
  <si>
    <t>资金收支应按照“收支两条线”，由总公司进行集中管理，且总公司有专人专岗负责资金管理。
大病保险等有特别规定的除外（下同）。</t>
  </si>
  <si>
    <t>符合要求的，得1分；否则，得0分。</t>
  </si>
  <si>
    <t>银行账户应由总公司集中管理，银行账户的设立、变更或注销是否报总公司审批或备案。</t>
  </si>
  <si>
    <t>资金管理操作风险事件指最近4个季度内保险公司在资金管理方面出现挪用公款、票据欺诈、私自开立银行账户、账外资金等事件。</t>
  </si>
  <si>
    <t>单证管理指单证的领用、核销等有专门内控程序和专人负责。单证是指保险公司财会部门负责管理的有价单证，如发票、银行票据等（下同）。</t>
  </si>
  <si>
    <t>单证的领用、核销有专门内控程序和专人负责的，得1分；否则，得0分。</t>
  </si>
  <si>
    <t>空白单证缺失率＝最近4个季度内已发放空白单证缺失的数量÷最近4个季度内空白单证发放的数量×100％。</t>
  </si>
  <si>
    <t>印章管理指财务类印章印鉴实行专人管理，且其使用有明确的内部审批流程。</t>
  </si>
  <si>
    <t>财务类印章印鉴实行专人管理，且其使用有明确的内部审批流程的，得1分；否则，得0分。</t>
  </si>
  <si>
    <t>印章管理操作风险事件指最近4个季度内发生印章遗失，未经审批擅自制造印章，未经审批使用财务印章等事件。</t>
  </si>
  <si>
    <t>最近4个季度内未发生过财务类印章管理操作风险事件的，得3分；最近4个季度内发生过1次以上、3次以内财务类印章管理操作风险事件的，得1分；最近4个季度内发生3次以上财务类印章管理操作风险事件的，得0分。</t>
  </si>
  <si>
    <t>保险公司总公司和分公司应安排专人专岗负责税收管理，或者安排专人负责税收管理。</t>
  </si>
  <si>
    <t>I类保险公司总公司和分公司有专人专岗负责税收管理的，得1分；II类保险公司总公司和分公司有专人负责税收管理的，得1分；否则，得0分。</t>
  </si>
  <si>
    <t>税收类操作风险事件是指最近4个季度内税务部门对保险公司进行的处罚。</t>
  </si>
  <si>
    <t>最近4个季度内未发生过税收类操作风险事件的，得4分；最近4个季度内发生1次以上、3次以内税收类操作风险事件的，得2分；最近4个季度内发生过3次以上税收类操作风险事件的，得0分。</t>
  </si>
  <si>
    <t>系统自动化指保险公司应建立了会计核算系统、资金管理系统等财务信息系统，将财务管理的流程内嵌入相关系统，实现管理自动化。</t>
  </si>
  <si>
    <t>保险公司建立了财务信息系统，实现管理自动化的，得2分；否则，得0分。</t>
  </si>
  <si>
    <t>系统异常事件数量指财务信息系统在最近4个季度内出现故障，导致系统无法正常运转时间超过4小时的次数。</t>
  </si>
  <si>
    <t>系统异常事件数量小于或等于3次的，得4分；大于3次但小于或等于5次的2分；否则，得0分。</t>
  </si>
  <si>
    <t>系统管理集中度指财务数据应由总公司集中存储，分支机构没有修改财务数据权限。</t>
  </si>
  <si>
    <t>财务数据由总公司集中存储，分支机构没有修改财务数据权限的，得3分；否则，得0分。</t>
  </si>
  <si>
    <t>数据核对频率指保险公司财务系统与业务系统、再保系统、精算系统等相关系统之间进行人工数据核对的频率。
人工数据核对指在系统自动核对的基础上，有专人进行系统差错核对处理，并保存相关作业文档。</t>
  </si>
  <si>
    <t>核对频率高于等于每周一次的，得3分；核对频率低于每周一次但高于等于每月一次的，得1分；否则，得0分</t>
  </si>
  <si>
    <t>对新政策的参与和反应速度指保险公司应能积极参与、密切跟踪新的会计、税收、财务监管、偿付能力等政策制度，并能及时调整财务管理流程和经营行为的情况、及时对高管、相关部门人员进行培训。</t>
  </si>
  <si>
    <t>能积极参与、密切跟踪新的会计、税收、财务监管、偿付能力等政策制度，能够及时调整财务管理流程和经营行为的，得3分；
对新的会计、税收、财务监管、偿付能力等政策制度，保险公司能够及时对高管、相关部门人员进行培训的，得2分；
否则，得0分。</t>
  </si>
  <si>
    <t>设行业平均水平为θ，评分为：
x&lt;0.85∙θ，2分
0.85∙θ≤x&lt;1.25∙θ，4分
1.25∙θ≤x&lt;1.5∙θ，6分
1.5∙θ≤x，8分
行业平均水平θ=∑(pi/(∑pi)∙θi)，pi是第i家公司从事寿险准备金评估工作的精算人员数量，θi是第i家公司从事寿险准备金评估工作的精算人员中具有三年以上寿险精算工作经验的人员占比</t>
  </si>
  <si>
    <t>设行业平均水平为θ，评分为：x&lt;0.5∙θ，1分；0.5∙θ≤x&lt;0.85∙θ，3分；0.85∙θ≤x&lt;1.25∙θ，5分；1.25∙θ≤x&lt;1.5∙θ，7分；1.5∙θ≤x，9分。</t>
  </si>
  <si>
    <t>大于2次，得0分；等于2次，得1分；等于1次，得5分；等于0次，得9分。</t>
  </si>
  <si>
    <t>设行业平均水平为θ，评分为：x&lt;0.85∙θ，3分；0.85∙θ≤x&lt;1.25∙θ，5分；1.25∙θ≤x&lt;1.5∙θ，7分；1.5∙θ≤x，9分。</t>
  </si>
  <si>
    <t>过去12个月因再保险合同内容出现遗漏或错误导致公司经济损失。</t>
  </si>
  <si>
    <t>每出现一次，扣2分，扣完为止。</t>
  </si>
  <si>
    <t>过去12个月直保公司在分出业务时计算分出保费、再保险费、摊回赔款、摊回手续费和摊回费用等业务数据时出现计算错误，或者财务系统中记录的上述再保险业务数据出现差错。</t>
  </si>
  <si>
    <t>过去12个月准备金评估所使用的基础数据与核心业务系统中的数据存在偏差。</t>
  </si>
  <si>
    <t>过去12个月精算软件或EXCEL软件中用于准备金评估的模型设置存在错误，或者用于准备金评估的方法不符合监管规定。</t>
  </si>
  <si>
    <t>过去12个月精算报告、偿付能力报告等监管报告中存在数据错误、遗漏。</t>
  </si>
  <si>
    <t>过去12个月用于准备金评估的数据库系统、精算软件发生故障的次数。</t>
  </si>
  <si>
    <t>过去12个月保险公司与再保险公司发生合同纠纷的次数。</t>
  </si>
  <si>
    <t>未受到该类行政处罚的，扣0分。受到该类行政处罚的，扣5分。</t>
  </si>
  <si>
    <t>未设置合规管理部门，扣10分。
未按照规定制定合规管理政策，扣5分。
未制定员工行为准则等落实合规政策的文件，扣5分。
未定期开展合规培训，扣5分。
未按时提交年度合规报告，扣5分。</t>
  </si>
  <si>
    <t>警告，或者罚款和没收违法所得累计金额30万元以下的次数</t>
    <phoneticPr fontId="3" type="noConversion"/>
  </si>
  <si>
    <t>罚款和没收违法所得累计金额30万元以上100万元以下的次数</t>
    <phoneticPr fontId="3" type="noConversion"/>
  </si>
  <si>
    <t>罚款和没收违法所得累计金额100万元以上的次数</t>
    <phoneticPr fontId="3" type="noConversion"/>
  </si>
  <si>
    <t>董事长、总经理被处以罚款的次数</t>
    <phoneticPr fontId="3" type="noConversion"/>
  </si>
  <si>
    <t>董事长、总经理以外的其他董事、高级管理人员被撤销任职资格或者禁止进入保险业的次数</t>
    <phoneticPr fontId="3" type="noConversion"/>
  </si>
  <si>
    <t>每家分支机构受罚款金额</t>
    <phoneticPr fontId="3" type="noConversion"/>
  </si>
  <si>
    <t>评估期内各分支机构罚款总额</t>
    <phoneticPr fontId="3" type="noConversion"/>
  </si>
  <si>
    <t>总公司当期保险类行政处罚情况</t>
    <phoneticPr fontId="3" type="noConversion"/>
  </si>
  <si>
    <t>评估期内受处罚的分支机构总家次</t>
    <phoneticPr fontId="3" type="noConversion"/>
  </si>
  <si>
    <t>1.对评估期内总公司及其责任人员处罚进行评价；
2.累计金额指评估期内总公司及其责任人员所受罚款和没收违法所得的金额总和，应当将机构和个人的所有罚款和所有没收违法所得金额进行相加；
3.同时受到多种处罚措施的，按扣分最高的标准评价； 
4.根据我会有关规定，保监局对总公司非高级管理人员实施处罚的，相关数据由保监局报送。</t>
  </si>
  <si>
    <t>总公司在上一评估期内受到行政处罚的，扣5分。</t>
  </si>
  <si>
    <t>总公司保险类既往行政处罚情况</t>
    <phoneticPr fontId="3" type="noConversion"/>
  </si>
  <si>
    <t>特殊评价</t>
    <phoneticPr fontId="3" type="noConversion"/>
  </si>
  <si>
    <t>（100）</t>
    <phoneticPr fontId="3" type="noConversion"/>
  </si>
  <si>
    <t>评估期内总公司（不包括责任人员）因违反反洗钱、反垄断或者其他金融监管规定，受到人民银行、发改委等单位或者其他金融监管部门的行政处罚。</t>
    <phoneticPr fontId="3" type="noConversion"/>
  </si>
  <si>
    <t>根据保险公司总公司执行保监会合规监管要求的情况，评价保险公司的合规管理。</t>
    <phoneticPr fontId="3" type="noConversion"/>
  </si>
  <si>
    <t>评估期内保险公司总公司及其责任人员受到严重处罚，对公司的合规风险产生重大影响，则直接扣除该保险公司合规风险100分。</t>
    <phoneticPr fontId="3" type="noConversion"/>
  </si>
  <si>
    <t>有下列情形之一的，扣100分：
1.总公司被限制业务范围、责令停止接受新业务、责令停业整顿、吊销业务许可证的；
2.总公司董事长、总经理被撤销任职资格或者禁止进入保险业的。</t>
    <phoneticPr fontId="3" type="noConversion"/>
  </si>
  <si>
    <t>统计期间</t>
    <phoneticPr fontId="3" type="noConversion"/>
  </si>
  <si>
    <t>指标说明</t>
    <phoneticPr fontId="3" type="noConversion"/>
  </si>
  <si>
    <t>评分规则</t>
    <phoneticPr fontId="3" type="noConversion"/>
  </si>
  <si>
    <t>评估期内</t>
  </si>
  <si>
    <t>评估期内</t>
    <phoneticPr fontId="12" type="noConversion"/>
  </si>
  <si>
    <t>评估期末时点</t>
  </si>
  <si>
    <t>评估期末时点</t>
    <phoneticPr fontId="12" type="noConversion"/>
  </si>
  <si>
    <t>评估期末</t>
    <phoneticPr fontId="12" type="noConversion"/>
  </si>
  <si>
    <t>4个季度</t>
  </si>
  <si>
    <t>4个季度</t>
    <phoneticPr fontId="3" type="noConversion"/>
  </si>
  <si>
    <t>评估期末时点</t>
    <phoneticPr fontId="3" type="noConversion"/>
  </si>
  <si>
    <t>评估期末时点</t>
    <phoneticPr fontId="3" type="noConversion"/>
  </si>
  <si>
    <t>2年</t>
    <phoneticPr fontId="3" type="noConversion"/>
  </si>
  <si>
    <t>12个月</t>
    <phoneticPr fontId="3" type="noConversion"/>
  </si>
  <si>
    <t>评估期内</t>
    <phoneticPr fontId="3" type="noConversion"/>
  </si>
  <si>
    <t>评估期内</t>
    <phoneticPr fontId="3" type="noConversion"/>
  </si>
  <si>
    <t>上一评估期</t>
    <phoneticPr fontId="3" type="noConversion"/>
  </si>
  <si>
    <t>总分</t>
    <phoneticPr fontId="3" type="noConversion"/>
  </si>
  <si>
    <t>4个季度</t>
    <phoneticPr fontId="3" type="noConversion"/>
  </si>
  <si>
    <t>评价项目</t>
    <phoneticPr fontId="3" type="noConversion"/>
  </si>
  <si>
    <t>分值</t>
  </si>
  <si>
    <t>指标说明</t>
    <phoneticPr fontId="23" type="noConversion"/>
  </si>
  <si>
    <t>评价标准</t>
    <phoneticPr fontId="3" type="noConversion"/>
  </si>
  <si>
    <t>报告期的实际净现金流</t>
    <phoneticPr fontId="3" type="noConversion"/>
  </si>
  <si>
    <t>保险公司报告期的净现金流量。</t>
    <phoneticPr fontId="23" type="noConversion"/>
  </si>
  <si>
    <t>净现金流量小于0，得0分；净现金流量大于等于0，得10分。</t>
  </si>
  <si>
    <t>在基本情景下未来预计净现金流</t>
    <phoneticPr fontId="3" type="noConversion"/>
  </si>
  <si>
    <t>保险公司在基本情景下未来一段期间内的净现金流量。</t>
    <phoneticPr fontId="3" type="noConversion"/>
  </si>
  <si>
    <t>保险公司在压力情景下未来一段时间内的净现金流量。</t>
    <phoneticPr fontId="3" type="noConversion"/>
  </si>
  <si>
    <t>（1）财产险公司和再保险公司，必测压力情景一、必测压力情景二下的未来1季度、未来2季度、未来3季度、未来4季度的净现金流量每项小于0的，该项得0分；净现金流量每项大于等于0的，该项得1.25分。
（2）人身险公司，现金流测试范围为公司整体，必测压力情景一、必测压力情景二下的未来1季度、未来2季度、未来3季度、未来4季度、报告日后第2年、报告日后第3年的净现金流量每项小于0的，该项得0分；必测压力情景一、必测压力情景二下的未来1季度、未来2季度、未来3季度、未来4季度的净现金流量每项大于等于0的，该项得1分；报告日后第2年、报告日后第3年的净现金流量每项大于等于0的，该项得0.5分。</t>
  </si>
  <si>
    <t>综合流动比率</t>
    <phoneticPr fontId="3" type="noConversion"/>
  </si>
  <si>
    <t>综合流动比率反映保险公司各项资产和负债在未来期间现金流分布情况以及现金流入和现金流出的匹配情况。
综合流动比率＝现有资产的预期现金流入合计/现有负债的预期现金流出合计*100%</t>
    <phoneticPr fontId="23" type="noConversion"/>
  </si>
  <si>
    <t>未来1季度</t>
  </si>
  <si>
    <t>未来2季度</t>
  </si>
  <si>
    <t>未来3季度</t>
  </si>
  <si>
    <t>未来4季度</t>
  </si>
  <si>
    <t>报告日后第2年</t>
  </si>
  <si>
    <t>报告日后第3年</t>
  </si>
  <si>
    <t>必测压力情景1
净现金流量</t>
    <phoneticPr fontId="3" type="noConversion"/>
  </si>
  <si>
    <t>3个月内</t>
    <phoneticPr fontId="3" type="noConversion"/>
  </si>
  <si>
    <t>1年内</t>
    <phoneticPr fontId="3" type="noConversion"/>
  </si>
  <si>
    <t>将全部n家公司的销售人员责任追究指标按从小到大排序，根据排名Ri进行赋分，其中
1≤Ri&lt;[0.25∙n]，8分；
[0.25∙n]≤Ri&lt;[0.5∙n]，6分；
[0.5∙n]≤Ri&lt;[0.75∙n]，3分；
[0.75∙n]≤Ri&lt;n，0分。</t>
    <phoneticPr fontId="12" type="noConversion"/>
  </si>
  <si>
    <t>每发现一次，扣2分，扣完为止。</t>
    <phoneticPr fontId="3" type="noConversion"/>
  </si>
  <si>
    <t>每发现一次，扣3分，扣完为止。</t>
    <phoneticPr fontId="3" type="noConversion"/>
  </si>
  <si>
    <t>将全部n家公司各自接到的投诉占比指标按从小到大排序，根据排名Ri进行赋分，其中：
1≤Ri&lt;[0.2∙n]，10分；
[0.2∙n]≤Ri&lt;[0.4∙n]，7分；
[0.4∙n]≤Ri&lt;[0.6∙n]，5分；
[0.6∙n]≤Ri&lt;[0.8∙n]，3分；
[0.8∙n]≤Ri&lt;n，0分。</t>
    <phoneticPr fontId="12" type="noConversion"/>
  </si>
  <si>
    <t>将全部n家公司各自接到的投诉占比指标按从小到大排序，根据排名Ri进行赋分，其中：
1≤Ri&lt;[0.2∙n]，11分；
[0.2∙n]≤Ri&lt;[0.4∙n]，9分；
[0.4∙n]≤Ri&lt;[0.6∙n]，6分；
[0.6∙n]≤Ri&lt;[0.8∙n]，3分；
[0.8∙n]≤Ri&lt;n，0分。</t>
    <phoneticPr fontId="12" type="noConversion"/>
  </si>
  <si>
    <t>上一评估期内，总公司受到保险行政处罚的递延影响。</t>
    <phoneticPr fontId="3" type="noConversion"/>
  </si>
  <si>
    <t>1年至3年内</t>
    <phoneticPr fontId="3" type="noConversion"/>
  </si>
  <si>
    <t>3年至5年内</t>
    <phoneticPr fontId="3" type="noConversion"/>
  </si>
  <si>
    <t>5年以上</t>
    <phoneticPr fontId="3" type="noConversion"/>
  </si>
  <si>
    <t>流动性覆盖率反映保险公司在压力情景下未来一个季度的流动性水平，压力情景由保监会另行制定。
流动性覆盖率＝优质流动资产的期末账面价值/未来一个季度的净现金流*100%</t>
  </si>
  <si>
    <t>公司整体</t>
    <phoneticPr fontId="3" type="noConversion"/>
  </si>
  <si>
    <t>压力情景一下流动性覆盖率</t>
    <phoneticPr fontId="3" type="noConversion"/>
  </si>
  <si>
    <t>独立账户</t>
    <phoneticPr fontId="3" type="noConversion"/>
  </si>
  <si>
    <t>压力情景二下流动性覆盖率</t>
    <phoneticPr fontId="3" type="noConversion"/>
  </si>
  <si>
    <t>12个月</t>
    <phoneticPr fontId="12" type="noConversion"/>
  </si>
  <si>
    <t>必测压力情景2
净现金流量</t>
    <phoneticPr fontId="3" type="noConversion"/>
  </si>
  <si>
    <t>12个月</t>
    <phoneticPr fontId="12" type="noConversion"/>
  </si>
  <si>
    <t>总公司人力资源部</t>
    <phoneticPr fontId="3" type="noConversion"/>
  </si>
  <si>
    <t>总公司法律合规部</t>
    <phoneticPr fontId="3" type="noConversion"/>
  </si>
  <si>
    <t>总公司各个渠道</t>
    <phoneticPr fontId="3" type="noConversion"/>
  </si>
  <si>
    <t>总公司信息技术部</t>
    <phoneticPr fontId="3" type="noConversion"/>
  </si>
  <si>
    <t>流动性覆盖率的测试范围为公司整体和独立账户，压力情景分为压力情景一和压力情景二。压力情景一下公司整体流动性覆盖率、压力情景一下独立账户流动性覆盖率、压力情景二下公司整体流动性覆盖率、压力情景二下独立账户流动性覆盖率，每项满足：
流动性覆盖率≥2,得7.5分；1≤流动性覆盖率&lt;2，得6.25分；
0.8≤流动性覆盖率&lt;1，得3.75分；0.5≤流动性覆盖率&lt;0.8，得1.25分；流动性覆盖率&lt;0.5，得0分。</t>
    <phoneticPr fontId="3" type="noConversion"/>
  </si>
  <si>
    <t>总得分</t>
    <phoneticPr fontId="3" type="noConversion"/>
  </si>
  <si>
    <t>扣分</t>
    <phoneticPr fontId="3" type="noConversion"/>
  </si>
  <si>
    <t>百分制后</t>
    <phoneticPr fontId="3" type="noConversion"/>
  </si>
  <si>
    <t>对IRR总分影响</t>
    <phoneticPr fontId="3" type="noConversion"/>
  </si>
  <si>
    <t>行业水平确定可得</t>
    <phoneticPr fontId="12" type="noConversion"/>
  </si>
  <si>
    <t>监管评分</t>
    <phoneticPr fontId="12" type="noConversion"/>
  </si>
  <si>
    <t>行业评分无法确定</t>
    <phoneticPr fontId="12" type="noConversion"/>
  </si>
  <si>
    <t>扣分项</t>
    <phoneticPr fontId="12" type="noConversion"/>
  </si>
  <si>
    <t>扣分项</t>
    <phoneticPr fontId="3" type="noConversion"/>
  </si>
  <si>
    <t>设行业平均水平为θ，评分为：
x&lt;0.85∙θ，4分；
0.85∙θ≤x&lt;1.25∙θ，5分；
1.25∙θ≤x&lt;1.5∙θ，6分；
1.5∙θ≤x，7分。</t>
    <phoneticPr fontId="12" type="noConversion"/>
  </si>
  <si>
    <t xml:space="preserve">将全部n家公司的客户信息真实性比例按从小到大排序，根据排名Ri进行赋分，其中
1≤Ri&lt;[0.25∙n]，7分；
[0.25∙n]≤Ri&lt;[0.5∙n]，5分；
[0.5∙n]≤Ri&lt;[0.75∙n]，3分；
[0.75∙n]≤Ri≤n，1分；
</t>
    <phoneticPr fontId="12" type="noConversion"/>
  </si>
  <si>
    <t>保险公司投诉占比=(评估期保险公司关于理赔、保全业务线的投诉次数/评估期全行业关于理赔、保全业务线的投诉总数)⁄(评估期公司规模保费/评估期行业规模保费)
（1）评估期为评估时点之前的3个月。
（2）规模保费是指会计准则2号解释实施前业务口径下的规模保费。</t>
    <phoneticPr fontId="12" type="noConversion"/>
  </si>
  <si>
    <t>3个月</t>
    <phoneticPr fontId="3" type="noConversion"/>
  </si>
  <si>
    <t>将全部n家公司的销售人员离职率按从小到大排序，根据排名Ri进行赋分，其中
1≤Ri&lt;[0.25∙n]，9分；
[0.25∙n]≤Ri&lt;[0.5∙n]，6分；
[0.5∙n]≤Ri&lt;[0.75∙n]，3分；
[0.75∙n]≤Ri≤n，0分。</t>
    <phoneticPr fontId="12" type="noConversion"/>
  </si>
  <si>
    <t>销售人员责任追究=(评估期内公司对销售人员实施内部责任追究的人次/评估期内行业对销售人员实施内部责任追究的人次)⁄(评估期公司规模保费/评估期行业规模保费)。
（1）评估期为评估时点之前的3个月。
（2）内部责任追究包括公司根据内部管理规定，针对销售人员的销售误导、侵占挪用保费、违法销售非保险金融理财产品等各类违法违规问题采取的纪律处分和经济处分。</t>
    <phoneticPr fontId="12" type="noConversion"/>
  </si>
  <si>
    <t>客户信息真实性比例=(评估期公司审核发现存在客户信息缺失、虚假问题的保单件数)/(评估期公司开展客户信息真实性审核的保单件数)。
（1）评估期为评估时点之前的3个月。
（2）按照《人身保险客户信息真实性管理暂行办法》第十五条的规定对客户信息的真实性进行审核。</t>
    <phoneticPr fontId="12" type="noConversion"/>
  </si>
  <si>
    <t>员工培训频率＝最近4个季度内员工培训人次/资产管理部门总人数；
员工培训人次指最近4个季度内保险公司组织资产管理部门人员参加的投资、偿付能力、风险管理等各类专业培训的次数，包括监管培训和内部培训。
资产管理部门人员指保险公司资产管理部门的人员。</t>
    <phoneticPr fontId="3" type="noConversion"/>
  </si>
  <si>
    <t>数据差错率＝数据差错金额绝对值之和/当期保费收入
数据差错金额指最近4个季度内保险公司财务系统与业务、再保、精算等系统之间出现数据差错的金额。</t>
    <phoneticPr fontId="3" type="noConversion"/>
  </si>
  <si>
    <t>评估时点之前12个月发现产品说明会销售误导事件的次数</t>
  </si>
  <si>
    <t>评估时点之前12个月发现组织参与非法集资事件的次数</t>
  </si>
  <si>
    <t>评估时点之前12个月发现通过盗用、伪造印鉴和保单进行诈骗的次数</t>
  </si>
  <si>
    <t>评估时点之前12个月发现侵占、挪用保费事件的次数</t>
  </si>
  <si>
    <t>评估时点之前12个月发现侵占、挪用保费或保险金的次数</t>
  </si>
  <si>
    <t>评估时点之前12个月系统发生故障次数</t>
  </si>
  <si>
    <t>评估时点之前12个月发现系统管控漏洞的次数</t>
  </si>
  <si>
    <t>评估时点之前12个月理赔、保全业务引发的群体性事件的数量</t>
  </si>
  <si>
    <t>具有三年以上工作经验的人员占比</t>
  </si>
  <si>
    <t>检查发现准备金评估数据存在偏差次数</t>
  </si>
  <si>
    <t>检查发现准备金评估模型错误次数</t>
  </si>
  <si>
    <t>检查发现监管报告错误次数</t>
  </si>
  <si>
    <t>检查发现的合同纠纷次数</t>
  </si>
  <si>
    <t>指标类别</t>
    <phoneticPr fontId="3" type="noConversion"/>
  </si>
  <si>
    <t>分值</t>
    <phoneticPr fontId="3" type="noConversion"/>
  </si>
  <si>
    <t>附件1</t>
    <phoneticPr fontId="3" type="noConversion"/>
  </si>
  <si>
    <t>保险法人机构公司治理自评表</t>
    <phoneticPr fontId="3" type="noConversion"/>
  </si>
  <si>
    <t>指标事项</t>
  </si>
  <si>
    <t>指标说明</t>
  </si>
  <si>
    <t>自我评价</t>
    <phoneticPr fontId="3" type="noConversion"/>
  </si>
  <si>
    <t>得分</t>
    <phoneticPr fontId="3" type="noConversion"/>
  </si>
  <si>
    <t>职责边界</t>
  </si>
  <si>
    <t>股东（大）会、董事会和管理层职责</t>
  </si>
  <si>
    <t>股东（大）会、董事会和管理层的职责清晰</t>
    <phoneticPr fontId="3" type="noConversion"/>
  </si>
  <si>
    <t>是</t>
    <phoneticPr fontId="3" type="noConversion"/>
  </si>
  <si>
    <t>主要负责人权力制衡</t>
  </si>
  <si>
    <t>对主要负责人的授权明确</t>
    <phoneticPr fontId="3" type="noConversion"/>
  </si>
  <si>
    <t>对主要负责人的授权不过于集中</t>
    <phoneticPr fontId="3" type="noConversion"/>
  </si>
  <si>
    <t>内部授权体系</t>
  </si>
  <si>
    <t>重大决策有明确标准</t>
    <phoneticPr fontId="3" type="noConversion"/>
  </si>
  <si>
    <t>有明确的重大决策审议程序并实际执行</t>
    <phoneticPr fontId="3" type="noConversion"/>
  </si>
  <si>
    <t>部门设置及部门职责分工制度</t>
  </si>
  <si>
    <t>有明确制度界定各部门职责分工</t>
    <phoneticPr fontId="3" type="noConversion"/>
  </si>
  <si>
    <t>对分支机构授权</t>
  </si>
  <si>
    <t>公司的IT系统能对分支机构的财务、业务进行有效的监控</t>
    <phoneticPr fontId="3" type="noConversion"/>
  </si>
  <si>
    <t>胜任能力</t>
  </si>
  <si>
    <t>主要股东持续出资能力及股权结构稳定性</t>
  </si>
  <si>
    <t>主要股东在过去三年未连续亏损</t>
    <phoneticPr fontId="3" type="noConversion"/>
  </si>
  <si>
    <t>主要股东未频繁变更</t>
    <phoneticPr fontId="3" type="noConversion"/>
  </si>
  <si>
    <t>董事专业能力及董事会专业结构</t>
  </si>
  <si>
    <t>董事的能力和经验胜任</t>
    <phoneticPr fontId="3" type="noConversion"/>
  </si>
  <si>
    <t>董事会的专业结构合理</t>
    <phoneticPr fontId="3" type="noConversion"/>
  </si>
  <si>
    <t>监事会专业结构</t>
  </si>
  <si>
    <t>监事会的专业结构合理</t>
    <phoneticPr fontId="3" type="noConversion"/>
  </si>
  <si>
    <t>不适用</t>
    <phoneticPr fontId="3" type="noConversion"/>
  </si>
  <si>
    <t>管理层成员专业结构及配合能力</t>
    <phoneticPr fontId="3" type="noConversion"/>
  </si>
  <si>
    <t>管理层成员的经验和管理能力胜任</t>
    <phoneticPr fontId="3" type="noConversion"/>
  </si>
  <si>
    <t>管理层成员专业结构合理、团队配合协调</t>
    <phoneticPr fontId="3" type="noConversion"/>
  </si>
  <si>
    <t>董事、监事及高管人员培训</t>
  </si>
  <si>
    <t>建立了董事、监事和高管人员培训制度并严格执行</t>
    <phoneticPr fontId="3" type="noConversion"/>
  </si>
  <si>
    <t>否</t>
    <phoneticPr fontId="3" type="noConversion"/>
  </si>
  <si>
    <t>董事会及管理层稳定性</t>
  </si>
  <si>
    <t>董事会及管理层成员未频繁变动</t>
    <phoneticPr fontId="3" type="noConversion"/>
  </si>
  <si>
    <t>不存在董事长、总经理或关键岗位长期空缺的情况</t>
    <phoneticPr fontId="3" type="noConversion"/>
  </si>
  <si>
    <t>运行控制</t>
  </si>
  <si>
    <t>股东对公司业务和管理信息的获取及熟悉程度</t>
  </si>
  <si>
    <t>定期充分公平地向股东报送或披露公司业务、财务和管理信息</t>
    <phoneticPr fontId="3" type="noConversion"/>
  </si>
  <si>
    <t>及时充分地向股东披露公司重大事项</t>
    <phoneticPr fontId="3" type="noConversion"/>
  </si>
  <si>
    <t>董事对公司财务、业务和管理信息的获取及熟悉程度</t>
  </si>
  <si>
    <t>定期向董事报送公司业务、财务和管理信息</t>
    <phoneticPr fontId="3" type="noConversion"/>
  </si>
  <si>
    <t>对公司会计政策进行讨论，包括会计政策的合规性以及是否真实公允反映公司财务状况和经营成果等</t>
    <phoneticPr fontId="3" type="noConversion"/>
  </si>
  <si>
    <t>董事对公司重大事项知情</t>
    <phoneticPr fontId="3" type="noConversion"/>
  </si>
  <si>
    <t>运行控制</t>
    <phoneticPr fontId="3" type="noConversion"/>
  </si>
  <si>
    <t>董事会会议发言及表决情况</t>
  </si>
  <si>
    <t>董事会会议对议案进行详细说明</t>
    <phoneticPr fontId="3" type="noConversion"/>
  </si>
  <si>
    <t>董事相互尊重，积极充分地讨论议案</t>
    <phoneticPr fontId="3" type="noConversion"/>
  </si>
  <si>
    <t>董事积极发言并提出有价值的专业性意见或建议</t>
    <phoneticPr fontId="3" type="noConversion"/>
  </si>
  <si>
    <t>董事会对公司战略目标和业务计划执行情况的定期审查</t>
  </si>
  <si>
    <t>董事会制定清晰的公司战略目标并定期审查</t>
    <phoneticPr fontId="3" type="noConversion"/>
  </si>
  <si>
    <t>董事会定期审查管理层对业务、财务计划的执行情况</t>
    <phoneticPr fontId="3" type="noConversion"/>
  </si>
  <si>
    <t>公司经营预算和财务预算的制定情况</t>
  </si>
  <si>
    <t>董事会及时、认真制定公司经营预算和财务预算</t>
    <phoneticPr fontId="3" type="noConversion"/>
  </si>
  <si>
    <t>董事会对公司风险状况的定期评估</t>
  </si>
  <si>
    <t>董事会积极推动公司建立风险管理体系</t>
    <phoneticPr fontId="3" type="noConversion"/>
  </si>
  <si>
    <t>要求管理层定期报告风险管理工作及公司风险状况</t>
    <phoneticPr fontId="3" type="noConversion"/>
  </si>
  <si>
    <t>定期对公司风险状况进行全面评估并跟踪整改情况</t>
    <phoneticPr fontId="3" type="noConversion"/>
  </si>
  <si>
    <t>董事长与总经理的沟通协调</t>
  </si>
  <si>
    <t>董事长与总经理间工作沟通配合顺畅、协调</t>
    <phoneticPr fontId="3" type="noConversion"/>
  </si>
  <si>
    <t>专业委员会运作情况</t>
  </si>
  <si>
    <t>及时召开会议对重大事项进行专题审议</t>
    <phoneticPr fontId="3" type="noConversion"/>
  </si>
  <si>
    <t>对重大事项进行深入讨论形成专业意见并对风险作充分提示</t>
    <phoneticPr fontId="3" type="noConversion"/>
  </si>
  <si>
    <t>独立董事的独立性</t>
  </si>
  <si>
    <t>独立董事有充分的独立性</t>
    <phoneticPr fontId="3" type="noConversion"/>
  </si>
  <si>
    <t>独立董事的勤勉尽职情况</t>
  </si>
  <si>
    <t>独立董事对重大事项资料进行认真审议</t>
    <phoneticPr fontId="3" type="noConversion"/>
  </si>
  <si>
    <t>能有效的利用自己的知识、经验和专业技术，帮助公司解决所面临的问题</t>
    <phoneticPr fontId="3" type="noConversion"/>
  </si>
  <si>
    <t>能与其他董事进行有效沟通，并保持独立判断</t>
    <phoneticPr fontId="3" type="noConversion"/>
  </si>
  <si>
    <t>独立董事说明弃权或反对的原因</t>
    <phoneticPr fontId="3" type="noConversion"/>
  </si>
  <si>
    <t>法人事务管理情况</t>
    <phoneticPr fontId="3" type="noConversion"/>
  </si>
  <si>
    <t>资本规划和资本管理合理</t>
    <phoneticPr fontId="3" type="noConversion"/>
  </si>
  <si>
    <t>业务范围变更符合要求</t>
    <phoneticPr fontId="3" type="noConversion"/>
  </si>
  <si>
    <t>变更营业场所经保监会审批</t>
    <phoneticPr fontId="3" type="noConversion"/>
  </si>
  <si>
    <t>住所变更及时报备</t>
    <phoneticPr fontId="3" type="noConversion"/>
  </si>
  <si>
    <t>公司章程、股东名册及工商登记文件与实际情况一致</t>
    <phoneticPr fontId="3" type="noConversion"/>
  </si>
  <si>
    <t>股权管理情况</t>
    <phoneticPr fontId="3" type="noConversion"/>
  </si>
  <si>
    <t>无股权委托代持行为</t>
    <phoneticPr fontId="3" type="noConversion"/>
  </si>
  <si>
    <t>股权没有频繁、高比例质押</t>
    <phoneticPr fontId="3" type="noConversion"/>
  </si>
  <si>
    <t>及时将公司股东的控股股东、实际控制人及其变更情况和股东之间的关联关系报告保监会</t>
    <phoneticPr fontId="3" type="noConversion"/>
  </si>
  <si>
    <t>按照《保险公司股权管理办法》第22条要求，将股东相关事项及时报告保监会</t>
    <phoneticPr fontId="3" type="noConversion"/>
  </si>
  <si>
    <t>关联交易管理情况</t>
  </si>
  <si>
    <t>收集并及时更正关联方信息</t>
    <phoneticPr fontId="3" type="noConversion"/>
  </si>
  <si>
    <t>资金运用关联交易符合比例要求</t>
    <phoneticPr fontId="3" type="noConversion"/>
  </si>
  <si>
    <t>关联交易按照相关规定进行信息披露</t>
    <phoneticPr fontId="3" type="noConversion"/>
  </si>
  <si>
    <t>关联交易按规定进行内部审查</t>
    <phoneticPr fontId="3" type="noConversion"/>
  </si>
  <si>
    <t>每年对关联交易进行审计</t>
    <phoneticPr fontId="3" type="noConversion"/>
  </si>
  <si>
    <t>信息披露管理</t>
    <phoneticPr fontId="3" type="noConversion"/>
  </si>
  <si>
    <t>建立信息披露内部管理制度并报保监会</t>
    <phoneticPr fontId="3" type="noConversion"/>
  </si>
  <si>
    <t>指定专人负责信息披露事务</t>
    <phoneticPr fontId="3" type="noConversion"/>
  </si>
  <si>
    <t>根据保监会监管要求，在保险公司网站等信息披露载体上披露公司治理、风险管理、重大关联交易、重大事项和资金运用关联交易等信息</t>
    <phoneticPr fontId="3" type="noConversion"/>
  </si>
  <si>
    <t>考核激励</t>
    <phoneticPr fontId="3" type="noConversion"/>
  </si>
  <si>
    <t>董事、监事及高管薪酬水平</t>
  </si>
  <si>
    <t>薪酬水平与公司业务规模、盈利状况相匹配</t>
    <phoneticPr fontId="3" type="noConversion"/>
  </si>
  <si>
    <t>高管人员绩效考核指标的合理性</t>
  </si>
  <si>
    <t>考核指标纳入偿付能力、企业价值、业务质量及风险等因素</t>
    <phoneticPr fontId="3" type="noConversion"/>
  </si>
  <si>
    <t>考核结果能科学反映高管人员对公司的贡献</t>
    <phoneticPr fontId="3" type="noConversion"/>
  </si>
  <si>
    <t>董事会对高管业绩考核指标体系建立及执行的参与度</t>
  </si>
  <si>
    <t>高管人员薪酬考核指标由薪酬委员会主导制定</t>
    <phoneticPr fontId="3" type="noConversion"/>
  </si>
  <si>
    <t>薪酬管理情况</t>
  </si>
  <si>
    <t>薪酬管理程序严格明确</t>
    <phoneticPr fontId="3" type="noConversion"/>
  </si>
  <si>
    <t>不存在在业务计划执行末期调整考核标准的情形</t>
    <phoneticPr fontId="3" type="noConversion"/>
  </si>
  <si>
    <t>董事会自我评价制度的建立及执行情况</t>
  </si>
  <si>
    <t>已建立和落实董事会自我评价制度</t>
    <phoneticPr fontId="3" type="noConversion"/>
  </si>
  <si>
    <t>职务消费制度的建立及执行情况</t>
  </si>
  <si>
    <t>有明确制度规定高管人员职务消费并有效执行</t>
    <phoneticPr fontId="3" type="noConversion"/>
  </si>
  <si>
    <t>监督问责</t>
    <phoneticPr fontId="3" type="noConversion"/>
  </si>
  <si>
    <t>监事会对董事会决议及董事和高管人员行为的监督</t>
  </si>
  <si>
    <t>监事会能够对董事会决议提出意见或建议</t>
    <phoneticPr fontId="3" type="noConversion"/>
  </si>
  <si>
    <t>监事会对高管人员进行监督谈话或调查</t>
    <phoneticPr fontId="3" type="noConversion"/>
  </si>
  <si>
    <t>管理层及分支机构高管人员离任审计</t>
  </si>
  <si>
    <t>对管理层或分公司高管人员进行离任审计</t>
    <phoneticPr fontId="3" type="noConversion"/>
  </si>
  <si>
    <t>内审的健全性和独立性</t>
  </si>
  <si>
    <t>审计人员数量和结构符合监管要求或满足工作需要</t>
    <phoneticPr fontId="3" type="noConversion"/>
  </si>
  <si>
    <t>采取审计集中制或垂直管理</t>
    <phoneticPr fontId="3" type="noConversion"/>
  </si>
  <si>
    <t>内审工作的覆盖面和频率</t>
  </si>
  <si>
    <t>不存在主要业务单位连续两年未被审计的情况</t>
    <phoneticPr fontId="3" type="noConversion"/>
  </si>
  <si>
    <t>内审结果与薪酬考核、职务任免和责任追究的关联性</t>
  </si>
  <si>
    <t>建立了审计问题整改的跟踪、督促制度</t>
    <phoneticPr fontId="3" type="noConversion"/>
  </si>
  <si>
    <t>内审结果在被审计对象的考核任免中得到体现</t>
    <phoneticPr fontId="3" type="noConversion"/>
  </si>
  <si>
    <t>外部审计</t>
  </si>
  <si>
    <t>及时出具外审报告</t>
    <phoneticPr fontId="3" type="noConversion"/>
  </si>
  <si>
    <t>内部举报机制的健全性和有效性</t>
  </si>
  <si>
    <t>建立通畅的举报机制并及时处理举报</t>
    <phoneticPr fontId="3" type="noConversion"/>
  </si>
  <si>
    <t>重要工作岗位的委派制度</t>
  </si>
  <si>
    <t>建立人事、财务和审计等重要岗位的委派制度</t>
    <phoneticPr fontId="3" type="noConversion"/>
  </si>
  <si>
    <t>董事、监事及高管人员问责制度的建立和执行</t>
  </si>
  <si>
    <t>董事和高管人员没有违反公司章程、股东会决议及董事会决议的情形</t>
    <phoneticPr fontId="3" type="noConversion"/>
  </si>
  <si>
    <t>有明确制度规定董事、监事及高管人员的责任追究</t>
    <phoneticPr fontId="3" type="noConversion"/>
  </si>
  <si>
    <t>自评得分</t>
    <phoneticPr fontId="3" type="noConversion"/>
  </si>
  <si>
    <t>填报说明：</t>
  </si>
  <si>
    <t>1.由各公司在“自我评价”栏下填写“是”或“否”,其中，“是”得分，“否”不得分。</t>
    <phoneticPr fontId="3" type="noConversion"/>
  </si>
  <si>
    <t>2.人寿集团和出口信保对董事会的相关指标不予填报。阳光集团、太保集团、平安集团、中再集团及太平集团5家集团(控股)公司的下属子公司对独立董事、董事会专业委员会的相关指标可以不予填报。财产险公司、资产管理公司可以不填写总精算师指标。外资保险公司对独立董事、专业委员会、监事会相关指标可以暂不填报。外国保险公司在中国设立的分公司不参与评价。</t>
    <phoneticPr fontId="3" type="noConversion"/>
  </si>
  <si>
    <t>3.主要负责人包括董事长、首席执行官、总经理、财务负责人及与上述人员具有相同或相似职权的人。</t>
    <phoneticPr fontId="3" type="noConversion"/>
  </si>
  <si>
    <t>4.主要股东是指持有公司15%以上股份（上市公司为5%）或其持有股份不足15%（上市公司为5%），但以其出资额或持有的股份所享有的表决权足以对公司股东（大）会、董事会决议产生重大影响的股东。</t>
    <phoneticPr fontId="3" type="noConversion"/>
  </si>
  <si>
    <t>5.主要股东频繁变更是指在过去两年内，公司有两家以上主要股东的持股比例发生变化；董事和高管频繁变动是指在过去两年内公司有25%的董事和高管离职、职级或职责分工发生变动。</t>
    <phoneticPr fontId="3" type="noConversion"/>
  </si>
  <si>
    <t>6.关键岗位是指合规负责人、总精算师、财务负责人、审计责任人和财务部门负责人等。</t>
    <phoneticPr fontId="3" type="noConversion"/>
  </si>
  <si>
    <t>7.重大事项是指涉及利润分配、薪酬、董事和高管任免及占公司净资产的百分之一以上的重大投资及资产处置事项。</t>
    <phoneticPr fontId="3" type="noConversion"/>
  </si>
  <si>
    <t>8.“明确”、“清晰”、“胜任”、“合理”、“充分”等主观性指标的得分标准为：符合相关法律法规要求；与保险公司经营管理要求相匹配；独立董事认可。</t>
    <phoneticPr fontId="3" type="noConversion"/>
  </si>
  <si>
    <t>9.“频繁”指次数大于一次。</t>
    <phoneticPr fontId="3" type="noConversion"/>
  </si>
  <si>
    <t>10.各公司应按照实际情况开展自评，确保评分的真实性和准确性。</t>
    <phoneticPr fontId="3" type="noConversion"/>
  </si>
  <si>
    <t>11.各公司应于每年5月15日前报送《保险公司治理报告》时报送本表，《关于进一步规范报送〈保险公司治理报告〉的通知》（保监发改〔2015〕95号）附件中的《保险法人机构公司治理自评表》作废</t>
    <phoneticPr fontId="3" type="noConversion"/>
  </si>
  <si>
    <t>设行业平均水平为θ，待评价保险公司的风险事件合计次数为x，本项得分＝Min{ 10,  10-10×(x-θ)/θ }。</t>
    <phoneticPr fontId="3" type="noConversion"/>
  </si>
  <si>
    <t>风险事件合计次数（10分）</t>
    <phoneticPr fontId="3" type="noConversion"/>
  </si>
  <si>
    <t>未发现</t>
  </si>
  <si>
    <t>未发生</t>
    <phoneticPr fontId="12" type="noConversion"/>
  </si>
  <si>
    <t>人事铂金系统抽取数据</t>
  </si>
  <si>
    <t>各渠道提供</t>
  </si>
  <si>
    <t>HR提供报表</t>
    <phoneticPr fontId="3" type="noConversion"/>
  </si>
  <si>
    <t>会议通知</t>
    <phoneticPr fontId="3" type="noConversion"/>
  </si>
  <si>
    <t>1季度投资收益率计算错误，2季度已更正</t>
    <phoneticPr fontId="3" type="noConversion"/>
  </si>
  <si>
    <t>单证月报，台账</t>
    <phoneticPr fontId="3" type="noConversion"/>
  </si>
  <si>
    <t>取自Oracle财务系统老准则保费收入口径</t>
  </si>
  <si>
    <t>公司OA</t>
  </si>
  <si>
    <t>附件8：保险公司信息系统相关的操作风险评价标准</t>
    <phoneticPr fontId="12" type="noConversion"/>
  </si>
  <si>
    <t>评价指标</t>
    <phoneticPr fontId="3" type="noConversion"/>
  </si>
  <si>
    <t>评价点</t>
    <phoneticPr fontId="3" type="noConversion"/>
  </si>
  <si>
    <t>评分标准</t>
    <phoneticPr fontId="3" type="noConversion"/>
  </si>
  <si>
    <t>（一）信息化治理（本项目采取百分制，最后综合得分×15%，为该项监管内容的最终评分。）</t>
    <phoneticPr fontId="3" type="noConversion"/>
  </si>
  <si>
    <t>信息化目标与规划（10分）</t>
  </si>
  <si>
    <t>（1）工作目标与规划制定</t>
    <phoneticPr fontId="3" type="noConversion"/>
  </si>
  <si>
    <t>根据业务发展目标明确信息化目标和规划，3分；信息化规划得到批准，2分。</t>
  </si>
  <si>
    <t>（2）规划实施与定期评估</t>
    <phoneticPr fontId="3" type="noConversion"/>
  </si>
  <si>
    <t>根据信息化规划开展工作，3分；每年进行一次评估和审查，2分。</t>
  </si>
  <si>
    <t>信息化治理架构（40分）</t>
  </si>
  <si>
    <t>（1）董事会职责</t>
    <phoneticPr fontId="3" type="noConversion"/>
  </si>
  <si>
    <t>董事会对信息化工作重大决策，4分；掌握公司主要的信息化工作情况，每年审阅信息化工作年度报告，4分。</t>
  </si>
  <si>
    <t>（2）信息化工作委员会</t>
    <phoneticPr fontId="3" type="noConversion"/>
  </si>
  <si>
    <t>按照要求设立信息化工作委员会，4分；履行信息化工作委员会的各项职责，4分。</t>
  </si>
  <si>
    <t>（3）首席信息官</t>
    <phoneticPr fontId="3" type="noConversion"/>
  </si>
  <si>
    <t>设计首席信息官，4分；首席信息官履行各项职责，4分。</t>
  </si>
  <si>
    <t>（4）信息技术部门</t>
    <phoneticPr fontId="3" type="noConversion"/>
  </si>
  <si>
    <t>设立专职信息技术部门，4分；信息技术部门全面履行职责，4分。</t>
  </si>
  <si>
    <t>（5）信息化人员配备</t>
    <phoneticPr fontId="3" type="noConversion"/>
  </si>
  <si>
    <t>查看组织架构岗位设置与岗位职责说明，4分；岗位分离和职责权限限制，4分。</t>
  </si>
  <si>
    <t>信息化发展环境（50分）</t>
    <phoneticPr fontId="3" type="noConversion"/>
  </si>
  <si>
    <t>（1）信息化水平</t>
    <phoneticPr fontId="3" type="noConversion"/>
  </si>
  <si>
    <t>核心业务、财务、经营管理信息化，5分；核心业务系统、财务系统、经营管理系统无缝对接，5分。</t>
  </si>
  <si>
    <t>（2）信息化工作经费</t>
    <phoneticPr fontId="3" type="noConversion"/>
  </si>
  <si>
    <t>预算能够支撑信息化规划，10分。</t>
  </si>
  <si>
    <t>（3）信息化工作考核</t>
    <phoneticPr fontId="3" type="noConversion"/>
  </si>
  <si>
    <t>建立了信息化工作评价体系，5分；开展了信息化工作评价。5分。</t>
  </si>
  <si>
    <t>（4）信息技术能力</t>
    <phoneticPr fontId="3" type="noConversion"/>
  </si>
  <si>
    <t>具有专业的技术研究组织或者团队，或者结合业务自身需求积极引入新技术应用：4分；通过国家/国际标准组织认证：每通过一项得1分，最高3分；参加制定行业技术标准：每参与一项得1分，最高3分。</t>
  </si>
  <si>
    <t>（5）信息化人力资源规划与培训</t>
    <phoneticPr fontId="3" type="noConversion"/>
  </si>
  <si>
    <t>信息化人员比例合理，5分；培训考核，5分。</t>
    <phoneticPr fontId="3" type="noConversion"/>
  </si>
  <si>
    <t>（二）信息化风险管理（本项目采用百分制，最后综合得分×15%，为该项监管内容的最终评分。）</t>
    <phoneticPr fontId="3" type="noConversion"/>
  </si>
  <si>
    <t>信息化风险管理制度（20分）</t>
    <phoneticPr fontId="3" type="noConversion"/>
  </si>
  <si>
    <t>（1）风险管理制度体系</t>
    <phoneticPr fontId="3" type="noConversion"/>
  </si>
  <si>
    <t>具备规范的风险管理制度，覆盖信息化主要风险，8分；管理制度定期评审，4分；具备执行层面的技术标准和操作流程，8分。</t>
    <phoneticPr fontId="3" type="noConversion"/>
  </si>
  <si>
    <t>信息化风险识别与控制（40分）</t>
    <phoneticPr fontId="3" type="noConversion"/>
  </si>
  <si>
    <t>（1）技术风险</t>
    <phoneticPr fontId="3" type="noConversion"/>
  </si>
  <si>
    <t>（2）合规风险</t>
    <phoneticPr fontId="3" type="noConversion"/>
  </si>
  <si>
    <t>本年度无违法违规行为，8分。</t>
  </si>
  <si>
    <t>（3）声誉风险</t>
    <phoneticPr fontId="3" type="noConversion"/>
  </si>
  <si>
    <t>建立了与信息技术有关的客户投诉处理和调解的管理机制，4分；建立了与信息技术有关的声誉危机应对机制，4分。</t>
  </si>
  <si>
    <t>（4）知识产权</t>
    <phoneticPr fontId="3" type="noConversion"/>
  </si>
  <si>
    <t>软硬件产品均为正版化，4分；对自主研发的产品进行知识产权保护，4分。</t>
  </si>
  <si>
    <t>（5）风险提示与发布</t>
    <phoneticPr fontId="3" type="noConversion"/>
  </si>
  <si>
    <t>建立了信息化风险提示与发布的管理制度，4分；对近期发生过的风险事件已经按照保监会相关规定要求进行了排查与报送，4分。</t>
  </si>
  <si>
    <t>信息化风险内控（40分）</t>
    <phoneticPr fontId="3" type="noConversion"/>
  </si>
  <si>
    <t>（1）风险管理策略检查</t>
    <phoneticPr fontId="3" type="noConversion"/>
  </si>
  <si>
    <t>建立了对信息化风险管理策略执行情况的检查机制，4分；具有信息化风险管理策略执行情况的检查记录，4分。</t>
  </si>
  <si>
    <t>（2）风险评估</t>
    <phoneticPr fontId="3" type="noConversion"/>
  </si>
  <si>
    <t>建立了风险评估制度，4分；每年至少开展一次信息化风险评估：4分。</t>
  </si>
  <si>
    <t>（3）风险处置</t>
    <phoneticPr fontId="3" type="noConversion"/>
  </si>
  <si>
    <t>建立了风险处置流程，4分；建立了风险管理持续改进机制，4分。</t>
    <phoneticPr fontId="3" type="noConversion"/>
  </si>
  <si>
    <t>（4）与风险管理部门沟通</t>
    <phoneticPr fontId="3" type="noConversion"/>
  </si>
  <si>
    <t>建立了与风险管理相关职能部门沟通的机制，4分；具有与风险管理相关职能部门进行沟通的记录，4分。</t>
  </si>
  <si>
    <t>（5）风险监测和计量机制</t>
    <phoneticPr fontId="3" type="noConversion"/>
  </si>
  <si>
    <t>建立了风险监测和计量的方法，4分；有监测和计量记录，4分。</t>
  </si>
  <si>
    <t>（三）信息安全（本项目采用百分制，最后综合得分×20%，为该项监管内容的最终评分。）</t>
    <phoneticPr fontId="3" type="noConversion"/>
  </si>
  <si>
    <t>信息安全等级保护机制（10分）</t>
  </si>
  <si>
    <t>（1）定级备案</t>
    <phoneticPr fontId="3" type="noConversion"/>
  </si>
  <si>
    <t>对重要信息系统进行定级并备案，5分。</t>
  </si>
  <si>
    <t>（2）测评整改</t>
    <phoneticPr fontId="3" type="noConversion"/>
  </si>
  <si>
    <t>聘请具有资质的测评机构进行测评并通过，5分。</t>
  </si>
  <si>
    <t>物理安全（10分）</t>
  </si>
  <si>
    <t>（1）机房设施</t>
    <phoneticPr fontId="3" type="noConversion"/>
  </si>
  <si>
    <t>重要基础设施建设应符合国家《电子信息系统机房设计规范》A级要求，具备完善的供电、访问控制、防电磁、防雷、防水、防火、温湿度控制等措施，并配备环境自动监控系统，5分。</t>
  </si>
  <si>
    <t>（2）访问控制</t>
  </si>
  <si>
    <t>对物理区域进行合理的划分，2分；建立了物理安全访问控制机制，3分。</t>
  </si>
  <si>
    <t>网络安全（15分）</t>
  </si>
  <si>
    <t>（1）网络结构</t>
  </si>
  <si>
    <t>划分合理的网络区域，3分；具有网络带宽保障和设备、线路冗余备份措施，2分。</t>
  </si>
  <si>
    <t>（2）网络防护</t>
  </si>
  <si>
    <t>具有网络边界隔离措施，3分；具有网络安全防范措施与设备，2分。</t>
  </si>
  <si>
    <t>（3）网络安全审计</t>
  </si>
  <si>
    <t>具有网络审计日志记录，5分。</t>
  </si>
  <si>
    <t>主机安全（15分）</t>
  </si>
  <si>
    <t>（1）主机安全防护</t>
  </si>
  <si>
    <t>具有主机安全防护措施，主要包括系统最小化安装和补丁管理、身份鉴别、访问控制、恶意代码防范、资源控制等措施，5分；具有主机监控措施，5分。</t>
  </si>
  <si>
    <t>（2）主机安全审计</t>
  </si>
  <si>
    <t>具有审计日志记录，5分。</t>
  </si>
  <si>
    <t>应用安全（10分）</t>
  </si>
  <si>
    <t>（1）应用安全防护</t>
  </si>
  <si>
    <t>具有身份鉴别，访问和资源控制，通信安全等措施，5分。</t>
  </si>
  <si>
    <t>（2）应用安全审计</t>
  </si>
  <si>
    <t>数据安全（15分）</t>
  </si>
  <si>
    <t>（1）数据安全防护</t>
  </si>
  <si>
    <t>（2）数据管理与使用</t>
  </si>
  <si>
    <t>具有重要数据使用与流转的控制措施，3分。</t>
  </si>
  <si>
    <t>（3）重要数据安全审计</t>
  </si>
  <si>
    <t>具有重要数据安全审计机制与定期（至少每年一次）审计报告，2分。</t>
  </si>
  <si>
    <t>密码与算法（10分）</t>
  </si>
  <si>
    <t>（1）国产密码算法</t>
  </si>
  <si>
    <t>电子保单及保险各领域应用系统使用国产密码算法和支持国产密码算法的密码设备产品。在华外资机构按照“法人为主、标准引导、自主选择”的原则开展国产密码的应用推广工作。</t>
  </si>
  <si>
    <t>安全评估与自查（10分）</t>
  </si>
  <si>
    <t>（1）对外部安全风险态势和事件的响应</t>
    <phoneticPr fontId="3" type="noConversion"/>
  </si>
  <si>
    <t>具有外部重大安全风险事件排查记录和应对措施，4分。</t>
  </si>
  <si>
    <t>（2）信息安全控制措施执行情况的检查</t>
    <phoneticPr fontId="3" type="noConversion"/>
  </si>
  <si>
    <t>对安全策略、标准及制度的执行进行跟踪和检查的记录，6分。</t>
  </si>
  <si>
    <t>信息安全培训（5分）</t>
  </si>
  <si>
    <t>（1）信息安全培训</t>
  </si>
  <si>
    <t>有定期（至少每年一次）全员信息化安全方面的培训制度，2分；有定期全员培训的记录，3分。</t>
  </si>
  <si>
    <t>（四）信息系统开发与测试（本项目采用百分制，最后综合得分×10%，为该项监管内容的最终评分。）</t>
    <phoneticPr fontId="3" type="noConversion"/>
  </si>
  <si>
    <t>项目管理（50 分）</t>
  </si>
  <si>
    <t>（1）项目管理制度</t>
  </si>
  <si>
    <t>具有项目管理制度，5分；具有项目管理制度执行记录，5分。</t>
  </si>
  <si>
    <t>（2）项目风险评估</t>
  </si>
  <si>
    <t>（3）项目风险控制</t>
  </si>
  <si>
    <t>（4）项目群管理</t>
  </si>
  <si>
    <t>建立了项目群协调机制（如项目管理办公室PMO），2分；具有项目群管理执行流程，2分；具有子项目沟通协调机制，1分。</t>
  </si>
  <si>
    <t>开发管理（20 分）</t>
  </si>
  <si>
    <t>（1）需求和技术架构管理</t>
    <phoneticPr fontId="3" type="noConversion"/>
  </si>
  <si>
    <t>具有需求分析方案和可行性报告，2分；具有技术架构管理机制，2分。</t>
  </si>
  <si>
    <t>（2）开发质量保证</t>
  </si>
  <si>
    <t>（3）开发、测试、生产环境相互分离</t>
    <phoneticPr fontId="3" type="noConversion"/>
  </si>
  <si>
    <t xml:space="preserve">（4）开发过程检查 </t>
  </si>
  <si>
    <t>具有开发过程的检查记录，3分；具有完整性、恶意代码和后门程序的检查记录，2分；制定信息系统代码编写安全规范，3分。</t>
  </si>
  <si>
    <t xml:space="preserve">测试管理（20分） </t>
  </si>
  <si>
    <t>（1）测试的充分性</t>
  </si>
  <si>
    <t>具有完整的测试记录，测试包括单元测试、集成测试和验收测试；具有测试充分性的审核报告，4分。</t>
    <phoneticPr fontId="3" type="noConversion"/>
  </si>
  <si>
    <t xml:space="preserve">（2）测试的独立性 </t>
  </si>
  <si>
    <t>建立了独立于开发队伍的测试团队，4分；测试团队的测试人员中参与了项目开发活动，或测试用例由开发人员参与编写，本评价点不得分。</t>
  </si>
  <si>
    <t>（3）功能测试</t>
  </si>
  <si>
    <t>（4）非功能测试</t>
  </si>
  <si>
    <t>具有完整的非功能测试报告，非功能测试主要包括：配置和安装测试、兼容性和互操作性测试、文档和帮助测试、错误恢复测试、性能测试、可靠性测试、保密性测试、压力测试、可用性测试、容量测试，4分。</t>
  </si>
  <si>
    <t>（5）安全性测试</t>
  </si>
  <si>
    <t>具有完整的安全性测试文档，4分。</t>
  </si>
  <si>
    <t>验收和发布管理（10分）</t>
  </si>
  <si>
    <t>（1）系统测试验收</t>
  </si>
  <si>
    <t>系统发布前对测试的过程和充分性进行了审查并对测试质量进行了评估，2分。</t>
  </si>
  <si>
    <t>（2）系统版本交付物完整性验收</t>
  </si>
  <si>
    <t>对系统版本交付物的完整性进行了检查，检查的内容应该包括软件开发文档、发布计划、操作手册、部署环境和应急预案等文档，2分。</t>
  </si>
  <si>
    <t xml:space="preserve">（3）试运行 </t>
  </si>
  <si>
    <t xml:space="preserve">（4）发布管理 </t>
  </si>
  <si>
    <t>具有软件发布相关过程的文档以及上线审批记录，如版本计划、流程审核、用户通知等软件发布相关过程的文档以及上线审批记录，3分。</t>
    <phoneticPr fontId="3" type="noConversion"/>
  </si>
  <si>
    <t>（五）信息系统运行（本项目采取百分制，最后综合得分×18%，为该项监管内容的最终评分。）</t>
    <phoneticPr fontId="3" type="noConversion"/>
  </si>
  <si>
    <t>系统管理（20 分）</t>
  </si>
  <si>
    <t>（1）系统账户管理</t>
  </si>
  <si>
    <t>（2）系统性能监控</t>
  </si>
  <si>
    <t>建立了监控系统，并设定了系统重要监控参数和预警阈值（至少包含：CPU利用率、网络利用率、存储容量、系统状态），3分；具有峰值报警记录，具有性能状况、趋势的分析报告，2分。</t>
  </si>
  <si>
    <t>（3）日志管理与分析</t>
  </si>
  <si>
    <t>按规定保存日志记录，3分；具有定期分析日志的记录，2分。</t>
  </si>
  <si>
    <t>（4）运行报告</t>
  </si>
  <si>
    <t>具有重要系统运行报告；3分。具有将运行报告上报管理层的记录，2分。</t>
    <phoneticPr fontId="3" type="noConversion"/>
  </si>
  <si>
    <t>配置与变更管理（20分）</t>
  </si>
  <si>
    <t>（1）信息系统配置管理</t>
  </si>
  <si>
    <t>（2）信息系统变更管理</t>
  </si>
  <si>
    <t>具有变更管理制度与流程，3分；具有变更流程记录，4分；具有变更的应急回退计划，3分。</t>
  </si>
  <si>
    <t>事件管理（15分）</t>
  </si>
  <si>
    <t>（1）服务台管理</t>
  </si>
  <si>
    <t>建立了服务台及管理制度，2分；有服务台服务过程记录文档，3分。</t>
  </si>
  <si>
    <t>（2）事件与问题管理</t>
  </si>
  <si>
    <t>建立了事件与问题管理机制，4分；有问题管理处理过程记录文档，2分；建立了知识库，4分。</t>
  </si>
  <si>
    <t>基础设施运行管理（15分）</t>
  </si>
  <si>
    <t>（1）物理环境运行管理</t>
  </si>
  <si>
    <t>对物理设施的运行状态进行了管理，5分。</t>
  </si>
  <si>
    <t>（2）网络运行管理</t>
  </si>
  <si>
    <t>按照各类系统的重要性，定义了网络优先服务等级，2分；对网络性能进行了监控，3分。</t>
  </si>
  <si>
    <t>（3）设备与介质管理</t>
  </si>
  <si>
    <t>可用性管理（15分）</t>
  </si>
  <si>
    <t>（1）信息系统备份恢复管理</t>
  </si>
  <si>
    <t>建立了管理制度并有备份恢复记录，5分。</t>
  </si>
  <si>
    <t>（2）信息系统运行的风险排查</t>
  </si>
  <si>
    <t>具有排查记录，5分。</t>
  </si>
  <si>
    <t>（3）单点故障的排查</t>
  </si>
  <si>
    <t>运行维护管理平台(15分)</t>
    <phoneticPr fontId="3" type="noConversion"/>
  </si>
  <si>
    <t>（1）运行维护管理平台</t>
  </si>
  <si>
    <t>是否建立了运行维护管理平台，5分；所有运维工单是否通过运维平台进行电子化流转，5分；是否定期对运维工作进行评估与改进，5分。</t>
    <phoneticPr fontId="3" type="noConversion"/>
  </si>
  <si>
    <t>（六）灾难恢复（本项目采取百分制，最后综合得分×7%，为该项监管内容的最终评分。）</t>
    <phoneticPr fontId="3" type="noConversion"/>
  </si>
  <si>
    <t>需求分析和策略制定（20）</t>
  </si>
  <si>
    <t>（1）需求分析和风险分析</t>
  </si>
  <si>
    <t xml:space="preserve">具有内容全面的风险分析和业务影响分析报告，3分 ；灾难恢复需求再分析周期不超过3年，2分。                       </t>
  </si>
  <si>
    <t>（2）灾难恢复范围</t>
  </si>
  <si>
    <t>具有明确的灾难恢复范围，5分。</t>
  </si>
  <si>
    <t>（3）灾难恢复目标</t>
  </si>
  <si>
    <t>明确了应用系统的灾难恢复能力等级，以及具体的灾难恢复指标，至少包括RTO和RPO，5分。</t>
  </si>
  <si>
    <t>（4）灾难恢复策略</t>
  </si>
  <si>
    <t>具有完善的灾难恢复策略，3分；具有策略审核批准材料，2分。</t>
  </si>
  <si>
    <t>灾难恢复建设模式选择与备案（10分）</t>
  </si>
  <si>
    <t>（1）灾难恢复建设模式</t>
  </si>
  <si>
    <t>自建模式，5分；外包模式，且满足资质要求和外包管理要求，5分；共建模式，且满足共建模式要求，5分。保险机构选择三种建设模式中的一种或几种，本评价点最高得分不超过5分。</t>
    <phoneticPr fontId="3" type="noConversion"/>
  </si>
  <si>
    <t>（2）灾备中心设立备案</t>
  </si>
  <si>
    <t>已向中国保监会备案，5分。</t>
    <phoneticPr fontId="3" type="noConversion"/>
  </si>
  <si>
    <t>灾备中心建设（20分）</t>
  </si>
  <si>
    <t>（1）灾备中心选址</t>
  </si>
  <si>
    <t>灾难备份中心在中华人民共和国境内，5分。</t>
  </si>
  <si>
    <t>（2）灾备中心基础设施</t>
  </si>
  <si>
    <t>有完善的基础设施，5分。</t>
  </si>
  <si>
    <t>（3）灾备系统技术方案</t>
  </si>
  <si>
    <t>制定灾备系统技术方案，4分；定期灾备恢复测试，3分；技术支持体系完善，3分。</t>
  </si>
  <si>
    <t>灾备中心运维（20分）</t>
  </si>
  <si>
    <t>（1）运维制度与流程</t>
  </si>
  <si>
    <t xml:space="preserve">具有完善的运维管理制度和流程，5分。                                                       </t>
  </si>
  <si>
    <t>（2）运维队伍</t>
  </si>
  <si>
    <t>具有专业的运维队伍，5分。</t>
  </si>
  <si>
    <t>（3）检测维护</t>
  </si>
  <si>
    <t>具有定期检测和维护的记录，5分。</t>
  </si>
  <si>
    <t>（4）监控</t>
  </si>
  <si>
    <t>具有监控机制和记录，5分。</t>
  </si>
  <si>
    <t>灾难恢复预案建立与演练（20分）</t>
  </si>
  <si>
    <t>（1）灾难恢复预案</t>
  </si>
  <si>
    <t>预案的结构、内容和步骤清晰明确，其中：组织职责，2分； 灾难恢复过程，2分；所需资料和配套资源，2分。</t>
  </si>
  <si>
    <t>（2）预案演练</t>
  </si>
  <si>
    <t>具有演练记录，6分；具有总结评估报告，4分；频次低于要求，此评价点（分值）得分不超过5分。</t>
  </si>
  <si>
    <t>（3）预案维护</t>
  </si>
  <si>
    <t>预案有专人维护，1分；预案有更新机制和记录，2分；每年进行预案审查和批准，1分。</t>
  </si>
  <si>
    <t>应急响应和灾难恢复（10分）</t>
  </si>
  <si>
    <t>（1）应急机制的建立</t>
  </si>
  <si>
    <t>具有应急指挥处置组织和机制，4分。</t>
  </si>
  <si>
    <t>（2）信息系统重建方案</t>
  </si>
  <si>
    <t>具有明确的信息系统重建方案，2分。</t>
  </si>
  <si>
    <t>（3）灾难恢复总结</t>
  </si>
  <si>
    <t xml:space="preserve">具有灾难恢复总结报告与修订，2分。                                                       </t>
  </si>
  <si>
    <t>（4）第三方应急管理</t>
  </si>
  <si>
    <t>具有与第三方应急沟通机制和协议，2分。</t>
  </si>
  <si>
    <t>（七）外包与采购管理（本项目采取百分制，最后综合得分×5%，为该项监管内容的最终评分。）</t>
    <phoneticPr fontId="3" type="noConversion"/>
  </si>
  <si>
    <t>信息技术安全可控能力（20分）</t>
  </si>
  <si>
    <t>（1）信息技术外包事项</t>
  </si>
  <si>
    <t>信息系统安全管理责任未外包；对涉及国家安全信息、本机构商业秘密，以及客户隐私等敏感内容的信息系统进行外包经过本机构信息化工作委员会批准；数据中心、信息技术基础设施准备实施外包时书面材料正式报告中国保监会，10分。</t>
  </si>
  <si>
    <t>（2）信息产品安全可控程度</t>
  </si>
  <si>
    <t>重要系统和关键部位安全可控率达到10%，得1分；达到20%；得2分；以此类推，最高得10分。</t>
  </si>
  <si>
    <t>外包与采购服务（50分）</t>
  </si>
  <si>
    <t>（1）外包与采购管理制度</t>
  </si>
  <si>
    <t>制定了外包管理制度，10分；有外包服务审核流程及内外部的审计，5分；重要设施外包已报备保监会，5分。</t>
  </si>
  <si>
    <t>（2）外包与采购过程</t>
  </si>
  <si>
    <t>外包与采购过程和记录符合管理制度，10分。</t>
  </si>
  <si>
    <t>（3）外包服务商考核评估</t>
  </si>
  <si>
    <t>具有对外包服务商财务状况、技术实力、安全资质、风险控制水平、诚信记录和成功案例等的考核评估记录，5分；具有对外包服务质量及外包风险的评估报告，5分。</t>
  </si>
  <si>
    <t>（4）外包服务商管理</t>
  </si>
  <si>
    <t xml:space="preserve">具有外包服务商服务水平、服务规范性等方面的管理机制和管理记录，10分。                                                     </t>
  </si>
  <si>
    <t>外包软件开发（30分）</t>
  </si>
  <si>
    <t>（1）软件质量检测</t>
  </si>
  <si>
    <t>具有测试记录，5分；具有验收报告，5分。</t>
    <phoneticPr fontId="3" type="noConversion"/>
  </si>
  <si>
    <t>（2）源代码审查</t>
  </si>
  <si>
    <t>具有源代码审查报告，10分。</t>
  </si>
  <si>
    <t>（3）开发文档管理</t>
  </si>
  <si>
    <t>具有需求分析、软件设计说明书、软件操作手册等开发文档，10分。</t>
    <phoneticPr fontId="3" type="noConversion"/>
  </si>
  <si>
    <t>（八）互联网保险（本项目采取百分制，最后综合得分×5%，为该项监管内容的最终评分。）</t>
    <phoneticPr fontId="3" type="noConversion"/>
  </si>
  <si>
    <t>技术资质条件（20分）</t>
  </si>
  <si>
    <t>网络接入地点</t>
  </si>
  <si>
    <t>网络接入地在中华人民共和国境内（不含港、澳、台地区），10分。</t>
  </si>
  <si>
    <t>互联网主管部门备案</t>
  </si>
  <si>
    <t>互联网保险业务网站依法取得互联网行业主管部门颁发的互联网信息服务增值电信业务经营许可证，或者在互联网行业主管部门完成网站备案，5分。</t>
  </si>
  <si>
    <t>第三方平台技术资质条件</t>
  </si>
  <si>
    <t>基于第三方平台开展互联网保险业务，确认第三方平台满足上述技术资质条件，5分。</t>
  </si>
  <si>
    <t>网站技术安全保障（60分）</t>
  </si>
  <si>
    <t>客户端安全</t>
  </si>
  <si>
    <t>客户端软件具有完整性、程序逻辑机密性和数据安全技术措施，3分；客户端软件定期进行评估，2分。</t>
  </si>
  <si>
    <t>交易认证手段</t>
  </si>
  <si>
    <t>具有身份鉴别、交易认证手段，5分；身份鉴别和交易认证手段应满足监管要求和业界规范，5分。</t>
  </si>
  <si>
    <t>交易请求验证</t>
  </si>
  <si>
    <t>交易具有请求入口和权限控制措施，5分 ；具有服务器端请求数据检查措施，5分。</t>
  </si>
  <si>
    <t>网络安全防护</t>
  </si>
  <si>
    <t>具有合理的网络安全防护措施，10分。</t>
  </si>
  <si>
    <t>定期风险评估</t>
  </si>
  <si>
    <t>每年进行风险评估，5分。</t>
  </si>
  <si>
    <t>数据安全保护</t>
  </si>
  <si>
    <t>具有保护客户端输入信息的技术措施，4分 ；具有保证机构返回到客户端重要信息完整性的技术措施，4分；具有防钓鱼欺诈措施，2分。</t>
  </si>
  <si>
    <t>支付指令安全控制</t>
  </si>
  <si>
    <t>具有确保交易指令安全的措施，10分。</t>
  </si>
  <si>
    <t>第三方平台网站技术安全保障</t>
  </si>
  <si>
    <t>或者60</t>
    <phoneticPr fontId="3" type="noConversion"/>
  </si>
  <si>
    <t>如果基于第三方平台开展互联网保险业务，不单独评价1-7项，保险机构自行评估或者通过协议确认第三方平台满足上述技术安全保障措施，60分。注：自建网站，不填写该项。</t>
    <phoneticPr fontId="3" type="noConversion"/>
  </si>
  <si>
    <t>内容安全和风险提示（20分）</t>
    <phoneticPr fontId="3" type="noConversion"/>
  </si>
  <si>
    <t>内容管理</t>
  </si>
  <si>
    <t>具有内容发布和变更流程，10分。</t>
  </si>
  <si>
    <t>客户宣传和提示</t>
  </si>
  <si>
    <t>具有客户宣传和提示手段，5分。</t>
  </si>
  <si>
    <t>假冒网站管理</t>
  </si>
  <si>
    <t>有检查报告，5分。</t>
  </si>
  <si>
    <t>（九）信息技术审计（本项目采取百分制，最后综合得分×5%，为该项监管内容的最终评分。）</t>
    <phoneticPr fontId="3" type="noConversion"/>
  </si>
  <si>
    <t xml:space="preserve">审计组织与计划（25分） </t>
  </si>
  <si>
    <t>（1）审计部门</t>
    <phoneticPr fontId="3" type="noConversion"/>
  </si>
  <si>
    <t>设立独立于信息技术部门的信息化审计部门或者审计岗位，可以是设在公司审计部门或者其他部门，5分。</t>
  </si>
  <si>
    <t>（2）信息技术审计制度</t>
  </si>
  <si>
    <t>制定信息技术审计制度，规范审计目标、范围、流程和周期，6分。</t>
  </si>
  <si>
    <t>（3）信息技术审计计划</t>
  </si>
  <si>
    <t>制订了本年度审计计划，计划内容至少包括审计覆盖层面、审计性质、审计目标、审计范围及工作计划，4分。</t>
  </si>
  <si>
    <t>（4）信息技术外部审计</t>
    <phoneticPr fontId="3" type="noConversion"/>
  </si>
  <si>
    <t>外部审计机构和审计人员具备审计资质，10分。</t>
    <phoneticPr fontId="3" type="noConversion"/>
  </si>
  <si>
    <t xml:space="preserve">信息技术一般控制审计（20 分） </t>
  </si>
  <si>
    <t>（1）信息化规划及其实施情况的审计</t>
  </si>
  <si>
    <t>审计报告中含信息化规划及其实施情况，5分。</t>
  </si>
  <si>
    <t>（2）信息安全审计</t>
  </si>
  <si>
    <t>审计报告中包含信息安全管理制度和措施执行和有效性情况，10分。</t>
  </si>
  <si>
    <t>（3）对灾难恢复工作的审计</t>
  </si>
  <si>
    <t>审计报告中含灾难恢复工作的审计，5分。</t>
  </si>
  <si>
    <t>信息技术应用控制审计（15分）</t>
  </si>
  <si>
    <t xml:space="preserve">（1）信息技术应用控制审计 </t>
  </si>
  <si>
    <t>以保险业务流程为核心，根据业务流程风险管理要求，对应用系统访问控制、职责分离、输入控制、处理控制、输出控制机制进行了审计，15分。</t>
  </si>
  <si>
    <t>信息技术审计报告与备案（10分）</t>
  </si>
  <si>
    <t xml:space="preserve">（1）向管理层报告 </t>
  </si>
  <si>
    <t>具有管理层确认审计报告的记录，2分。</t>
  </si>
  <si>
    <t>（2）向保监会备案</t>
  </si>
  <si>
    <t>每两年向保监会备案信息技术审计报告，4分；每三年向保监会备案灾难恢复工作专项审计报告，4分。</t>
  </si>
  <si>
    <t>信息技术审计监控与后续跟进（30分）</t>
  </si>
  <si>
    <t xml:space="preserve">（1）审计结果反馈 </t>
  </si>
  <si>
    <t>管理层根据审计意见提出了具体的整改要求，10分。</t>
  </si>
  <si>
    <t>（2）整改计划落实</t>
  </si>
  <si>
    <t>提出了整改计划，2分；落实了整改计划，8分。</t>
  </si>
  <si>
    <t>（3）整改跟踪审计</t>
  </si>
  <si>
    <t>整改效果达到了管理层确定的整改要求，10分；后续审计意见没有管理层确认的记录，本评价点不得分。</t>
  </si>
  <si>
    <t>（十）扣分项目</t>
    <phoneticPr fontId="3" type="noConversion"/>
  </si>
  <si>
    <t>保险机构未按照保监会要求通过信息化风险监管系统报送信息化风险监管报表数据，存在严重拒报、迟报、漏报、瞒报、虚报、误报等行为的，视情节严重程度扣减1-10分。</t>
    <phoneticPr fontId="3" type="noConversion"/>
  </si>
  <si>
    <t>保险机构未按照保监会要求通过中国保险统计信息系统报送统计数据快报、月报、季报、半年报，存在拒报、迟报、漏报、瞒报、虚报、误报等行为的，视情节严重程度扣减1-10分。</t>
    <phoneticPr fontId="3" type="noConversion"/>
  </si>
  <si>
    <t>对于发生重大信息安全事件，未采取应急处理措施或者应急处理不力，对保险业造成重大损失或者不良影响的，视情节严重程度扣减10-30分。</t>
    <phoneticPr fontId="3" type="noConversion"/>
  </si>
  <si>
    <t>在保监会和相关信息安全监管机构检查过程中发现重大风险的，扣减对应评价指标项的分值。</t>
    <phoneticPr fontId="3" type="noConversion"/>
  </si>
  <si>
    <t>拒绝或者妨碍保监会依法进行网络安全与信息化工作进行检查监督的，视情节严重程度扣减10-30分。</t>
    <phoneticPr fontId="3" type="noConversion"/>
  </si>
  <si>
    <t>总公司投资部，信息技术部</t>
  </si>
  <si>
    <t>总公司投资部，信息技术部</t>
    <phoneticPr fontId="3" type="noConversion"/>
  </si>
  <si>
    <t xml:space="preserve">根据《保险资产运用管理暂行办法》（保监会令2014年第3号），保险公司应实行集中交易制度，严格隔离投资决策与交易执行，构建符合相关要求的集中交易监测系统、预警系统和反馈系统。
</t>
    <phoneticPr fontId="3" type="noConversion"/>
  </si>
  <si>
    <t>保险公司自行投资的，建立完善的交易记录制度，每日对交易记录及时核对并存档的，得1分；否则，得0分。保险公司委托投资的，能够提供受托机构相关证明材料的，得1分；否则，得0分。</t>
    <phoneticPr fontId="3" type="noConversion"/>
  </si>
  <si>
    <t>总公司财务部</t>
    <phoneticPr fontId="3" type="noConversion"/>
  </si>
  <si>
    <t>月度非法集资报表</t>
    <phoneticPr fontId="12" type="noConversion"/>
  </si>
  <si>
    <t>附件11：保险公司战略风险评价标准</t>
    <phoneticPr fontId="3" type="noConversion"/>
  </si>
  <si>
    <t>评价指标</t>
  </si>
  <si>
    <t>评分标准</t>
  </si>
  <si>
    <t>规划机制（6分）</t>
    <phoneticPr fontId="12" type="noConversion"/>
  </si>
  <si>
    <t>工作机制</t>
  </si>
  <si>
    <t>建立发展规划委员会（或明确其他专业委员会），设置专职部门（或指定相关部门）</t>
  </si>
  <si>
    <t>董事会秘书</t>
  </si>
  <si>
    <t>规划要素（20分）</t>
    <phoneticPr fontId="12" type="noConversion"/>
  </si>
  <si>
    <t>战略目标</t>
  </si>
  <si>
    <t>战略定位清晰，发展目标切实可行</t>
    <phoneticPr fontId="12" type="noConversion"/>
  </si>
  <si>
    <t>经营领域</t>
    <phoneticPr fontId="12" type="noConversion"/>
  </si>
  <si>
    <t>业务发展</t>
  </si>
  <si>
    <t>业务规模、结构、渠道等（保险集团包括非保险金融类企业和非金融类企业发展规划）</t>
  </si>
  <si>
    <t>机构发展</t>
  </si>
  <si>
    <t>经营区域范围、分支机构类型等（保险集团拟进入和退出的行业领域）</t>
  </si>
  <si>
    <t>偿付能力管理</t>
  </si>
  <si>
    <t>资本管理</t>
  </si>
  <si>
    <t>风险管理</t>
  </si>
  <si>
    <t>基础管理</t>
  </si>
  <si>
    <t>保障措施</t>
  </si>
  <si>
    <t>制定程序（6分）</t>
    <phoneticPr fontId="3" type="noConversion"/>
  </si>
  <si>
    <t>制定</t>
  </si>
  <si>
    <t>充分研究论证</t>
  </si>
  <si>
    <t>审议</t>
  </si>
  <si>
    <t>听取主要股东和监事会意见</t>
  </si>
  <si>
    <t>规划报董事会审议</t>
  </si>
  <si>
    <t>经股东大会（创立大会）通过</t>
  </si>
  <si>
    <t>调整频率（5分）</t>
    <phoneticPr fontId="3" type="noConversion"/>
  </si>
  <si>
    <t>年度调整</t>
  </si>
  <si>
    <t>次数≤1</t>
  </si>
  <si>
    <t>规划实施（32分）</t>
    <phoneticPr fontId="3" type="noConversion"/>
  </si>
  <si>
    <t>任务分解</t>
  </si>
  <si>
    <t>制定年度分解任务和落实措施</t>
  </si>
  <si>
    <t>报董事会和经理层通过</t>
  </si>
  <si>
    <t>分支机构</t>
  </si>
  <si>
    <t>新设机构符合发展规划</t>
  </si>
  <si>
    <t>日常监测</t>
  </si>
  <si>
    <t>开展季度分析并报董事会和经理层</t>
  </si>
  <si>
    <t>内容调整</t>
  </si>
  <si>
    <t>规划部门提出调整建议报董事会审议</t>
  </si>
  <si>
    <t>重大事项调整说明清楚、详尽、理由充分</t>
  </si>
  <si>
    <t>年度考核</t>
  </si>
  <si>
    <t>制定方案，完成年度考核报告，
结果报董事会和公司经理层</t>
  </si>
  <si>
    <t>考核报告符合实际，责任清晰，措施得当</t>
  </si>
  <si>
    <t>评估工作（16分）</t>
    <phoneticPr fontId="3" type="noConversion"/>
  </si>
  <si>
    <t>组织评估</t>
  </si>
  <si>
    <t>制定方案，开展评估，并将结果报董事会审议</t>
  </si>
  <si>
    <t>监事会意见</t>
  </si>
  <si>
    <t>监事会审议规划年度实施情况并提出意见</t>
  </si>
  <si>
    <t>评估报告</t>
  </si>
  <si>
    <t>对照规划要素全面评估</t>
  </si>
  <si>
    <t>说明保费收入、总资产、利润率、偿付能力充足率、分支机构建设等重要指标年度完成情况，并与规划目标进行差异分析</t>
  </si>
  <si>
    <t>材料报送（15分）</t>
    <phoneticPr fontId="3" type="noConversion"/>
  </si>
  <si>
    <t>报送时间</t>
  </si>
  <si>
    <t>按时报送保险公司发展规划、调整说明
和评估报告</t>
  </si>
  <si>
    <t>附件9：保险公司案件管理相关的操作风险评价标准</t>
    <phoneticPr fontId="12" type="noConversion"/>
  </si>
  <si>
    <t>评价项目</t>
    <phoneticPr fontId="12" type="noConversion"/>
  </si>
  <si>
    <t>评价指标</t>
    <phoneticPr fontId="3" type="noConversion"/>
  </si>
  <si>
    <t>分值</t>
    <phoneticPr fontId="12" type="noConversion"/>
  </si>
  <si>
    <t>指标说明</t>
    <phoneticPr fontId="12" type="noConversion"/>
  </si>
  <si>
    <t>评价标准</t>
    <phoneticPr fontId="12" type="noConversion"/>
  </si>
  <si>
    <t xml:space="preserve">洗钱风险（20分）
</t>
    <phoneticPr fontId="3" type="noConversion"/>
  </si>
  <si>
    <t>机构人员</t>
    <phoneticPr fontId="3" type="noConversion"/>
  </si>
  <si>
    <t>设置反洗钱专门机构或者指定内设机构，设立反洗钱岗位</t>
    <phoneticPr fontId="12" type="noConversion"/>
  </si>
  <si>
    <t>基础分3分，最高3分，最低0分。分别统计产险、寿险公司百亿元保费反洗钱人员配置数量，计算被评价公司百亿元保费反洗钱人员配置人数并与之相比较，每低于平均数50%扣1.5分，最多扣3分。</t>
    <phoneticPr fontId="3" type="noConversion"/>
  </si>
  <si>
    <t>客户身份识别</t>
    <phoneticPr fontId="12" type="noConversion"/>
  </si>
  <si>
    <t>按照规定开展客户身份识别工作</t>
    <phoneticPr fontId="3" type="noConversion"/>
  </si>
  <si>
    <t>基础分4分，最高4分，最低0分。分别统计产险、寿险公司达到识别金额以上的百亿元保费平均识别件数，计算被评价公司百亿元保费识别件数并与之相比较，每低于平均数50%扣2分，最多扣4分。</t>
    <phoneticPr fontId="3" type="noConversion"/>
  </si>
  <si>
    <t>大额和可疑交易报告</t>
    <phoneticPr fontId="3" type="noConversion"/>
  </si>
  <si>
    <t>1.及时、准确报送大额交易和可疑交易</t>
    <phoneticPr fontId="3" type="noConversion"/>
  </si>
  <si>
    <t>基础分4分，最高4分，最低0分。1.分别统计产险、寿险公司百亿元保费可疑交易报告平均件数，计算被评价公司百亿元保费报告件数并与之相比较，每低于平均数50%扣1分，最多扣2分；2.根据反洗钱监测分析中心保险机构大额和可疑交易报告通报情况，受批评公司扣2分。</t>
    <phoneticPr fontId="3" type="noConversion"/>
  </si>
  <si>
    <t>2.报送的可疑交易质量高</t>
    <phoneticPr fontId="12" type="noConversion"/>
  </si>
  <si>
    <t>洗钱案件</t>
    <phoneticPr fontId="12" type="noConversion"/>
  </si>
  <si>
    <t>协助发现洗钱案件，对已发生洗钱案件报告了可疑交易报告</t>
    <phoneticPr fontId="12" type="noConversion"/>
  </si>
  <si>
    <t xml:space="preserve">基础分4分，最高4分，最低0分。公司发生洗钱案件，在查证之前，公司存在应报未报可疑交易情形的，每件扣1分，最多扣4分。应报未报可疑交易情形包括：（1）客户投保金额50万元以上；（2）客户投保理财型保险产品；（3）客户为恐怖组织或恐怖分子；（4）其他具有明显可疑情形的。
</t>
    <phoneticPr fontId="12" type="noConversion"/>
  </si>
  <si>
    <t>信息报送</t>
    <phoneticPr fontId="3" type="noConversion"/>
  </si>
  <si>
    <t>及时、准确、规范报送监管机构要求的反洗钱信息</t>
    <phoneticPr fontId="3" type="noConversion"/>
  </si>
  <si>
    <t>基础分2分，最高2分，最低0分。在反洗钱信息报送工作中迟报、漏报、不报的扣1分，连续两次迟报、漏报、不报的扣2分。</t>
    <phoneticPr fontId="3" type="noConversion"/>
  </si>
  <si>
    <t>奖惩情况</t>
    <phoneticPr fontId="3" type="noConversion"/>
  </si>
  <si>
    <t>1.在人民银行、保监会系统组织的反洗钱评比中获得荣誉，或因协助发现重大洗钱案件获得人民银行、司法机关等部门书面表扬或荣誉</t>
    <phoneticPr fontId="3" type="noConversion"/>
  </si>
  <si>
    <t>基础分1分，最高3分，最低0分。1.公司各级机构在人民银行、保监会系统组织的反洗钱评比中获得荣誉，或因协助发现重大洗钱案件获得人民银行、司法机关等部门书面表扬或荣誉的，每次加1分，最多加2分；2.公司在人民银行组织的反洗钱检查中受到行政处罚，扣1分。</t>
    <phoneticPr fontId="3" type="noConversion"/>
  </si>
  <si>
    <t>2.反洗钱工作受到人民银行行政处罚</t>
    <phoneticPr fontId="3" type="noConversion"/>
  </si>
  <si>
    <t xml:space="preserve">保险欺诈风险（30分）
</t>
    <phoneticPr fontId="3" type="noConversion"/>
  </si>
  <si>
    <t>制度建设</t>
    <phoneticPr fontId="12" type="noConversion"/>
  </si>
  <si>
    <t>健全反保险欺诈制度</t>
    <phoneticPr fontId="12" type="noConversion"/>
  </si>
  <si>
    <t>组织体系</t>
    <phoneticPr fontId="12" type="noConversion"/>
  </si>
  <si>
    <t>完善反保险欺诈组织体系</t>
    <phoneticPr fontId="12" type="noConversion"/>
  </si>
  <si>
    <t>基础分5分，最高分5分，最低分0分。1.总公司未设立专门的部门或指定内设机构作为反欺诈职能部门，扣2分；2.省级分支机构未设立反欺诈岗位，1个省级分支机构扣0.5分，最高扣3分。</t>
    <phoneticPr fontId="3" type="noConversion"/>
  </si>
  <si>
    <t>预防欺诈风险</t>
    <phoneticPr fontId="12" type="noConversion"/>
  </si>
  <si>
    <t>强化保险欺诈风险监测与评估</t>
    <phoneticPr fontId="12" type="noConversion"/>
  </si>
  <si>
    <t>基础分5分，最高分5分，最低分0分。1.未定期分析、评估公司整体的欺诈风险状况，扣3分；2.内部审计部门未检查或评估公司欺诈风险管理体系运行情况和运行效果，监督欺诈风险管理政策的执行情况，扣2分。</t>
    <phoneticPr fontId="3" type="noConversion"/>
  </si>
  <si>
    <t>处置欺诈风险</t>
    <phoneticPr fontId="12" type="noConversion"/>
  </si>
  <si>
    <t>主动处置保险欺诈风险</t>
    <phoneticPr fontId="12" type="noConversion"/>
  </si>
  <si>
    <t>基础分10分，最高分10分，最低分0分。1.未建立保险欺诈行为的举报投诉渠道，扣2分；2.保险公司每漏报、迟报1起保险欺诈类风险案件扣0.5分，瞒报1起扣2分，最高扣4分；3.未对保险欺诈责任人进行责任追究或案件移送的，扣4分。</t>
    <phoneticPr fontId="3" type="noConversion"/>
  </si>
  <si>
    <t>信息系统</t>
    <phoneticPr fontId="12" type="noConversion"/>
  </si>
  <si>
    <t>借助信息系统防控保险欺诈风险</t>
    <phoneticPr fontId="12" type="noConversion"/>
  </si>
  <si>
    <t xml:space="preserve">刑事案件风险（50分）
</t>
    <phoneticPr fontId="3" type="noConversion"/>
  </si>
  <si>
    <t>百亿元保费案件数</t>
    <phoneticPr fontId="12" type="noConversion"/>
  </si>
  <si>
    <t>截至季末累计案件数÷截至季末累计原保险保费收入（单位：件/百亿元）</t>
    <phoneticPr fontId="12" type="noConversion"/>
  </si>
  <si>
    <t>R为公司指标值，N为行业平均值：
R≤N，不扣分
N＜R≤1.5N，扣2分
1.5N＜R≤2N，扣4分
2N＜R≤3N，扣6分
3N＜R，扣8分</t>
    <phoneticPr fontId="12" type="noConversion"/>
  </si>
  <si>
    <t>案发机构占比</t>
    <phoneticPr fontId="12" type="noConversion"/>
  </si>
  <si>
    <t>截至季末发案省公司数÷季末省公司数×100%</t>
    <phoneticPr fontId="12" type="noConversion"/>
  </si>
  <si>
    <t>1.未发生刑事案件的公司，不扣分；
2.发生刑事案件的公司计分方式为：
R为排名，N为发案公司总数：
R≤20%N，扣1分
20%N＜R≤40%N，扣3分
40%N＜R≤60%N，扣5分
60%N＜R≤80%N，扣7分
80%N＜R，扣9分</t>
    <phoneticPr fontId="3" type="noConversion"/>
  </si>
  <si>
    <t>重大案件情况</t>
    <phoneticPr fontId="12" type="noConversion"/>
  </si>
  <si>
    <t>截至季末累计发生涉案金额100万元及以上案件的情况。</t>
    <phoneticPr fontId="12" type="noConversion"/>
  </si>
  <si>
    <t>S为涉案金额，每发生1件扣分标准为：
100万元≤S＜500万元，扣2分
500万元≤S＜1000万元，扣4分
1000万元≤S＜2000万元，扣6分
2000万元≤S＜5000万元，扣8分
5000万元≤S＜1亿元，扣10分
1亿元≤S，扣12分
最高扣20分。</t>
    <phoneticPr fontId="12" type="noConversion"/>
  </si>
  <si>
    <t>案件报送情况</t>
    <phoneticPr fontId="3" type="noConversion"/>
  </si>
  <si>
    <t>保险公司应准确、及时、规范报送案件信息</t>
    <phoneticPr fontId="12" type="noConversion"/>
  </si>
  <si>
    <t>基础分5分，最高5分，最低0分。每迟报、错报或漏报1起案件扣0.5分，瞒报案件扣5分，最高扣5分。</t>
    <phoneticPr fontId="3" type="noConversion"/>
  </si>
  <si>
    <t>宣传教育</t>
    <phoneticPr fontId="12" type="noConversion"/>
  </si>
  <si>
    <t>加强风险案件宣传教育</t>
    <phoneticPr fontId="12" type="noConversion"/>
  </si>
  <si>
    <t>基础分5分，最高5分，最低0分。1.未开展反保险欺诈公益宣传、教育培训的，扣2分；2.未按规定开展风险案件警示教育，每发生1起，扣1分，最高扣3分。</t>
    <phoneticPr fontId="3" type="noConversion"/>
  </si>
  <si>
    <t>不适用</t>
    <phoneticPr fontId="3" type="noConversion"/>
  </si>
  <si>
    <t>行业水平评分</t>
    <phoneticPr fontId="3" type="noConversion"/>
  </si>
  <si>
    <t>直接评分</t>
    <phoneticPr fontId="3" type="noConversion"/>
  </si>
  <si>
    <t>从业经验指资产管理部门主持工作的负责人从事金融机构投资相关工作的时间。</t>
    <phoneticPr fontId="3" type="noConversion"/>
  </si>
  <si>
    <t>人员结构是指资金运用风险管理人员数量与投研人员数量的比例。风险管理人员数量是指与资金运用相关的风险控制、合规法律、内控稽核、投后跟踪管理人员数量。</t>
    <phoneticPr fontId="3" type="noConversion"/>
  </si>
  <si>
    <t>I类保险公司的总公司财会部门人员数量应超过40人（含40人），若财务处理由集团共享中心集中操作或者外包给集团内其他公司的，总公司财会部门人员数量应超过20人（含20人）；
II类保险公司的总公司财会部门人员数量应超过12人（含12人），若财务处理由集团共享中心集中操作或者外包给集团内其他公司的，总公司财会部门人员数量应超过8人（含8人）
I类保险公司和II类保险公司根据《保险公司偿付能力监管规则第11号：偿付能力风险管理要求与评估》第六条确定（下同）。
本项中，再保险公司按照Ⅱ类保险公司的标准进行评分。</t>
    <phoneticPr fontId="3" type="noConversion"/>
  </si>
  <si>
    <t>不扣分</t>
  </si>
  <si>
    <t>HR人员名单</t>
  </si>
  <si>
    <t>行业水平评分</t>
    <phoneticPr fontId="3" type="noConversion"/>
  </si>
  <si>
    <t>销售人员离职率=(评估期内离职的销售人员数量)/(评估期销售人员平均数量)
（1）评估期为评估时点之前的3个月。
（2）销售人员是指公司内部各销售渠道直接从事销售工作的合同制员工和代理制营销员，包括个人营销渠道的个险营销员，收展渠道的收展员，银保渠道的银保专管员，电销渠道的电话销售人员（TSR）。统计离职人员以正式解除合同的时间为准。
（3）评估期销售人员平均数量为评估期初和期末销售人员数量的平均值。</t>
    <phoneticPr fontId="12" type="noConversion"/>
  </si>
  <si>
    <t>责任部门权重</t>
    <phoneticPr fontId="3" type="noConversion"/>
  </si>
  <si>
    <t>投资部</t>
    <phoneticPr fontId="3" type="noConversion"/>
  </si>
  <si>
    <t>人身保险公司分支机构销售、承保、保全业务线操作风险</t>
  </si>
  <si>
    <t>北京</t>
    <phoneticPr fontId="3" type="noConversion"/>
  </si>
  <si>
    <t>天津</t>
    <phoneticPr fontId="3" type="noConversion"/>
  </si>
  <si>
    <t>辽宁</t>
    <phoneticPr fontId="3" type="noConversion"/>
  </si>
  <si>
    <t>大连</t>
    <phoneticPr fontId="3" type="noConversion"/>
  </si>
  <si>
    <t>江苏</t>
    <phoneticPr fontId="3" type="noConversion"/>
  </si>
  <si>
    <t>山东</t>
    <phoneticPr fontId="3" type="noConversion"/>
  </si>
  <si>
    <t>青岛</t>
    <phoneticPr fontId="3" type="noConversion"/>
  </si>
  <si>
    <t>河南</t>
    <phoneticPr fontId="3" type="noConversion"/>
  </si>
  <si>
    <t>广东</t>
    <phoneticPr fontId="3" type="noConversion"/>
  </si>
  <si>
    <t>四川</t>
    <phoneticPr fontId="3" type="noConversion"/>
  </si>
  <si>
    <t>行次</t>
    <phoneticPr fontId="3" type="noConversion"/>
  </si>
  <si>
    <t>评价指标</t>
    <phoneticPr fontId="3" type="noConversion"/>
  </si>
  <si>
    <t>指标说明</t>
    <phoneticPr fontId="3" type="noConversion"/>
  </si>
  <si>
    <t>评价标准</t>
    <phoneticPr fontId="3" type="noConversion"/>
  </si>
  <si>
    <t>证据</t>
    <phoneticPr fontId="3" type="noConversion"/>
  </si>
  <si>
    <t>数据校验</t>
    <phoneticPr fontId="3" type="noConversion"/>
  </si>
  <si>
    <t>分数差</t>
    <phoneticPr fontId="3" type="noConversion"/>
  </si>
  <si>
    <t>扣分项</t>
    <phoneticPr fontId="3" type="noConversion"/>
  </si>
  <si>
    <t>管理层离职率</t>
  </si>
  <si>
    <t>总公司人力资源部</t>
  </si>
  <si>
    <t>人事铂金系统抽取数据</t>
    <phoneticPr fontId="3" type="noConversion"/>
  </si>
  <si>
    <t>分公司</t>
  </si>
  <si>
    <t>员工流失率=最近4个季度省级分公司及以下分支机构销售、承保、保全部门离职员工人数÷（前4个季度初省级分公司及以下分支机构销售、承保、保全部门员工人数+最近4个季度省级分公司及以下分支机构销售、承保、保全部门增加员工人数）×100%。员工指签订正式劳动合同人员，包含从事销售的合同制员工。离职指与公司终止劳动关系。</t>
    <phoneticPr fontId="3" type="noConversion"/>
  </si>
  <si>
    <t>员工流失率≤15%，得3分；15%＜员工流失率≤30%，得1.5分；员工流失率&gt;30%，得0分。</t>
    <phoneticPr fontId="3" type="noConversion"/>
  </si>
  <si>
    <t>最近4个季度部门负责人培训次数</t>
  </si>
  <si>
    <t>4个季度</t>
    <phoneticPr fontId="3" type="noConversion"/>
  </si>
  <si>
    <t>业绩考核</t>
    <phoneticPr fontId="3" type="noConversion"/>
  </si>
  <si>
    <t>将操作风险纳入省级分公司和中心支公司销售、承保、保全部门负责人考核体系的，得4分；否则，得0分。</t>
  </si>
  <si>
    <t>1|将操作风险纳入省级分公司和中心支公司销售、承保、保全部门负责人考核体系</t>
  </si>
  <si>
    <t>中介协议签订率</t>
  </si>
  <si>
    <t>中介协议签订率=评估期期末公司与代理机构签订有效的合作协议份数÷代理机构总家数×100%。合作协议过期视为无效。</t>
    <phoneticPr fontId="49" type="noConversion"/>
  </si>
  <si>
    <t>销售人员协议签订率</t>
    <phoneticPr fontId="3" type="noConversion"/>
  </si>
  <si>
    <t>销售人员协议签订率=100%，得2分；否则，得0分。</t>
    <phoneticPr fontId="49" type="noConversion"/>
  </si>
  <si>
    <t>千张保单投诉量=评估期公司受理的有效投诉件数总量/期末有效保单总量*1000（单位：件/千张）。投诉件包括公司受理的投诉件和监管部门转办的投诉件。</t>
    <phoneticPr fontId="49" type="noConversion"/>
  </si>
  <si>
    <t>千张保单投诉量≤3，得2分；3&lt;千张保单投诉量≤5，得1分；千张保单投诉量&gt;5，得0分。</t>
    <phoneticPr fontId="49" type="noConversion"/>
  </si>
  <si>
    <t>总公司客服部</t>
  </si>
  <si>
    <t>咨诉系统</t>
    <phoneticPr fontId="3" type="noConversion"/>
  </si>
  <si>
    <t>精算提供</t>
    <phoneticPr fontId="3" type="noConversion"/>
  </si>
  <si>
    <t>代理制销售人员13个月留存率=评估期期末前13个月已入职且评估期在职代理制销售人员数÷评估期前13个月已入职代理制销售人员数×100%。代理制销售人员指与公司签订代理合同的保险销售人员。</t>
    <phoneticPr fontId="49" type="noConversion"/>
  </si>
  <si>
    <t>评价得分=2×代理制销售人员13个月留存率。</t>
    <phoneticPr fontId="49" type="noConversion"/>
  </si>
  <si>
    <t>总公司个险渠道</t>
  </si>
  <si>
    <t>展业操作风险事件指公司存在销售误导，给予或承诺给予保险合同约定以外利益，未履行告知义务，代签名或代抄录风险提示语句，未经批准擅自制作或印制产品宣传材料等情形。</t>
    <phoneticPr fontId="3" type="noConversion"/>
  </si>
  <si>
    <t>最近4个季度，监管部门发现公司存在展业操作风险事件的，每项次扣2分；公司自查发现存在展业操作风险事件的，每项次扣0.5分，扣完6分为止。</t>
    <phoneticPr fontId="49" type="noConversion"/>
  </si>
  <si>
    <t>未发现</t>
    <phoneticPr fontId="3" type="noConversion"/>
  </si>
  <si>
    <t>最近4个季度公司自查发现中介业务操作风险事件次数</t>
  </si>
  <si>
    <t>最近4个季度监管发现中介业务操作风险事件次数</t>
  </si>
  <si>
    <t>承保标的风险评估评价公司是否建立了保险标的生调、体检等核验和风险评估制度，能否严格按制度规定展开核验可能产生的操作风险。</t>
    <phoneticPr fontId="49" type="noConversion"/>
  </si>
  <si>
    <t>公司建立了保险标的生调、体检等核验和风险评估制度，并能严格按制度规定展开核验的，得1分；其他情况，得0分。</t>
    <phoneticPr fontId="49" type="noConversion"/>
  </si>
  <si>
    <t>1|公司建立了保险标的生调、体检等核验和风险评估制度，并能严格按制度规定展开核验</t>
  </si>
  <si>
    <t>2|其他情况</t>
  </si>
  <si>
    <t>犹豫期内电话回访成功率</t>
  </si>
  <si>
    <t>协同业务系统</t>
    <phoneticPr fontId="3" type="noConversion"/>
  </si>
  <si>
    <t>最近4个季度公司因反洗钱工作被监管部门处罚次数</t>
    <phoneticPr fontId="3" type="noConversion"/>
  </si>
  <si>
    <t>最近4个季度，公司因反洗钱工作被监管部门处罚的，每项次扣2分；下发监管函的，每项次扣1分，扣完4分为止。</t>
    <phoneticPr fontId="3" type="noConversion"/>
  </si>
  <si>
    <t>最近4个季度，监管部门发现公司存在承保管理操作风险事件的，每项次扣3分；公司自查发现存在承保管理操作风险事件的，每项次扣0.5分，扣完6分为止。</t>
    <phoneticPr fontId="3" type="noConversion"/>
  </si>
  <si>
    <t>最近4个季度监管部门发现承保管理操作风险事件次数</t>
  </si>
  <si>
    <t>续期收费率=评估期本期应收实收保费 ÷ 评估期本期应收保费 ×100%。续期收费指根据保险合同约定按期缴方式支付保险费的第二期及以后各期保险费的过程。</t>
  </si>
  <si>
    <t>保全变更完成率</t>
  </si>
  <si>
    <t>保全变更完成率=评估期保全变更完成件数÷（评估期期初保全变更留存件数+评估期保全变更新增件数）×100% 。保单变更指由于投保人或被保险人的个人信息或保单条款变更而向保险公司申请改变原保单特定信息或约定的过程。</t>
  </si>
  <si>
    <t>保全变更完成率≥95%,得2分；90%≤保全变更完成率&lt;95%,得1分;保全变更完成率&lt;90%,得0分。</t>
  </si>
  <si>
    <t>保全系统数据统计</t>
  </si>
  <si>
    <t>退（撤）保率=（评估期本期合计撤保金总额+评估期本期合计退保金总额）÷（评估期本期合计实收保费金额＋评估期本期预收保费总额）。撤保指投保人在保单发出的特定天数内（犹豫期内）无条件撤销保单的行为。退保指生效保单经过犹豫期后，由投保人提出撤销保单申请，公司计算退保金额给予投保人的过程。</t>
  </si>
  <si>
    <t>评估期本期合计撤保金总额</t>
  </si>
  <si>
    <t>精算提供</t>
  </si>
  <si>
    <t>保全差错率</t>
  </si>
  <si>
    <t>保全差错率=评估期内保全差错件总量（包括保全撤销、影像重扫补扫、非客户原因的账号变更、审批修改、审批退回）÷ 评估期操作的确认生效的保全件总量×100%.</t>
  </si>
  <si>
    <t>保全质检登记</t>
  </si>
  <si>
    <t>保单质押贷款支付方式</t>
  </si>
  <si>
    <t>保单质押贷款支付方式评价公司保单质押贷款是否通过银行转账支付至投保人银行账户可能产生的操作风险。</t>
  </si>
  <si>
    <t>评估期，保单质押贷款均通过银行转账支付至投保人银行账户的，得1分；否则，得0分。</t>
  </si>
  <si>
    <t>评估期内</t>
    <phoneticPr fontId="3" type="noConversion"/>
  </si>
  <si>
    <t>1|评估期，保单质押贷款均通过银行转账支付至投保人银行账户</t>
  </si>
  <si>
    <t>最近4个季度，监管部门发现公司存在保全管理操作风险事件的，每项次扣3分；公司自查发现存在保全管理操作风险事件的，每项次扣0.5分，扣完6分为止。</t>
  </si>
  <si>
    <t>最近4个季度监管部门检查发现保全管理操作风险事件的次数</t>
  </si>
  <si>
    <t>重大操作风险事件指单项操作风险事件造成公司经济损失在100万元以上，或案件涉案金额500万元以上的操作风险事件。</t>
  </si>
  <si>
    <t>公司销售、承保、保全环节每发现1项次重大操作风险事件，销售、承保、保全业务线内部操作流程总得分扣减10分，扣完60分为止。</t>
  </si>
  <si>
    <t>不扣分</t>
    <phoneticPr fontId="3" type="noConversion"/>
  </si>
  <si>
    <t>公司自查发现账号管理安全事件的次数</t>
  </si>
  <si>
    <t>评估期，销售、承保、保全等业务管理信息系统存在下列情形之一的，监管部门发现每项次扣1分，公司自查发现每项次扣0.5分，扣完3分为止：已流失人员系统用户未及时在系统中清除；已和公司终止合作的中介机构（人员）代码未能在系统中停用；不相容权限账户由同一人员使用；账户授权使用人与实际使用人不一致；同一账户多人同时使用；其他影响账户安全的问题。</t>
  </si>
  <si>
    <t>监管部门检查发现账号管理安全事件的次数</t>
  </si>
  <si>
    <t>佣金系统计提评价公司佣金及手续费是否通过系统跟单自动计提可能产生的操作风险。</t>
  </si>
  <si>
    <t>评估期各业务条线佣金及手续费均通过系统跟单自动计提的，得2分；否则，得0分。</t>
  </si>
  <si>
    <t>1|评估期各业务条线佣金及手续费均通过系统跟单自动计提</t>
  </si>
  <si>
    <t>最近4个季度评估公司原保费收入</t>
  </si>
  <si>
    <t>设行业平均水平为θ，评分为：x&lt;θ，10分；θ≤x&lt;1.5θ，5分；1.5θ≤x&lt;2θ，2分；2θ≤x，0分。</t>
  </si>
  <si>
    <t>行业水平评分</t>
    <phoneticPr fontId="3" type="noConversion"/>
  </si>
  <si>
    <t>最近4个季度保户投资款本年新增交费</t>
  </si>
  <si>
    <t>最近4个季度投连险独立账户本年新增交费</t>
  </si>
  <si>
    <t>直接评分</t>
    <phoneticPr fontId="3" type="noConversion"/>
  </si>
  <si>
    <t>公式行</t>
    <phoneticPr fontId="3" type="noConversion"/>
  </si>
  <si>
    <t>人身保险公司分支机构理赔业务线操作风险</t>
    <phoneticPr fontId="3" type="noConversion"/>
  </si>
  <si>
    <t>从业经验指省级分公司及中心支公司理赔部门负责人从事保险理赔相关工作的时间。</t>
  </si>
  <si>
    <t>理赔部门人员流失率＝最近4个季度内省公司及以下分支机构理赔部门离职员工人数÷（前4个季度初省公司及以下分支机构的理赔人员数量+最近4个季度省公司及以下分支机构增加的理赔人员数量）×100％。
离职指员工与公司终止劳动关系。</t>
  </si>
  <si>
    <t>部门负责人培训次数指最近4个季度内省级分公司及中心支公司理赔部门负责人参加由监管部门或公司组织的风险管理方面培训培训次数。</t>
  </si>
  <si>
    <t>最近4个季度，省级分公司及中心支公司理赔部门负责人接受监管部门或公司组织的风险管理方面培训不少于3次，得3分；接受了培训但次数少于3次，得1.5分；未接受培训，得0分。</t>
  </si>
  <si>
    <t>业绩考核指省级分公司和中心支公司理赔部门负责人的业绩考核是否与操作风险相挂钩。</t>
  </si>
  <si>
    <t>省级分公司和中心支公司理赔部门负责人的业绩考核与操作风险相挂钩的，得4分；否则，得0分。</t>
  </si>
  <si>
    <t>1|省级分公司和中心支公司理赔部门负责人的业绩考核与操作风险相挂钩</t>
  </si>
  <si>
    <t>案均核赔支付时效</t>
  </si>
  <si>
    <t>案均核赔支付时效＝∑[支付时点-核赔完成时点]/正常结案数量
  其中：
核赔完成时点指在一个赔案中保险公司理赔系统最后一张核赔计算书完成的系统时间。
 支付时点指保险公司财务系统支付该赔案下最后一笔赔款（不含理赔费用）指令发送成功的系统时间。
正常结案数量指在评估期内，已决赔案中扣除拒赔、零结案、注销赔案后的赔案件数。</t>
  </si>
  <si>
    <t>案均核赔支付时效≤10天，得6分；10天＜案均核赔支付时效≤15天，得2分；案均核赔支付时效＞15天，得0分。</t>
    <phoneticPr fontId="3" type="noConversion"/>
  </si>
  <si>
    <t>理赔系统</t>
    <phoneticPr fontId="3" type="noConversion"/>
  </si>
  <si>
    <t>理赔服务时效=评估期内所有已决赔案出险日至结案的天数总和/评估期内所有已决赔案件数
起期：消费者提交理赔申请日期。
终期：公司做出理赔决定且需赔付的案件提交付款动作的时间。</t>
  </si>
  <si>
    <t>设行业平均水平为θ天，如果x≤θ ，8分；θ&lt;x≤1.5*θ ，4分；1.5*θ &lt;x≤2*θ，2分；x&gt;2*θ，0分。</t>
    <phoneticPr fontId="3" type="noConversion"/>
  </si>
  <si>
    <t>与行业平均水平相比</t>
    <phoneticPr fontId="3" type="noConversion"/>
  </si>
  <si>
    <t>与行业平均水平相比</t>
  </si>
  <si>
    <t>赔款转账直付比例</t>
  </si>
  <si>
    <t>赔款转账直付比例=评估期转账支付至被保险人（或受益人）银行账户的赔款件数÷评估期已决赔案数量×100%</t>
  </si>
  <si>
    <t>赔款转账直付比例≥95%的，得6分；90%≤赔款转账直付比例＜95%，得2分；赔款转账直付比例＜90%的，得0分</t>
    <phoneticPr fontId="3" type="noConversion"/>
  </si>
  <si>
    <t>非寿险业务估损代数偏差率=∑（赔案未决估计赔款-赔案已决赔款）÷ ∑总已决赔款×100%
其中：赔案未决估计赔款指期评估期内正常结案的赔案，在立案时的未决估计赔款。∑总已决赔款指在评估期内所有正常结案赔案的已决赔款之和。</t>
  </si>
  <si>
    <t>理赔档案遗失次数</t>
  </si>
  <si>
    <t>理赔档案管理评价公司是否存在理赔档案管理遗失、理赔档案案卷资料不完整或要素填写不完整、理赔档案案卷归档不及时等以及其他理赔档案管理不善情形。</t>
  </si>
  <si>
    <t>理赔档案资料不完整或要素填写不完整次数</t>
  </si>
  <si>
    <t>理赔档案案卷归档不及时次数</t>
  </si>
  <si>
    <t>其他理赔档案管理不善的次数</t>
  </si>
  <si>
    <t>最近4个季度，监管部门发现公司存在理赔操管理作风险事件的，每项次扣3分；公司自查发现公司存在理赔操管理作风险事件的，每项次扣0.5分，扣完20分为止。</t>
    <phoneticPr fontId="3" type="noConversion"/>
  </si>
  <si>
    <t>最近4个季度监管部门发现理赔管理操作风险事件的次数</t>
  </si>
  <si>
    <t>反欺诈操作风险事件是指由于公司反欺诈工作制度机制不健全、信息系统缺乏有效欺诈识别功能以及员工职业道德等因素，导致公司未能有效识别欺诈风险而发生欺诈案件情况。</t>
  </si>
  <si>
    <t xml:space="preserve"> 最近4个季度内，公司每发生1起业内欺诈案件，扣3分；每发生1起业外欺诈案件，扣1分，扣完12分为止。</t>
    <phoneticPr fontId="3" type="noConversion"/>
  </si>
  <si>
    <t>最近4个季度公司发生业外欺诈案件的次数</t>
  </si>
  <si>
    <t>重大操作风险事件调整次数</t>
  </si>
  <si>
    <t>公司理赔环节每发现1项次重大操作风险事件，理赔业务线内部操作流程总得分扣减10分，扣完60分为止。</t>
    <phoneticPr fontId="3" type="noConversion"/>
  </si>
  <si>
    <t>账号管理安全评价公司理赔信息系统账号安全管理情况。</t>
  </si>
  <si>
    <t>评估期，存在下列情形之一的，监管部门发现每项次扣1分，公司自查发现每项次扣0.5分，扣完2分为止：已离职理赔人员系统用户未及时在系统中清除；不相容权限账户由同一人员使用；账户授权使用人与实际使用人不一致；同一账户多人同时使用；其他影响账户安全的问题。</t>
    <phoneticPr fontId="3" type="noConversion"/>
  </si>
  <si>
    <t>反欺诈识别</t>
  </si>
  <si>
    <t>反欺诈识别指公司理赔信息系统设置了反欺诈识别提醒功能。</t>
  </si>
  <si>
    <t>公司理赔信息系统设置了反欺诈识别提醒功能，对出险时间与起保或终止时间接近、保险年度内索赔次数异常等情况进行提示的，对重点领域和环节设立欺诈案件和可疑赔案筛查功能的，得2分；否则，得0分。</t>
  </si>
  <si>
    <t>1|公司理赔信息系统设置了反欺诈识别提醒功能，对出险时间与起保或终止时间接近、保险年度内索赔次数异常等情况进行提示的，对重点领域和环节设立欺诈案件和可疑赔案筛查功能</t>
  </si>
  <si>
    <t>系统对接情况</t>
  </si>
  <si>
    <t>系统对接指公司理赔信息系统与接报案系统对接。</t>
  </si>
  <si>
    <t>公司理赔信息系统与接报案系统对接，理赔信息系统中报案时间由接报案系统直接导入，报案时间无法手工修改的，得1分；否则，得0分。</t>
  </si>
  <si>
    <t>1|公司理赔信息系统与接报案系统对接，理赔信息系统中报案时间由接报案系统直接导入，报案时间无法手工修改</t>
  </si>
  <si>
    <t>设行业平均水平为θ，评分为：x&lt;θ，10分；θ≤x&lt;1.5θ，5分；1.5θ≤x&lt;2θ，2分；2θ≤x，0分。</t>
    <phoneticPr fontId="3" type="noConversion"/>
  </si>
  <si>
    <t>保险分支机构总公司财务管理操作风险</t>
  </si>
  <si>
    <t>四川</t>
  </si>
  <si>
    <t>从业经验指省级分公司财会部门负责人从事财务、会计类工作的时间。</t>
  </si>
  <si>
    <t>省级分公司财会部门负责人具有5年以上财务、会计类工作经验的，得5分；否则，得0分。</t>
  </si>
  <si>
    <t>会计证持证率</t>
    <phoneticPr fontId="3" type="noConversion"/>
  </si>
  <si>
    <t>会计证持证率=100%的，得2分; 会计证持证率＜100%的,得0分。</t>
  </si>
  <si>
    <t>期末省级分公司及所有下辖分支机构参加财务工作一年以上的会计人员中持有会计证人员数量</t>
  </si>
  <si>
    <t>期末省级分公司及所有下辖分支机构参加财务工作一年以上的会计人员总数</t>
  </si>
  <si>
    <t>员工培训频率＝最近4个季度内员工培训人次/财会部门总人数；
员工培训人次指最近4个季度内省级分公司及中心支公司财务部门人员参加的会计、财务、税收、偿付能力、风险管理等各类专业培训的人次。
财会部门人员指省级分公司及中心支公司财务部门的人员。</t>
  </si>
  <si>
    <t>员工培训频率≥2，得2分；
不满足上述要求的，得0分。</t>
  </si>
  <si>
    <t>财务部门总人数</t>
  </si>
  <si>
    <t>管理方式</t>
  </si>
  <si>
    <t>管理方式指是否存在公司会计、出纳、稽核等不相容岗位兼职的情况。</t>
  </si>
  <si>
    <t>不存在公司会计、出纳、稽核等不相容岗位兼职情况的 得2分；否则，得0分。</t>
  </si>
  <si>
    <t>1|不存在公司会计、出纳、稽核等不相容岗位兼职情况</t>
  </si>
  <si>
    <t>业绩考核指省级分公司财会部门负责人和中心支公司财会部门负责人的业绩考核是否与操作风险相挂钩。</t>
  </si>
  <si>
    <t>省级分公司和中心支公司财务部门负责人的业绩考核与操作风险相挂钩的，得2分；否则，得0分</t>
  </si>
  <si>
    <t>1|省级分公司和中心支公司财务部门负责人的业绩考核与操作风险相挂钩</t>
  </si>
  <si>
    <t>报告差错量是指保险分支机构向监管部门报送的财务类报告、报表和统计数据等出现错报、漏报、未按时报送等差错的次数。</t>
  </si>
  <si>
    <t>出现重大错报或漏报的次数</t>
  </si>
  <si>
    <t>无错报、漏报、未按时报送等差错</t>
  </si>
  <si>
    <t>最近4个季度监管部门发现财务核算操作风险事件的次数</t>
  </si>
  <si>
    <t>财务核算操作风险事件是指由于财务人员职业道德、违章或违规操作等原因，发生会计核算差错的风险事件，包括公司保费收入、成本、费用核算不准确、其他业务收支（如：单证押金、产说会门票收入、销售人员押金等）未纳入财务统一核算、分险种核算成本费用分摊不准确、会计科目列支不规范、准备金计提不准确以及其他会计核算差错的情形。</t>
  </si>
  <si>
    <t>最近4个季度，监管部门发现公司存在财务核算操作风险事件的，每项次扣3分；公司自查发现公司存在财务核算操作风险事件的，每项次扣0.5分，扣完6分为止。</t>
  </si>
  <si>
    <t>最近4个季度公司自查发现财务核算操作风险事件的次数</t>
  </si>
  <si>
    <t>银行账户管理集中度指银行账户由总公司集中管理，银行账户的设立、变更或注销报总公司审批或备案。</t>
  </si>
  <si>
    <t>银行账户由总公司集中管理，银行账户的设立、变更或注销报总公司审批或备案，支公司及以下分支机构未开立银行账户的（税收、社保账户除外），得1分；否则，得0分。</t>
  </si>
  <si>
    <t>1|银行账户由总公司集中管理，银行账户的设立、变更或注销报总公司审批或备案，支公司及以下分支机构未开立银行账户（税收、社保账户除外）</t>
  </si>
  <si>
    <t>2|银行账户不是由总公司集中管理，或者银行账户的设立、变更或注销不是报总公司审批或备案，或者支公司及以下分支机构开立银行账户（税收、社保账户除外）</t>
  </si>
  <si>
    <t>非现金收款比率</t>
  </si>
  <si>
    <t>非现金收款比率=评估期内非现金收款金额÷（评估期内原保费收入+评估期内保户投资款本年新增交费+评估期内投连险独立账户本年新增交费）×100％
政策性农业保险业务保费收入不纳入此项指标统计。</t>
  </si>
  <si>
    <t>非现金收款比率≥95%，得3分；90%≤非现金收款比率＜95%，得1分；非现金收款比率＜90%，得0分。</t>
  </si>
  <si>
    <t>评估期评估公司原保费收入</t>
  </si>
  <si>
    <t>评估期内保户投资款本年新增交费</t>
  </si>
  <si>
    <t>评估期内投连险独立账户本年新增交费</t>
  </si>
  <si>
    <t>非现金付款比率</t>
  </si>
  <si>
    <t>非现金付款比率=评估期内非现金付款金额÷（评估期内赔付金+评估期内退保金）×100％</t>
  </si>
  <si>
    <t>非现金付款比率≥95%，得3分；90%≤非现金付款比率＜95%，得1分；非现金付i款比率＜90%，得0分。</t>
  </si>
  <si>
    <t>非寿险业务非正常应收保费比例</t>
    <phoneticPr fontId="3" type="noConversion"/>
  </si>
  <si>
    <t>资金管理类操作风险事件包括私自开立银行账户、账外资金、挪用侵占公款、支票欺诈、资金支付错误（支付金额、对象错误）、员工费用类借款长期挂账（1年以上未进行核销）、对3个月以上银行存款未达账项未进行清理等情形。</t>
  </si>
  <si>
    <t>最近4个季度内，监管部门发现公司存在资金管理类操作风险事件的，每项次扣3分；公司自查发现公司存在资金管理类操作风险事件的，每项次扣0.5分，扣完10分为止。</t>
  </si>
  <si>
    <t>费用预算执行情况</t>
  </si>
  <si>
    <t>费用预算执行情况评价省级分公司执行总公司预算情况。</t>
  </si>
  <si>
    <t>评估期末公司本年度累计实际发生费用未超过预算的，得3分；否则，得0分。</t>
  </si>
  <si>
    <t>1|评估期末公司本年度累计实际发生费用未超过预算</t>
  </si>
  <si>
    <t>费用管理操作风险事件包括公司以虚列经济事项、虚列人员薪酬、虚假发票报销费用等方式违规套取费用等情形。</t>
    <phoneticPr fontId="3" type="noConversion"/>
  </si>
  <si>
    <t>最近4个季度公司自查发现费用管理操作风险事件次数</t>
    <phoneticPr fontId="3" type="noConversion"/>
  </si>
  <si>
    <t>单证回销率</t>
  </si>
  <si>
    <t>单证回销率≥100％的，得2分；95%≤单证回销率＜100%，得1分；单证回销率＜95%，得0分。</t>
  </si>
  <si>
    <t>最近4个季度监管部门发现单证印章管理操作风险事件次数</t>
  </si>
  <si>
    <t>最近4个季度内，监管部门发现公司存在单证印章管理操作风险事件的，每项次扣2分；公司自查发现公司存在单证印章管理操作风险事件的，每项次扣0.5分，扣完6分为止。</t>
  </si>
  <si>
    <t>最近4个季度税收操作风险事件次数</t>
    <phoneticPr fontId="3" type="noConversion"/>
  </si>
  <si>
    <t>税收类操作风险事件是指税务部门对保险公司进行的处罚。</t>
  </si>
  <si>
    <t>最近4个季度内未发生过税收类操作风险事件的，得5分；最近4个季度内发生1次以上、3次以内税收类操作风险事件的，得2分；最近4个季度内发生过3次以上税收类操作风险事件的，得0分。</t>
  </si>
  <si>
    <t>重大操作风险事件次数</t>
    <phoneticPr fontId="3" type="noConversion"/>
  </si>
  <si>
    <t>公司财务环节每发现1项次重大操作风险事件，财务管理内部操作流程总得分扣减10分，扣完60分为止。</t>
  </si>
  <si>
    <t>监管部门发现账号安全问题次数</t>
  </si>
  <si>
    <t>账号管理安全评价公司财务信息系统账号安全管理情况。</t>
  </si>
  <si>
    <t>评估期存在下列情形之一的，监管部门发现每项次扣1分，公司自查发现每项次扣0.5分，扣完3分为止：已离职人员系统用户未及时在系统中清除；不相容权限账户由同一人员使用；账户授权使用人与实际使用人不一致；同一账户多人同时使用；其他影响账户安全的问题。</t>
  </si>
  <si>
    <t>公司自查发现账号安全问题次数</t>
  </si>
  <si>
    <t>系统对接指财务系统与单证系统、业务系统、再保系统、精算系统等对接，实现系统间数据自动交换的</t>
  </si>
  <si>
    <t>财务系统与单证系统、业务系统、再保系统、精算系统等对接，实现系统间数据自动交换的，得2分；否则，得0分。</t>
  </si>
  <si>
    <t>1|财务系统与单证系统、业务系统、再保系统、精算系统等对接，实现系统间数据自动交换</t>
  </si>
  <si>
    <t>OR04-分公司销售承保保全</t>
    <phoneticPr fontId="3" type="noConversion"/>
  </si>
  <si>
    <t>OR08-分公司理赔</t>
    <phoneticPr fontId="3" type="noConversion"/>
  </si>
  <si>
    <t>OR13-分公司财务管理</t>
    <phoneticPr fontId="3" type="noConversion"/>
  </si>
  <si>
    <t>OR02-销售承保</t>
    <phoneticPr fontId="3" type="noConversion"/>
  </si>
  <si>
    <t>OR06-理赔保全</t>
    <phoneticPr fontId="3" type="noConversion"/>
  </si>
  <si>
    <t>IT</t>
    <phoneticPr fontId="3" type="noConversion"/>
  </si>
  <si>
    <t>财务管理部</t>
    <phoneticPr fontId="3" type="noConversion"/>
  </si>
  <si>
    <t>满分</t>
    <phoneticPr fontId="3" type="noConversion"/>
  </si>
  <si>
    <t>得分</t>
    <phoneticPr fontId="3" type="noConversion"/>
  </si>
  <si>
    <t>无</t>
  </si>
  <si>
    <t>分支机构封面页</t>
    <phoneticPr fontId="3" type="noConversion"/>
  </si>
  <si>
    <t>北京保监局</t>
  </si>
  <si>
    <t>报告期间</t>
    <phoneticPr fontId="53" type="noConversion"/>
  </si>
  <si>
    <t>公司中文名称</t>
    <phoneticPr fontId="53" type="noConversion"/>
  </si>
  <si>
    <t>公司英文名称</t>
    <phoneticPr fontId="53" type="noConversion"/>
  </si>
  <si>
    <t>公司类型</t>
    <phoneticPr fontId="53" type="noConversion"/>
  </si>
  <si>
    <t>1|人身险公司</t>
  </si>
  <si>
    <t>分支机构负责人</t>
    <phoneticPr fontId="53" type="noConversion"/>
  </si>
  <si>
    <t>辽宁保监局</t>
  </si>
  <si>
    <t>注册地址</t>
    <phoneticPr fontId="53" type="noConversion"/>
  </si>
  <si>
    <t>保险机构法人许可证号（经营保险业务许可证）</t>
    <phoneticPr fontId="53" type="noConversion"/>
  </si>
  <si>
    <t>开业时间</t>
    <phoneticPr fontId="53" type="noConversion"/>
  </si>
  <si>
    <t>业务范围（经营范围）</t>
    <phoneticPr fontId="53" type="noConversion"/>
  </si>
  <si>
    <t>江苏保监局</t>
  </si>
  <si>
    <t>联系人姓名</t>
    <phoneticPr fontId="53" type="noConversion"/>
  </si>
  <si>
    <t>联系人办公室电话</t>
    <phoneticPr fontId="53" type="noConversion"/>
  </si>
  <si>
    <t>联系人移动电话</t>
    <phoneticPr fontId="53" type="noConversion"/>
  </si>
  <si>
    <t>联系人传真号码</t>
    <phoneticPr fontId="53" type="noConversion"/>
  </si>
  <si>
    <t>联系人电子信箱</t>
    <phoneticPr fontId="53" type="noConversion"/>
  </si>
  <si>
    <t>山东保监局</t>
  </si>
  <si>
    <t>分支机构隶属保监局</t>
    <phoneticPr fontId="53" type="noConversion"/>
  </si>
  <si>
    <t>河南保监局</t>
  </si>
  <si>
    <t>广东保监局</t>
  </si>
  <si>
    <t>四川保监局</t>
  </si>
  <si>
    <t>大连保监局</t>
  </si>
  <si>
    <t>青岛保监局</t>
  </si>
  <si>
    <t>恒安标准人寿保险有限公司天津分公司</t>
  </si>
  <si>
    <t>天津市南开区卫津南路与霞光道交口西南侧花园别墅42号宁泰广场7层01单元、4层03单元及18层04单元</t>
  </si>
  <si>
    <t>022-87790088-2613</t>
  </si>
  <si>
    <t>022-23136466</t>
  </si>
  <si>
    <t>TJ.Alisa_Yu@hengansl.com</t>
  </si>
  <si>
    <t>恒安标准人寿保险有限公司辽宁分公司</t>
  </si>
  <si>
    <t>辽宁省沈阳市沈河区北站路59号沈阳财富中心E座5层</t>
  </si>
  <si>
    <t>000056210000</t>
  </si>
  <si>
    <t>0532-83079905</t>
  </si>
  <si>
    <t>0532-85793249</t>
  </si>
  <si>
    <t>qd.haisheng_sui@hengansl.com</t>
  </si>
  <si>
    <t>恒安标准人寿保险有限公司河南分公司</t>
    <phoneticPr fontId="12" type="noConversion"/>
  </si>
  <si>
    <t>刘剑</t>
    <phoneticPr fontId="3" type="noConversion"/>
  </si>
  <si>
    <t>郑州市金水区经三路北段86号院6号楼，金印现代城9楼02B、03、04室和15 楼02、03、04、05室</t>
    <phoneticPr fontId="12" type="noConversion"/>
  </si>
  <si>
    <t>000056410000</t>
    <phoneticPr fontId="12" type="noConversion"/>
  </si>
  <si>
    <t>在河南省行政辖区内经营以下业务（法定保险业务除外）：人寿保险、健康保险和意外伤害保险等保险业务；上款业务的再保险业务。</t>
    <phoneticPr fontId="12" type="noConversion"/>
  </si>
  <si>
    <t>0371-60185285</t>
  </si>
  <si>
    <t>0371-60185388</t>
  </si>
  <si>
    <t>ZZ.Fulla_Feng@hengansl.com</t>
  </si>
  <si>
    <t>恒安标准人寿保险有限公司四川分公司</t>
  </si>
  <si>
    <t>恒安标准人寿保险有限公司大连分公司</t>
  </si>
  <si>
    <t>大连市中山区同兴街10号东亚银行大厦12层</t>
  </si>
  <si>
    <t>在辽宁省行政辖区内经营下列业务（法定保险业务除外）：（一）人寿保险、健康保险和意外伤害保险等保险业务；（二）上款业务的再保险业务***（依法须经批准的项目，经相关部门批准后方可开展经营活动）。</t>
  </si>
  <si>
    <t>0411-82615960</t>
  </si>
  <si>
    <t>0411-82615888</t>
  </si>
  <si>
    <t>dl.shuai_liang@hengansl.com</t>
  </si>
  <si>
    <t>恒安标准人寿保险有限公司江苏分公司</t>
  </si>
  <si>
    <t>刘剑锋</t>
  </si>
  <si>
    <t>南京市白下区中山南路49号商茂世纪广场38楼A、B、D座</t>
  </si>
  <si>
    <t>025-66673733</t>
  </si>
  <si>
    <t>025-66673999</t>
  </si>
  <si>
    <t>NJ.Jacky_Zhang@hengansl.com</t>
  </si>
  <si>
    <t>恒安标准人寿保险有限公司北京分公司</t>
  </si>
  <si>
    <t>张玉臣</t>
  </si>
  <si>
    <t>010-59235500</t>
  </si>
  <si>
    <t>恒安标准人寿保险有限公司广东分公司</t>
  </si>
  <si>
    <t>2009月5月25日</t>
  </si>
  <si>
    <t>恒安标准人寿保险有限公司山东分公司</t>
  </si>
  <si>
    <t>崔涛</t>
  </si>
  <si>
    <t>济南市泉城路17号华能大厦</t>
  </si>
  <si>
    <t>0531-80983619</t>
  </si>
  <si>
    <t>0531-80983699</t>
  </si>
  <si>
    <t>曾毅</t>
  </si>
  <si>
    <t>四川省成都市锦江区顺城大街8号中环广场1座21楼</t>
  </si>
  <si>
    <t>000056510000</t>
  </si>
  <si>
    <t>028-66608675</t>
  </si>
  <si>
    <t>028-66608699</t>
  </si>
  <si>
    <t>恒安标准人寿保险有限公司青岛分公司</t>
  </si>
  <si>
    <t>刘忠喜</t>
  </si>
  <si>
    <t>青岛市市南区香港中路59号国际金融大厦42F</t>
  </si>
  <si>
    <t>000056370200</t>
  </si>
  <si>
    <t>&lt;不适用&gt;</t>
  </si>
  <si>
    <t>000056370000</t>
    <phoneticPr fontId="3" type="noConversion"/>
  </si>
  <si>
    <t>000056320000</t>
    <phoneticPr fontId="3" type="noConversion"/>
  </si>
  <si>
    <t>000056210200</t>
    <phoneticPr fontId="3" type="noConversion"/>
  </si>
  <si>
    <t>遗失具体</t>
  </si>
  <si>
    <t>北京</t>
  </si>
  <si>
    <t>遗失处理银保通2015版1份</t>
  </si>
  <si>
    <t>大连</t>
  </si>
  <si>
    <t>遗失处理银保通2015版13份</t>
  </si>
  <si>
    <t>天津</t>
  </si>
  <si>
    <t>遗失处理银保通2015版615份</t>
  </si>
  <si>
    <t>青岛</t>
  </si>
  <si>
    <t>遗失处理团险单证49份</t>
  </si>
  <si>
    <t>河南</t>
  </si>
  <si>
    <t>遗失处理银保通2015版4份</t>
  </si>
  <si>
    <t>变动情况</t>
  </si>
  <si>
    <t>明细（期间均为2017.01-2017.12）</t>
  </si>
  <si>
    <t>江苏</t>
  </si>
  <si>
    <t>发放数减少</t>
  </si>
  <si>
    <t>期间发放团险卡单28份，增值税发票2644份，共2672份</t>
  </si>
  <si>
    <t>辽宁</t>
  </si>
  <si>
    <t>期间发放团险卡单19份，增值税发票33份，共52份</t>
  </si>
  <si>
    <t>期间发放银保通2016版500份，增值税发票70份，共570份</t>
  </si>
  <si>
    <t>山东</t>
  </si>
  <si>
    <t>期间发放银保通2015版240份，银保通2016版100份，团险卡单2份，增值税发票354份，共696份</t>
  </si>
  <si>
    <t>期间发放银保通2016版700份，团险卡单12份，发票475份，共1187份</t>
  </si>
  <si>
    <t>广东</t>
  </si>
  <si>
    <t>发放数增加</t>
  </si>
  <si>
    <t>期间发放银保通2015版240份，银保通2016版140份，增值税发票2份，共382份</t>
  </si>
  <si>
    <t>发放数量变动原因总结：</t>
  </si>
  <si>
    <r>
      <t>1</t>
    </r>
    <r>
      <rPr>
        <sz val="10.5"/>
        <color theme="1"/>
        <rFont val="宋体"/>
        <family val="3"/>
        <charset val="134"/>
      </rPr>
      <t>、发放数增加主要是因为分公司业务发展需要，导致需求量增加</t>
    </r>
  </si>
  <si>
    <r>
      <t>2</t>
    </r>
    <r>
      <rPr>
        <sz val="10.5"/>
        <color theme="1"/>
        <rFont val="宋体"/>
        <family val="3"/>
        <charset val="134"/>
      </rPr>
      <t>、发放数减少包括部分公司之前回销率未达标，总公司控制发放导致；部分分公司收缩银保渠道导致；增值税发票推广电子发票后纸质发票发放减少</t>
    </r>
  </si>
  <si>
    <t>总公司表格</t>
    <phoneticPr fontId="3" type="noConversion"/>
  </si>
  <si>
    <t>分公司表格</t>
    <phoneticPr fontId="3" type="noConversion"/>
  </si>
  <si>
    <t>满分标准</t>
  </si>
  <si>
    <t>绩效得分</t>
    <phoneticPr fontId="3" type="noConversion"/>
  </si>
  <si>
    <t>精算与战略部</t>
    <phoneticPr fontId="3" type="noConversion"/>
  </si>
  <si>
    <t>精算得分</t>
    <phoneticPr fontId="3" type="noConversion"/>
  </si>
  <si>
    <t>精算权重</t>
    <phoneticPr fontId="3" type="noConversion"/>
  </si>
  <si>
    <t>IT</t>
    <phoneticPr fontId="3" type="noConversion"/>
  </si>
  <si>
    <t>Q4</t>
    <phoneticPr fontId="3" type="noConversion"/>
  </si>
  <si>
    <t>权重</t>
    <phoneticPr fontId="3" type="noConversion"/>
  </si>
  <si>
    <t>百分制满分</t>
  </si>
  <si>
    <t>得分</t>
    <phoneticPr fontId="3" type="noConversion"/>
  </si>
  <si>
    <t>财务管理部</t>
    <phoneticPr fontId="3" type="noConversion"/>
  </si>
  <si>
    <t>会计运营部</t>
    <phoneticPr fontId="3" type="noConversion"/>
  </si>
  <si>
    <t>客服</t>
    <phoneticPr fontId="3" type="noConversion"/>
  </si>
  <si>
    <t>个险</t>
    <phoneticPr fontId="3" type="noConversion"/>
  </si>
  <si>
    <t>团险</t>
    <phoneticPr fontId="3" type="noConversion"/>
  </si>
  <si>
    <t>银保</t>
    <phoneticPr fontId="3" type="noConversion"/>
  </si>
  <si>
    <t>多元</t>
    <phoneticPr fontId="3" type="noConversion"/>
  </si>
  <si>
    <t>续期</t>
    <phoneticPr fontId="3" type="noConversion"/>
  </si>
  <si>
    <t>2018Q1</t>
    <phoneticPr fontId="3" type="noConversion"/>
  </si>
  <si>
    <t>Q1</t>
    <phoneticPr fontId="3" type="noConversion"/>
  </si>
  <si>
    <r>
      <t>建立信息技术风险识别机制，4分；</t>
    </r>
    <r>
      <rPr>
        <sz val="8"/>
        <color rgb="FFFF0000"/>
        <rFont val="微软雅黑"/>
        <family val="2"/>
        <charset val="134"/>
      </rPr>
      <t>建立了新技术、新产品的准入机制，4分。</t>
    </r>
    <phoneticPr fontId="3" type="noConversion"/>
  </si>
  <si>
    <t>SUM</t>
    <phoneticPr fontId="3" type="noConversion"/>
  </si>
  <si>
    <r>
      <t>重要系统具备安全审计功能，2分；</t>
    </r>
    <r>
      <rPr>
        <sz val="8"/>
        <color rgb="FFFF0000"/>
        <rFont val="微软雅黑"/>
        <family val="2"/>
        <charset val="134"/>
      </rPr>
      <t>具有审计记录，3分</t>
    </r>
    <r>
      <rPr>
        <sz val="8"/>
        <rFont val="微软雅黑"/>
        <family val="2"/>
        <charset val="134"/>
      </rPr>
      <t>。</t>
    </r>
    <phoneticPr fontId="3" type="noConversion"/>
  </si>
  <si>
    <r>
      <t>制定了数据安全管理相关制度和流程，对数据采集、传输、交换、存储、备份、恢复和销毁等环节提出了明确要求，4分；</t>
    </r>
    <r>
      <rPr>
        <sz val="8"/>
        <color rgb="FFFF0000"/>
        <rFont val="微软雅黑"/>
        <family val="2"/>
        <charset val="134"/>
      </rPr>
      <t>建立了重要数据分级分类标准，3分</t>
    </r>
    <r>
      <rPr>
        <sz val="8"/>
        <rFont val="微软雅黑"/>
        <family val="2"/>
        <charset val="134"/>
      </rPr>
      <t>；建立了重要数据使用审批流程，3分。</t>
    </r>
    <phoneticPr fontId="3" type="noConversion"/>
  </si>
  <si>
    <t>建立了质量控制体系，3分。</t>
    <phoneticPr fontId="3" type="noConversion"/>
  </si>
  <si>
    <r>
      <t>开发、测试、生产环境相互分离，3分；</t>
    </r>
    <r>
      <rPr>
        <sz val="8"/>
        <color rgb="FFFF0000"/>
        <rFont val="微软雅黑"/>
        <family val="2"/>
        <charset val="134"/>
      </rPr>
      <t>生产数据必须经过脱敏才能在开发或测试中使用，2分。</t>
    </r>
    <phoneticPr fontId="3" type="noConversion"/>
  </si>
  <si>
    <t>具有完整的功能测试报告，功能测试项目主要包括：等价类划分、边界值分析、错误推测分析、因果图分析、判定表驱动分析、正交实验设计、功能图分析，4分。</t>
    <phoneticPr fontId="3" type="noConversion"/>
  </si>
  <si>
    <t>具有试运行报告，3分。</t>
    <phoneticPr fontId="3" type="noConversion"/>
  </si>
  <si>
    <t>按照设备和介质的安全等级，制定了生命周期的管理措施，5分；无报废控制的要求，本评价点（分值）不得分。</t>
    <phoneticPr fontId="3" type="noConversion"/>
  </si>
  <si>
    <t>总公司风险管理部</t>
    <phoneticPr fontId="3" type="noConversion"/>
  </si>
  <si>
    <t>具有完整的重要系统单点故障定期排查的记录，5分。</t>
    <phoneticPr fontId="3" type="noConversion"/>
  </si>
  <si>
    <t>建立了系统配置管理制度与流程，5分；具有系统配置的流程记录，5分。</t>
    <phoneticPr fontId="3" type="noConversion"/>
  </si>
  <si>
    <t>系统管理员严格按照管理规定进行了系统账户管理，并定期清查系统账户，3分；重要系统的系统管理员在使用超级账户时，采取授权管控等制约措施并保留操作记录，2分。</t>
    <phoneticPr fontId="3" type="noConversion"/>
  </si>
  <si>
    <t>具有主要风险点控制措施，5分；具有主要风险点控制措施的落实记录，5分；具有主要风险危机处理预案，5分。</t>
    <phoneticPr fontId="3" type="noConversion"/>
  </si>
  <si>
    <t>具有：项目需求风险评估，2分；系统架构风险评估，2分；技术可实现性风险评估，2分；项目延期交付风险评估，2分；项目成本超支风险评估，2分；第三方风险评估，2分；测试不完整性风险评估，2分；人员流动风险评估，2分；对主要风险点进行分析4分。</t>
    <phoneticPr fontId="3" type="noConversion"/>
  </si>
  <si>
    <t>详见人力部人员变动表</t>
    <phoneticPr fontId="3" type="noConversion"/>
  </si>
  <si>
    <t>《恒安标准人寿2018年短期激励方案》</t>
    <phoneticPr fontId="3" type="noConversion"/>
  </si>
  <si>
    <t>泰康回复：投研人员以成果为导向，严格实行量化考核：投研人员是公司投资业绩的直接产出者，因此，对于其年度考核，以最核心的、量化投资业绩指标为主。同时，为了保证有效激励，对于可量化的关键绩效指标，设置三级目标制（基础目标、目标、挑战目标）。这样分级的目标体系，有效鼓励投研人员不断挑战更高业绩产出。同时，在日常工作中，投研部门内部定期进行绩效回顾和总结，确保了过程的不断优化。</t>
    <phoneticPr fontId="3" type="noConversion"/>
  </si>
  <si>
    <t>朱路总、刘峰总、任硕、边绍泉、朱逸寒JD</t>
    <phoneticPr fontId="3" type="noConversion"/>
  </si>
  <si>
    <t>HR张炜总绩效合约、JD</t>
    <phoneticPr fontId="3" type="noConversion"/>
  </si>
  <si>
    <t>泰康委托合同相关部分和投资指引</t>
    <phoneticPr fontId="3" type="noConversion"/>
  </si>
  <si>
    <t>操作风险数据库</t>
    <phoneticPr fontId="3" type="noConversion"/>
  </si>
  <si>
    <t>《恒安标准人寿委托投资管理办法》</t>
    <phoneticPr fontId="3" type="noConversion"/>
  </si>
  <si>
    <t>CWP/UWP泰康投资指引</t>
    <phoneticPr fontId="3" type="noConversion"/>
  </si>
  <si>
    <t>报送季度、年度委托投资报告</t>
    <phoneticPr fontId="3" type="noConversion"/>
  </si>
  <si>
    <t>年度资产配置情况报告</t>
    <phoneticPr fontId="3" type="noConversion"/>
  </si>
  <si>
    <t>各投资账户投资指引、O32设置、资金划拨</t>
    <phoneticPr fontId="3" type="noConversion"/>
  </si>
  <si>
    <t>产品简称：恒安标准人寿累积分红UWP、恒安标准人寿分红01、恒安标准人寿传统、恒安标准人寿传统分红。四账户分别有不同的托管账户。</t>
    <phoneticPr fontId="3" type="noConversion"/>
  </si>
  <si>
    <t>托管合同</t>
    <phoneticPr fontId="3" type="noConversion"/>
  </si>
  <si>
    <t>《投资部投资授权管理规范》</t>
    <phoneticPr fontId="3" type="noConversion"/>
  </si>
  <si>
    <t>O32/OA</t>
    <phoneticPr fontId="3" type="noConversion"/>
  </si>
  <si>
    <t>《泰康资产管理公司投资决策管理办法》</t>
    <phoneticPr fontId="3" type="noConversion"/>
  </si>
  <si>
    <t>投委会会议记录、会议纪要</t>
    <phoneticPr fontId="3" type="noConversion"/>
  </si>
  <si>
    <t>泰康回复：每笔投资决策均有书面记录，备查。</t>
    <phoneticPr fontId="3" type="noConversion"/>
  </si>
  <si>
    <t>O32</t>
    <phoneticPr fontId="3" type="noConversion"/>
  </si>
  <si>
    <t>见泰康公司股票池和债券池的构建方法、原则和流程</t>
    <phoneticPr fontId="3" type="noConversion"/>
  </si>
  <si>
    <t>《有价证券买卖委托单》、评级授信情况表</t>
    <phoneticPr fontId="3" type="noConversion"/>
  </si>
  <si>
    <t>集中交易室、电话监控、通讯工具监控。《恒安标准人寿投资部移动通讯工具集中保管工作规范》</t>
    <phoneticPr fontId="3" type="noConversion"/>
  </si>
  <si>
    <t>泰康相关制度：《公平交易制度》、《集中交易管理办法》、《集中交易补充管理办法》、《重大突发事件应急处理规定》、《重大突发事件总体应急预案》、《集中交易室固定收益交易应急管理细则》、《交易对手信用风险管理实施细则》、《银行间债券市场交易对手询价及管理细则》、《关联交易管理办法》、《关于进一步加强异常事件管理的通知》</t>
    <phoneticPr fontId="3" type="noConversion"/>
  </si>
  <si>
    <t>O32</t>
    <phoneticPr fontId="3" type="noConversion"/>
  </si>
  <si>
    <t>泰康回复交易记录完整，备查。</t>
    <phoneticPr fontId="3" type="noConversion"/>
  </si>
  <si>
    <t>《恒安标准人寿金融资产会计分类管理制度》</t>
    <phoneticPr fontId="3" type="noConversion"/>
  </si>
  <si>
    <t>泰康相关制度：《产品估值突发事件处理办法 》、《账户管理细则 》、《估值原则》、《基础设施及不动产投资计划会计核算实施细则 》、《受托资产会计核算办法 》、《估值小组管理细则 》、《金融资产分类管理实施细则 》。</t>
    <phoneticPr fontId="3" type="noConversion"/>
  </si>
  <si>
    <t>O32日操作流程控制，投资部门的业务交易台账与后台清算记录和资金记录保持一致，每日进行清算和交易信息核对。</t>
    <phoneticPr fontId="3" type="noConversion"/>
  </si>
  <si>
    <t>工行估值表、交易流水</t>
    <phoneticPr fontId="3" type="noConversion"/>
  </si>
  <si>
    <t>保监会月报，报送每月资金运用情况</t>
    <phoneticPr fontId="3" type="noConversion"/>
  </si>
  <si>
    <t>对《保险资金运用管理办法》缺口分析，新建及更新系列制度，如风险责任人管理办法。</t>
  </si>
  <si>
    <t>部门紧跟政策变化，积极参加监管部门和同业组织的各项培训。公司风险管理部多次对全体投资部人员进行偿二代政策进行培训。投资部集体学习2018年颁布的《保险资金运用管理办法》。</t>
    <phoneticPr fontId="3" type="noConversion"/>
  </si>
  <si>
    <t>无错报、漏报、未按时报送等差错</t>
    <phoneticPr fontId="3" type="noConversion"/>
  </si>
  <si>
    <t xml:space="preserve"> 风险事件合计次数指保险公司会计差错量、偿付能力报告差错量、财务报告差错量、资金管理操作风险事件、印章管理操作风险事件、税收操作风险事件等5项风险事件相加之和，各保险公司风险事件合计次数的算术平均数为该指标的行业平均水平。</t>
    <phoneticPr fontId="3" type="noConversion"/>
  </si>
  <si>
    <t>理赔管理操作风险事件包括公司发生虚假列支理赔费用，通过虚假理赔套取侵占赔款资金，通过虚假理赔变相向中介机构等单位支付超额手续费，通过虚假理赔向被保险人返还合同以外利益，通过虚列费用等方式账外支付赔款，截留、挪用或隐瞒追偿款、未经客户授权将赔款支付至第三方及其他理赔管理问题。</t>
    <phoneticPr fontId="3" type="noConversion"/>
  </si>
  <si>
    <t>最近4个季度内未发生资金管理类操作风险事件的，得4分；最近4个季度内发生1次以上、3次以内资金管理类操作风险事件的，得2分；最近4个季度内发生的资金管理类操作风险事件次数超过3次的，得0分。</t>
    <phoneticPr fontId="3" type="noConversion"/>
  </si>
  <si>
    <t>管理层离职率≤30%，得3分；30%＜管理层离职率≤50%，得1.5分；管理层离职率&gt;50%，得0分。</t>
    <phoneticPr fontId="3" type="noConversion"/>
  </si>
  <si>
    <t>90%&lt;犹豫期内电话回访成功率≤100% ，得2分；  80%&lt;犹豫期内电话回访成功率≤90%，得1分；   70%&lt;犹豫期内电话回访成功率≤80%，得0.5分；犹豫期内电话回访成功率≤70%，得 0分。</t>
    <phoneticPr fontId="3" type="noConversion"/>
  </si>
  <si>
    <t>2|未将操作风险纳入省级分公司和中心支公司销售、承保、保全部门负责人考核体系</t>
    <phoneticPr fontId="3" type="noConversion"/>
  </si>
  <si>
    <t>不适用</t>
  </si>
  <si>
    <t>评估期末，专职从事人身保险核保工作的内勤员工数量</t>
    <phoneticPr fontId="12" type="noConversion"/>
  </si>
  <si>
    <t>最近4个季度公司自查发现存在销售人员管理操作风险事件的次数</t>
    <phoneticPr fontId="3" type="noConversion"/>
  </si>
  <si>
    <t>最近4个季度公司自查发现理赔管理操作风险事件的次数</t>
    <phoneticPr fontId="3" type="noConversion"/>
  </si>
  <si>
    <t>最近4个季度公司发生业内欺诈案件的次数</t>
    <phoneticPr fontId="3" type="noConversion"/>
  </si>
  <si>
    <t>最近4个季度公司自查发现资金管理类操作风险事件次数</t>
    <phoneticPr fontId="3" type="noConversion"/>
  </si>
  <si>
    <t>最近4个季度公司自查发现单证印章管理操作风险事件次数</t>
    <phoneticPr fontId="3" type="noConversion"/>
  </si>
  <si>
    <t>理赔部门负责人具有5年以上相关从业经验的占比</t>
    <phoneticPr fontId="3" type="noConversion"/>
  </si>
  <si>
    <t>数据提供部门</t>
    <phoneticPr fontId="3" type="noConversion"/>
  </si>
  <si>
    <t>评分标准</t>
    <phoneticPr fontId="3" type="noConversion"/>
  </si>
  <si>
    <t>统计期间</t>
    <phoneticPr fontId="3" type="noConversion"/>
  </si>
  <si>
    <t>证据</t>
    <phoneticPr fontId="3" type="noConversion"/>
  </si>
  <si>
    <t>分值</t>
    <phoneticPr fontId="3" type="noConversion"/>
  </si>
  <si>
    <t>数据校验</t>
    <phoneticPr fontId="3" type="noConversion"/>
  </si>
  <si>
    <t>2|未将操作风险纳入省级分公司和中心支公司销售、承保、保全部门负责人考核体系</t>
    <phoneticPr fontId="3" type="noConversion"/>
  </si>
  <si>
    <t>直接评分扣分项</t>
    <phoneticPr fontId="12" type="noConversion"/>
  </si>
  <si>
    <t>直接评分扣分</t>
    <phoneticPr fontId="12" type="noConversion"/>
  </si>
  <si>
    <t>数据提供部门</t>
    <phoneticPr fontId="3" type="noConversion"/>
  </si>
  <si>
    <t>OR08扣分情况</t>
    <phoneticPr fontId="3" type="noConversion"/>
  </si>
  <si>
    <t>直接评分得分</t>
    <phoneticPr fontId="3" type="noConversion"/>
  </si>
  <si>
    <t>行业水平确定可得</t>
    <phoneticPr fontId="3" type="noConversion"/>
  </si>
  <si>
    <t>行业水平总分</t>
    <phoneticPr fontId="3" type="noConversion"/>
  </si>
  <si>
    <t>直接评分总分</t>
    <phoneticPr fontId="3" type="noConversion"/>
  </si>
  <si>
    <t>直接评分扣分</t>
    <phoneticPr fontId="3" type="noConversion"/>
  </si>
  <si>
    <t>未发现</t>
    <phoneticPr fontId="3" type="noConversion"/>
  </si>
  <si>
    <t>4个季度</t>
    <phoneticPr fontId="3" type="noConversion"/>
  </si>
  <si>
    <t>DW系统RP6-1报表</t>
    <phoneticPr fontId="3" type="noConversion"/>
  </si>
  <si>
    <t>DW系统RP6-1报表</t>
    <phoneticPr fontId="3" type="noConversion"/>
  </si>
  <si>
    <t>保单失效率=[（失效、退保金额+减保金额）-（复效+增保额）] ÷ 年初累计有效保额× 100%。保单复效指投保人自保单停效之日起两年内，根据合同条款约定，及时缴纳了欠缴的本金及利息，并办理相关手续后，恢复原保单效力的行为。</t>
    <phoneticPr fontId="3" type="noConversion"/>
  </si>
  <si>
    <t>评估期内</t>
    <phoneticPr fontId="3" type="noConversion"/>
  </si>
  <si>
    <t>4个季度</t>
    <phoneticPr fontId="3" type="noConversion"/>
  </si>
  <si>
    <t>扣分项</t>
    <phoneticPr fontId="3" type="noConversion"/>
  </si>
  <si>
    <t>不扣分</t>
    <phoneticPr fontId="3" type="noConversion"/>
  </si>
  <si>
    <t>评估期内</t>
    <phoneticPr fontId="3" type="noConversion"/>
  </si>
  <si>
    <t>亿元保费销售、承保、保全操作风险事件数=（展业操作风险事件数+中介业务操作风险事件数+销售人员管理操作风险事件数+承保管理操作风险事件+保全管理操作风险事件数+反洗钱操作风险事件数）/（评估期内原保费收入+评估期内保户投资款本年新增交费+评估期内投连险独立账户本年新增交费）（亿元）</t>
    <phoneticPr fontId="3" type="noConversion"/>
  </si>
  <si>
    <t>行业水平评分</t>
    <phoneticPr fontId="3" type="noConversion"/>
  </si>
  <si>
    <t>总分</t>
    <phoneticPr fontId="3" type="noConversion"/>
  </si>
  <si>
    <t>直接评分总分</t>
    <phoneticPr fontId="3" type="noConversion"/>
  </si>
  <si>
    <t>直接评分扣分</t>
    <phoneticPr fontId="3" type="noConversion"/>
  </si>
  <si>
    <t>行业水平总分</t>
    <phoneticPr fontId="3" type="noConversion"/>
  </si>
  <si>
    <t>公式行</t>
    <phoneticPr fontId="3" type="noConversion"/>
  </si>
  <si>
    <t>直接评分</t>
    <phoneticPr fontId="3" type="noConversion"/>
  </si>
  <si>
    <t>行业水平确定评分</t>
    <phoneticPr fontId="3" type="noConversion"/>
  </si>
  <si>
    <t>行业评分无法确定</t>
    <phoneticPr fontId="12" type="noConversion"/>
  </si>
  <si>
    <t>监管评分</t>
    <phoneticPr fontId="12" type="noConversion"/>
  </si>
  <si>
    <t>OR13扣分情况</t>
    <phoneticPr fontId="3" type="noConversion"/>
  </si>
  <si>
    <t>数据提供部门</t>
    <phoneticPr fontId="3" type="noConversion"/>
  </si>
  <si>
    <t>统计期间</t>
    <phoneticPr fontId="3" type="noConversion"/>
  </si>
  <si>
    <t>证据</t>
    <phoneticPr fontId="3" type="noConversion"/>
  </si>
  <si>
    <t>评分标准</t>
    <phoneticPr fontId="12" type="noConversion"/>
  </si>
  <si>
    <t>行业排序得分</t>
    <phoneticPr fontId="12" type="noConversion"/>
  </si>
  <si>
    <t>直接评分</t>
    <phoneticPr fontId="12" type="noConversion"/>
  </si>
  <si>
    <t>直接评分</t>
    <phoneticPr fontId="12" type="noConversion"/>
  </si>
  <si>
    <t>行业排序评分</t>
    <phoneticPr fontId="12" type="noConversion"/>
  </si>
  <si>
    <t>行业排序评分</t>
    <phoneticPr fontId="12" type="noConversion"/>
  </si>
  <si>
    <t>行业水平评分</t>
    <phoneticPr fontId="12" type="noConversion"/>
  </si>
  <si>
    <t>直接评分总分</t>
    <phoneticPr fontId="12" type="noConversion"/>
  </si>
  <si>
    <t>行业排序总分</t>
    <phoneticPr fontId="12" type="noConversion"/>
  </si>
  <si>
    <t>行业水平总分</t>
    <phoneticPr fontId="12" type="noConversion"/>
  </si>
  <si>
    <t>行业排序扣分</t>
    <phoneticPr fontId="12" type="noConversion"/>
  </si>
  <si>
    <t>行业水平扣分</t>
    <phoneticPr fontId="12" type="noConversion"/>
  </si>
  <si>
    <t>直接评分扣分</t>
    <phoneticPr fontId="12" type="noConversion"/>
  </si>
  <si>
    <t>总公司信息技术部</t>
    <phoneticPr fontId="3" type="noConversion"/>
  </si>
  <si>
    <t>直接评分</t>
    <phoneticPr fontId="3" type="noConversion"/>
  </si>
  <si>
    <t>评估期末时点</t>
    <phoneticPr fontId="3" type="noConversion"/>
  </si>
  <si>
    <t>设行业平均水平为θ，评分为：x&lt;θ，10分；θ≤x&lt;1.5θ，5分；1.5θ≤x&lt;2θ，2分；2θ≤x，0分。</t>
    <phoneticPr fontId="3" type="noConversion"/>
  </si>
  <si>
    <t>4个季度</t>
    <phoneticPr fontId="3" type="noConversion"/>
  </si>
  <si>
    <t>公式行</t>
    <phoneticPr fontId="3" type="noConversion"/>
  </si>
  <si>
    <t>行业评分无法确定</t>
    <phoneticPr fontId="12" type="noConversion"/>
  </si>
  <si>
    <t>监管评分</t>
    <phoneticPr fontId="12" type="noConversion"/>
  </si>
  <si>
    <t>扣分项</t>
    <phoneticPr fontId="12" type="noConversion"/>
  </si>
  <si>
    <t>行业评分确定可得</t>
    <phoneticPr fontId="12" type="noConversion"/>
  </si>
  <si>
    <t>√</t>
    <phoneticPr fontId="12" type="noConversion"/>
  </si>
  <si>
    <t>直接评分总分</t>
    <phoneticPr fontId="12" type="noConversion"/>
  </si>
  <si>
    <t>行业排序扣分</t>
    <phoneticPr fontId="12" type="noConversion"/>
  </si>
  <si>
    <t>行业水平扣分</t>
    <phoneticPr fontId="12" type="noConversion"/>
  </si>
  <si>
    <t>责任部门</t>
    <phoneticPr fontId="3" type="noConversion"/>
  </si>
  <si>
    <t>评估期末时点</t>
    <phoneticPr fontId="3" type="noConversion"/>
  </si>
  <si>
    <t>4个季度</t>
    <phoneticPr fontId="3" type="noConversion"/>
  </si>
  <si>
    <t>分值</t>
    <phoneticPr fontId="3" type="noConversion"/>
  </si>
  <si>
    <t>证据</t>
    <phoneticPr fontId="3" type="noConversion"/>
  </si>
  <si>
    <t>数据校验</t>
    <phoneticPr fontId="3" type="noConversion"/>
  </si>
  <si>
    <t>评分标准</t>
    <phoneticPr fontId="3" type="noConversion"/>
  </si>
  <si>
    <t>扣分项</t>
    <phoneticPr fontId="3" type="noConversion"/>
  </si>
  <si>
    <t>变动幅度</t>
    <phoneticPr fontId="3" type="noConversion"/>
  </si>
  <si>
    <t>OR04得分情况</t>
    <phoneticPr fontId="3" type="noConversion"/>
  </si>
  <si>
    <t>两季分数差</t>
    <phoneticPr fontId="3" type="noConversion"/>
  </si>
  <si>
    <t>自我评价</t>
    <phoneticPr fontId="3" type="noConversion"/>
  </si>
  <si>
    <t>是</t>
    <phoneticPr fontId="3" type="noConversion"/>
  </si>
  <si>
    <t>不适用</t>
    <phoneticPr fontId="3" type="noConversion"/>
  </si>
  <si>
    <t>直接评分总分</t>
    <phoneticPr fontId="12" type="noConversion"/>
  </si>
  <si>
    <t>行业水平评分总分</t>
    <phoneticPr fontId="12" type="noConversion"/>
  </si>
  <si>
    <t>行业水平扣分</t>
    <phoneticPr fontId="12" type="noConversion"/>
  </si>
  <si>
    <t>行业水平评分总分</t>
    <phoneticPr fontId="3" type="noConversion"/>
  </si>
  <si>
    <t>直接评分扣分</t>
    <phoneticPr fontId="3" type="noConversion"/>
  </si>
  <si>
    <t>行业水平评分扣分</t>
    <phoneticPr fontId="3" type="noConversion"/>
  </si>
  <si>
    <t>数据校验</t>
    <phoneticPr fontId="3" type="noConversion"/>
  </si>
  <si>
    <t>指标说明</t>
    <phoneticPr fontId="3" type="noConversion"/>
  </si>
  <si>
    <t>评分规则</t>
    <phoneticPr fontId="3" type="noConversion"/>
  </si>
  <si>
    <t>分数差</t>
    <phoneticPr fontId="3" type="noConversion"/>
  </si>
  <si>
    <t>操作风险</t>
    <phoneticPr fontId="3" type="noConversion"/>
  </si>
  <si>
    <t>销售、承保、保全业务线</t>
    <phoneticPr fontId="3" type="noConversion"/>
  </si>
  <si>
    <t>1/9</t>
    <phoneticPr fontId="3" type="noConversion"/>
  </si>
  <si>
    <t>1/18</t>
    <phoneticPr fontId="3" type="noConversion"/>
  </si>
  <si>
    <t>1/36</t>
    <phoneticPr fontId="3" type="noConversion"/>
  </si>
  <si>
    <t>理赔业务线</t>
    <phoneticPr fontId="3" type="noConversion"/>
  </si>
  <si>
    <t>财务管理</t>
    <phoneticPr fontId="3" type="noConversion"/>
  </si>
  <si>
    <t>资金运用业务线</t>
    <phoneticPr fontId="3" type="noConversion"/>
  </si>
  <si>
    <t>—</t>
    <phoneticPr fontId="3" type="noConversion"/>
  </si>
  <si>
    <t>合规风险</t>
    <phoneticPr fontId="3" type="noConversion"/>
  </si>
  <si>
    <t>公司治理业务线</t>
    <phoneticPr fontId="3" type="noConversion"/>
  </si>
  <si>
    <t>准备金、再保险管理</t>
    <phoneticPr fontId="3" type="noConversion"/>
  </si>
  <si>
    <t>2/9</t>
    <phoneticPr fontId="3" type="noConversion"/>
  </si>
  <si>
    <t>信息系统</t>
    <phoneticPr fontId="3" type="noConversion"/>
  </si>
  <si>
    <t>案件管理</t>
    <phoneticPr fontId="3" type="noConversion"/>
  </si>
  <si>
    <t>小计</t>
    <phoneticPr fontId="3" type="noConversion"/>
  </si>
  <si>
    <t>≥70</t>
  </si>
  <si>
    <t>100%</t>
    <phoneticPr fontId="3" type="noConversion"/>
  </si>
  <si>
    <t>战略风险</t>
    <phoneticPr fontId="3" type="noConversion"/>
  </si>
  <si>
    <t>声誉风险</t>
    <phoneticPr fontId="3" type="noConversion"/>
  </si>
  <si>
    <t>流动性风险</t>
    <phoneticPr fontId="3" type="noConversion"/>
  </si>
  <si>
    <t>风险综合评级</t>
    <phoneticPr fontId="3" type="noConversion"/>
  </si>
  <si>
    <t>加权</t>
    <phoneticPr fontId="3" type="noConversion"/>
  </si>
  <si>
    <t>占操作风险</t>
    <phoneticPr fontId="3" type="noConversion"/>
  </si>
  <si>
    <t>加权</t>
    <phoneticPr fontId="12" type="noConversion"/>
  </si>
  <si>
    <t>占操作风险</t>
    <phoneticPr fontId="12" type="noConversion"/>
  </si>
  <si>
    <t>加权</t>
    <phoneticPr fontId="12" type="noConversion"/>
  </si>
  <si>
    <t>占操作风险</t>
    <phoneticPr fontId="12" type="noConversion"/>
  </si>
  <si>
    <t>占加权平均</t>
    <phoneticPr fontId="12" type="noConversion"/>
  </si>
  <si>
    <t>加权</t>
    <phoneticPr fontId="3" type="noConversion"/>
  </si>
  <si>
    <t>占操作风险</t>
    <phoneticPr fontId="3" type="noConversion"/>
  </si>
  <si>
    <t>占难以量化</t>
    <phoneticPr fontId="3" type="noConversion"/>
  </si>
  <si>
    <t>加权</t>
    <phoneticPr fontId="3" type="noConversion"/>
  </si>
  <si>
    <t>占操作风险</t>
    <phoneticPr fontId="3" type="noConversion"/>
  </si>
  <si>
    <t>权重!A1</t>
  </si>
  <si>
    <t>扣分</t>
    <phoneticPr fontId="3" type="noConversion"/>
  </si>
  <si>
    <t>得分</t>
    <phoneticPr fontId="3" type="noConversion"/>
  </si>
  <si>
    <t>总分</t>
    <phoneticPr fontId="3" type="noConversion"/>
  </si>
  <si>
    <t>评估项目</t>
    <phoneticPr fontId="3" type="noConversion"/>
  </si>
  <si>
    <t>得分</t>
    <phoneticPr fontId="3" type="noConversion"/>
  </si>
  <si>
    <t>总公司得分</t>
    <phoneticPr fontId="3" type="noConversion"/>
  </si>
  <si>
    <t>分公司得分</t>
    <phoneticPr fontId="3" type="noConversion"/>
  </si>
  <si>
    <t>权重</t>
    <phoneticPr fontId="3" type="noConversion"/>
  </si>
  <si>
    <t>占本类风险的比重</t>
    <phoneticPr fontId="3" type="noConversion"/>
  </si>
  <si>
    <t>占难以量化风险的比重</t>
    <phoneticPr fontId="3" type="noConversion"/>
  </si>
  <si>
    <t>占总风险的比重</t>
    <phoneticPr fontId="3" type="noConversion"/>
  </si>
  <si>
    <t>总公司</t>
    <phoneticPr fontId="3" type="noConversion"/>
  </si>
  <si>
    <t>分公司</t>
    <phoneticPr fontId="3" type="noConversion"/>
  </si>
  <si>
    <t>北京</t>
    <phoneticPr fontId="3" type="noConversion"/>
  </si>
  <si>
    <t>天津</t>
    <phoneticPr fontId="3" type="noConversion"/>
  </si>
  <si>
    <t>辽宁</t>
    <phoneticPr fontId="3" type="noConversion"/>
  </si>
  <si>
    <t>大连</t>
    <phoneticPr fontId="3" type="noConversion"/>
  </si>
  <si>
    <t>江苏</t>
    <phoneticPr fontId="3" type="noConversion"/>
  </si>
  <si>
    <t>山东</t>
    <phoneticPr fontId="3" type="noConversion"/>
  </si>
  <si>
    <t>青岛</t>
    <phoneticPr fontId="3" type="noConversion"/>
  </si>
  <si>
    <t>河南</t>
    <phoneticPr fontId="3" type="noConversion"/>
  </si>
  <si>
    <t>广东</t>
    <phoneticPr fontId="3" type="noConversion"/>
  </si>
  <si>
    <t>四川</t>
    <phoneticPr fontId="3" type="noConversion"/>
  </si>
  <si>
    <t>风险综合评级</t>
    <phoneticPr fontId="3" type="noConversion"/>
  </si>
  <si>
    <t>战略风险</t>
    <phoneticPr fontId="3" type="noConversion"/>
  </si>
  <si>
    <t>声誉风险</t>
    <phoneticPr fontId="3" type="noConversion"/>
  </si>
  <si>
    <t>流动性风险</t>
    <phoneticPr fontId="3" type="noConversion"/>
  </si>
  <si>
    <t>操作风险</t>
    <phoneticPr fontId="3" type="noConversion"/>
  </si>
  <si>
    <t>小计</t>
    <phoneticPr fontId="3" type="noConversion"/>
  </si>
  <si>
    <t>直接确定可得</t>
    <phoneticPr fontId="3" type="noConversion"/>
  </si>
  <si>
    <t>行业水平确定可得</t>
    <phoneticPr fontId="3" type="noConversion"/>
  </si>
  <si>
    <t>行业无法确定</t>
    <phoneticPr fontId="3" type="noConversion"/>
  </si>
  <si>
    <t>监管评分</t>
    <phoneticPr fontId="3" type="noConversion"/>
  </si>
  <si>
    <t>1/9</t>
    <phoneticPr fontId="3" type="noConversion"/>
  </si>
  <si>
    <t>1/18</t>
    <phoneticPr fontId="3" type="noConversion"/>
  </si>
  <si>
    <t>1/36</t>
    <phoneticPr fontId="3" type="noConversion"/>
  </si>
  <si>
    <t>—</t>
    <phoneticPr fontId="3" type="noConversion"/>
  </si>
  <si>
    <t>2/9</t>
    <phoneticPr fontId="3" type="noConversion"/>
  </si>
  <si>
    <t>100%</t>
    <phoneticPr fontId="3" type="noConversion"/>
  </si>
  <si>
    <t>&lt;不适用&gt;</t>
    <phoneticPr fontId="12" type="noConversion"/>
  </si>
  <si>
    <t>直接扣分</t>
    <phoneticPr fontId="3" type="noConversion"/>
  </si>
  <si>
    <t>总公司扣分</t>
    <phoneticPr fontId="3" type="noConversion"/>
  </si>
  <si>
    <t>分公司扣分</t>
    <phoneticPr fontId="3" type="noConversion"/>
  </si>
  <si>
    <t>目录!A1</t>
  </si>
  <si>
    <r>
      <rPr>
        <b/>
        <sz val="11"/>
        <color theme="9"/>
        <rFont val="微软雅黑"/>
        <family val="2"/>
        <charset val="134"/>
      </rPr>
      <t>橙色为扣分：</t>
    </r>
    <r>
      <rPr>
        <b/>
        <sz val="11"/>
        <color rgb="FF00B050"/>
        <rFont val="微软雅黑"/>
        <family val="2"/>
        <charset val="134"/>
      </rPr>
      <t>绿色为扣分改善</t>
    </r>
    <r>
      <rPr>
        <b/>
        <sz val="11"/>
        <rFont val="微软雅黑"/>
        <family val="2"/>
        <charset val="134"/>
      </rPr>
      <t xml:space="preserve"> </t>
    </r>
    <r>
      <rPr>
        <b/>
        <sz val="11"/>
        <color rgb="FFFF0000"/>
        <rFont val="微软雅黑"/>
        <family val="2"/>
        <charset val="134"/>
      </rPr>
      <t>红色为扣分恶化</t>
    </r>
    <r>
      <rPr>
        <b/>
        <sz val="11"/>
        <rFont val="微软雅黑"/>
        <family val="2"/>
        <charset val="134"/>
      </rPr>
      <t/>
    </r>
    <phoneticPr fontId="3" type="noConversion"/>
  </si>
  <si>
    <t>分数差</t>
    <phoneticPr fontId="3" type="noConversion"/>
  </si>
  <si>
    <t>分数差</t>
    <phoneticPr fontId="3" type="noConversion"/>
  </si>
  <si>
    <t>占总</t>
    <phoneticPr fontId="3" type="noConversion"/>
  </si>
  <si>
    <t>目    录</t>
    <phoneticPr fontId="3" type="noConversion"/>
  </si>
  <si>
    <t>-</t>
    <phoneticPr fontId="3" type="noConversion"/>
  </si>
  <si>
    <t>+</t>
    <phoneticPr fontId="3" type="noConversion"/>
  </si>
  <si>
    <t xml:space="preserve">名称 </t>
    <rPh sb="0" eb="1">
      <t>ming'cheng</t>
    </rPh>
    <phoneticPr fontId="3" type="noConversion"/>
  </si>
  <si>
    <t>占总</t>
    <rPh sb="0" eb="1">
      <t>zhan</t>
    </rPh>
    <rPh sb="1" eb="2">
      <t>zongshu'zhi</t>
    </rPh>
    <phoneticPr fontId="3" type="noConversion"/>
  </si>
  <si>
    <t>①</t>
    <phoneticPr fontId="3" type="noConversion"/>
  </si>
  <si>
    <t>②</t>
    <phoneticPr fontId="3" type="noConversion"/>
  </si>
  <si>
    <t>③</t>
    <phoneticPr fontId="3" type="noConversion"/>
  </si>
  <si>
    <t>分数差</t>
    <phoneticPr fontId="3" type="noConversion"/>
  </si>
  <si>
    <t>扣分项</t>
    <phoneticPr fontId="3" type="noConversion"/>
  </si>
  <si>
    <t>评估时点之前12个月违规销售非保险金融产品事件的次数</t>
    <phoneticPr fontId="12" type="noConversion"/>
  </si>
  <si>
    <t>操作风险  直接扣分</t>
    <phoneticPr fontId="3" type="noConversion"/>
  </si>
  <si>
    <t>战略风险  直接扣分</t>
    <phoneticPr fontId="3" type="noConversion"/>
  </si>
  <si>
    <t>流动性风险  直接扣分</t>
    <phoneticPr fontId="3" type="noConversion"/>
  </si>
  <si>
    <t>声誉风险</t>
    <phoneticPr fontId="3" type="noConversion"/>
  </si>
  <si>
    <t>最近4个季度，监管部门发现公司存在费用管理操作风险事件的，每项次扣3分；公司自查发现公司存在费用管理操作风险事件的，每项次扣0.5分，扣完12分为止。</t>
    <phoneticPr fontId="3" type="noConversion"/>
  </si>
  <si>
    <t>最近4个季度监管部门发现资金管理类操作风险事件次数</t>
    <phoneticPr fontId="3" type="noConversion"/>
  </si>
  <si>
    <t>总公司财务部</t>
    <phoneticPr fontId="12" type="noConversion"/>
  </si>
  <si>
    <t>010-59235771</t>
  </si>
  <si>
    <t>保险公司流动性风险评价标准</t>
    <phoneticPr fontId="3" type="noConversion"/>
  </si>
  <si>
    <t>中介协议签订率=100%，得1分；否则，得0分。</t>
    <phoneticPr fontId="49" type="noConversion"/>
  </si>
  <si>
    <t>赵玉梅诉辽宁琛德保险代理有限公司理赔纠纷案件过期</t>
    <phoneticPr fontId="12" type="noConversion"/>
  </si>
  <si>
    <t>最近4个季度投连险独立账户本年新增交费</t>
    <phoneticPr fontId="3" type="noConversion"/>
  </si>
  <si>
    <t>财务部门人员流失率＝最近4个季度内省公司及以下分支机构离职的财会人员数量÷（前4个季度初省公司及以下分支机构的财会人员数量+最近4个季度省公司及以下分支机构增加的财会人员数量）×100％
离职指员工与公司终止劳动关系。</t>
    <phoneticPr fontId="3" type="noConversion"/>
  </si>
  <si>
    <t>四川</t>
    <phoneticPr fontId="3" type="noConversion"/>
  </si>
  <si>
    <t>郑广荣</t>
  </si>
  <si>
    <t>020-62160199-8096</t>
  </si>
  <si>
    <t>020-62160010</t>
  </si>
  <si>
    <t>GZ.Deming_Sun@hengansl.com</t>
  </si>
  <si>
    <t>广东省广州市华夏路13号南岳大厦502房之一</t>
    <phoneticPr fontId="12" type="noConversion"/>
  </si>
  <si>
    <t>000056440000</t>
    <phoneticPr fontId="12" type="noConversion"/>
  </si>
  <si>
    <t>销售人员管理操作风险事件指公司存在销售人员侵占或挪用客户资金，截留保费，参与非法集资，违规销售非保险金融产品等情形。</t>
    <phoneticPr fontId="3" type="noConversion"/>
  </si>
  <si>
    <t>最近4个季度公司自查发现展业操作风险事件次数</t>
    <phoneticPr fontId="3" type="noConversion"/>
  </si>
  <si>
    <t>最近4个季度公司因反洗钱工作被监管部门下发监管函的次数</t>
    <phoneticPr fontId="3" type="noConversion"/>
  </si>
  <si>
    <t>最近4个季度公司自查发现承保管理操作风险事件次数</t>
    <phoneticPr fontId="3" type="noConversion"/>
  </si>
  <si>
    <t>最近4个季度公司自查发现保全管理操作风险事件的次数</t>
    <phoneticPr fontId="3" type="noConversion"/>
  </si>
  <si>
    <t>评估期期末省级分公司及中心支公司理赔部门负责人人数</t>
    <phoneticPr fontId="3" type="noConversion"/>
  </si>
  <si>
    <t>评估期期末省级分公司及中心支公司理赔部门负责人具有保险理赔工作5年以上相关从业经验人数</t>
    <phoneticPr fontId="3" type="noConversion"/>
  </si>
  <si>
    <t>理赔服务时效</t>
    <phoneticPr fontId="3" type="noConversion"/>
  </si>
  <si>
    <t>财会部门人员流失率</t>
    <phoneticPr fontId="3" type="noConversion"/>
  </si>
  <si>
    <t>银行账户集中管理</t>
    <phoneticPr fontId="3" type="noConversion"/>
  </si>
  <si>
    <t>空白单证缺失率</t>
    <phoneticPr fontId="3" type="noConversion"/>
  </si>
  <si>
    <t>评估期内公司对销售人员实施内部责任追究的人次</t>
    <phoneticPr fontId="12" type="noConversion"/>
  </si>
  <si>
    <r>
      <rPr>
        <b/>
        <sz val="11"/>
        <color rgb="FF00B050"/>
        <rFont val="宋体"/>
        <family val="3"/>
        <charset val="134"/>
        <scheme val="minor"/>
      </rPr>
      <t>绿色比上一季度好转</t>
    </r>
    <r>
      <rPr>
        <b/>
        <sz val="11"/>
        <color theme="1"/>
        <rFont val="宋体"/>
        <family val="3"/>
        <charset val="134"/>
        <scheme val="minor"/>
      </rPr>
      <t>，</t>
    </r>
    <r>
      <rPr>
        <b/>
        <sz val="11"/>
        <color theme="9"/>
        <rFont val="宋体"/>
        <family val="3"/>
        <charset val="134"/>
        <scheme val="minor"/>
      </rPr>
      <t>橙色比上一季度恶化</t>
    </r>
    <phoneticPr fontId="3" type="noConversion"/>
  </si>
  <si>
    <t>最近4个季度监管部门发现费用管理操作风险事件次数</t>
    <phoneticPr fontId="3" type="noConversion"/>
  </si>
  <si>
    <t>电话回访成功率</t>
    <phoneticPr fontId="12" type="noConversion"/>
  </si>
  <si>
    <t>客户信息真实性比例</t>
    <phoneticPr fontId="12" type="noConversion"/>
  </si>
  <si>
    <t>评估期公司审核发现存在客户信息缺失、虚假问题的保单件数</t>
    <phoneticPr fontId="12" type="noConversion"/>
  </si>
  <si>
    <t>评估期公司开展客户信息真实性审核的保单件数</t>
    <phoneticPr fontId="12" type="noConversion"/>
  </si>
  <si>
    <t>具有3年以上理赔工作经验的人员占比</t>
    <phoneticPr fontId="3" type="noConversion"/>
  </si>
  <si>
    <t>从事保全工作时间5年以上的人员和从事保全工作时间1年以下的人员合计占全部保全工作人员比例</t>
    <phoneticPr fontId="3" type="noConversion"/>
  </si>
  <si>
    <t>索赔核定平均时长</t>
    <phoneticPr fontId="3" type="noConversion"/>
  </si>
  <si>
    <t>赔款支付平均时长</t>
    <phoneticPr fontId="3" type="noConversion"/>
  </si>
  <si>
    <t>保全处理平均时长</t>
    <phoneticPr fontId="3" type="noConversion"/>
  </si>
  <si>
    <t>投诉处理平均时长</t>
    <phoneticPr fontId="3" type="noConversion"/>
  </si>
  <si>
    <t>评估时点之前12个月保险公司接到的关于理赔、保全业务线的诉讼败诉件数</t>
    <phoneticPr fontId="3" type="noConversion"/>
  </si>
  <si>
    <t>财会部门主要负责人专业性</t>
    <phoneticPr fontId="12" type="noConversion"/>
  </si>
  <si>
    <t>最近4个季度资金管理操作风险事件次数</t>
    <phoneticPr fontId="12" type="noConversion"/>
  </si>
  <si>
    <t>最近4个季度内空白单证发放的数量</t>
    <phoneticPr fontId="12" type="noConversion"/>
  </si>
  <si>
    <t>电话回访成功率=评估期电话回访成功的保单件数/评估期开展电话回访的保单件数。
（1）评估期为评估时点之前的3个月。
（2）评估期电话回访成功的保单件数是指在评估期内通过电话回访方式在犹豫期内完成新契约回访的保单件数。回访成功的认定标准是在犹豫期内电话联系到投保人，并将回访需要告知和询问的内容全部完成。
（3）评估期开展电话的回访保单件数是指评估期内进行了新契约电话回访的保单件数。</t>
    <phoneticPr fontId="12" type="noConversion"/>
  </si>
  <si>
    <t>3|其他</t>
    <phoneticPr fontId="12" type="noConversion"/>
  </si>
  <si>
    <t>空白单证缺失率</t>
    <phoneticPr fontId="12" type="noConversion"/>
  </si>
  <si>
    <t>总精算师变更次数</t>
    <phoneticPr fontId="3" type="noConversion"/>
  </si>
  <si>
    <t>检查发现再保险业务数据出现差错次数</t>
    <phoneticPr fontId="3" type="noConversion"/>
  </si>
  <si>
    <t>员工流失率</t>
    <phoneticPr fontId="3" type="noConversion"/>
  </si>
  <si>
    <t>代理制销售人员13个月留存率</t>
    <phoneticPr fontId="3" type="noConversion"/>
  </si>
  <si>
    <t>新契约回访完成率</t>
    <phoneticPr fontId="3" type="noConversion"/>
  </si>
  <si>
    <t xml:space="preserve"> 95%≤新契约回访完成率≤100%，得2分；90%≤新契约回访完成率&lt;95%，得1分；新契约回访完成率&lt;90% ，得0分。 </t>
    <phoneticPr fontId="3" type="noConversion"/>
  </si>
  <si>
    <t>续期收费率</t>
    <phoneticPr fontId="3" type="noConversion"/>
  </si>
  <si>
    <t>退（撤）保率</t>
    <phoneticPr fontId="3" type="noConversion"/>
  </si>
  <si>
    <t>理赔部门人员流失率</t>
    <phoneticPr fontId="3" type="noConversion"/>
  </si>
  <si>
    <t>评估期末理赔工作人员中具有3年以上理赔工作经验的人员占比。</t>
    <phoneticPr fontId="3" type="noConversion"/>
  </si>
  <si>
    <t>设行业平均水平为θ，评分为：
x&lt;0.85∙θ，4分；
0.85∙θ≤x&lt;1.25∙θ，6分；
1.25∙θ≤x&lt;1.5∙θ，8分；
1.5∙θ≤x，10分。</t>
    <phoneticPr fontId="3" type="noConversion"/>
  </si>
  <si>
    <t>财会部门人员流失率</t>
    <phoneticPr fontId="12" type="noConversion"/>
  </si>
  <si>
    <t>财会部门人员流失率小于或等于20％的，得2分；超过20％的，得0分。</t>
    <phoneticPr fontId="3" type="noConversion"/>
  </si>
  <si>
    <t>员工培训频率</t>
    <phoneticPr fontId="12" type="noConversion"/>
  </si>
  <si>
    <t>数据差错率</t>
    <phoneticPr fontId="12" type="noConversion"/>
  </si>
  <si>
    <t>最近4个季度内差错率少于1/10000的，得3分；否则，得0分。</t>
    <phoneticPr fontId="12" type="noConversion"/>
  </si>
  <si>
    <t>员工培训频率</t>
    <phoneticPr fontId="3" type="noConversion"/>
  </si>
  <si>
    <t>非寿险业务估损代数偏差率</t>
    <phoneticPr fontId="3" type="noConversion"/>
  </si>
  <si>
    <t>非寿险业务估损代数偏差率≤20%，得4分；非寿险业务估损代数偏差率＞20%，得0分。</t>
    <phoneticPr fontId="3" type="noConversion"/>
  </si>
  <si>
    <t>保险公司投诉占比=(评估期保险公司关于承保、销售业务线的投诉次数/评估期全行业关于承保、销售业务线的投诉总数)⁄(评估期公司规模保费/评估期行业规模保费)。
（1）评估期为评估时点之前的3个月。
（2）规模保费是指会计准则2号解释实施前业务口径下的规模保费。</t>
    <phoneticPr fontId="12" type="noConversion"/>
  </si>
  <si>
    <t>表格</t>
    <phoneticPr fontId="3" type="noConversion"/>
  </si>
  <si>
    <t>指标</t>
    <phoneticPr fontId="3" type="noConversion"/>
  </si>
  <si>
    <t>权重分配</t>
    <phoneticPr fontId="3" type="noConversion"/>
  </si>
  <si>
    <t>分值</t>
    <phoneticPr fontId="3" type="noConversion"/>
  </si>
  <si>
    <t>部门负责人具有5年以上保险相关从业经验的占比</t>
    <phoneticPr fontId="3" type="noConversion"/>
  </si>
  <si>
    <t>员工流失率</t>
  </si>
  <si>
    <t>部门负责人培训次数</t>
  </si>
  <si>
    <t>业绩考核</t>
    <phoneticPr fontId="3" type="noConversion"/>
  </si>
  <si>
    <t>中介协议签订率</t>
    <phoneticPr fontId="49" type="noConversion"/>
  </si>
  <si>
    <t>销售人员协议签订率</t>
    <phoneticPr fontId="49" type="noConversion"/>
  </si>
  <si>
    <t>千张保单投诉量</t>
    <phoneticPr fontId="49" type="noConversion"/>
  </si>
  <si>
    <t>代理制销售人员13个月留存率</t>
  </si>
  <si>
    <t>承保标的风险评估</t>
    <phoneticPr fontId="3" type="noConversion"/>
  </si>
  <si>
    <t>犹豫期内电话回访成功率</t>
    <phoneticPr fontId="49" type="noConversion"/>
  </si>
  <si>
    <t>新契约回访完成率</t>
    <phoneticPr fontId="49" type="noConversion"/>
  </si>
  <si>
    <t>最近4个季度公司自查发现承保管理操作风险事件次数</t>
    <phoneticPr fontId="49" type="noConversion"/>
  </si>
  <si>
    <t>续期收费率</t>
    <phoneticPr fontId="49" type="noConversion"/>
  </si>
  <si>
    <t>退（撤）保率</t>
    <phoneticPr fontId="49" type="noConversion"/>
  </si>
  <si>
    <t>保单失效率</t>
    <phoneticPr fontId="49" type="noConversion"/>
  </si>
  <si>
    <t>保全差错率</t>
    <phoneticPr fontId="49" type="noConversion"/>
  </si>
  <si>
    <t>保单质押贷款支付方式</t>
    <phoneticPr fontId="49" type="noConversion"/>
  </si>
  <si>
    <t>最近4个季度公司自查发现保全管理操作风险事件的次数</t>
    <phoneticPr fontId="49" type="noConversion"/>
  </si>
  <si>
    <t>重大操作风险事件调整（扣分项）</t>
    <phoneticPr fontId="49" type="noConversion"/>
  </si>
  <si>
    <t>账号管理安全</t>
    <phoneticPr fontId="49" type="noConversion"/>
  </si>
  <si>
    <t>佣金系统计提</t>
    <phoneticPr fontId="49" type="noConversion"/>
  </si>
  <si>
    <t>亿元保费销售、承保、保全操作风险事件数</t>
    <phoneticPr fontId="3" type="noConversion"/>
  </si>
  <si>
    <t>OR08-分公司理赔</t>
  </si>
  <si>
    <t>理赔部门负责人具有5年以上相关从业经验的占比</t>
  </si>
  <si>
    <t>理赔部门人员流失率</t>
  </si>
  <si>
    <t>理赔服务时效</t>
    <phoneticPr fontId="3" type="noConversion"/>
  </si>
  <si>
    <t>非寿险业务估损代数偏差率</t>
  </si>
  <si>
    <t>理赔档案管理</t>
  </si>
  <si>
    <t>GD</t>
    <phoneticPr fontId="3" type="noConversion"/>
  </si>
  <si>
    <t>账号管理安全</t>
  </si>
  <si>
    <t>系统对接</t>
  </si>
  <si>
    <t>亿元保费理赔操作风险事件数</t>
  </si>
  <si>
    <t>OR13-分公司财务管理</t>
  </si>
  <si>
    <t>省级分公司财会部门负责人从业经验</t>
    <phoneticPr fontId="3" type="noConversion"/>
  </si>
  <si>
    <t>财会部门人员流失率</t>
  </si>
  <si>
    <t>会计证持证率</t>
    <phoneticPr fontId="3" type="noConversion"/>
  </si>
  <si>
    <t>员工培训频率</t>
    <phoneticPr fontId="3" type="noConversion"/>
  </si>
  <si>
    <t>财务报告差错量</t>
  </si>
  <si>
    <t>财务核算操作风险事件</t>
  </si>
  <si>
    <t>最近4个季度公司自查发现资金业务操作风险事件次数</t>
    <phoneticPr fontId="3" type="noConversion"/>
  </si>
  <si>
    <t>费用预算执行情况</t>
    <phoneticPr fontId="3" type="noConversion"/>
  </si>
  <si>
    <t>最近4个季度公司自查发现费用管理操作风险事件次数</t>
    <phoneticPr fontId="3" type="noConversion"/>
  </si>
  <si>
    <t>空白单证缺失率</t>
  </si>
  <si>
    <t>最近4个季度税收操作风险事件次数</t>
    <phoneticPr fontId="3" type="noConversion"/>
  </si>
  <si>
    <t>重大操作风险事件调整（扣分项）</t>
    <phoneticPr fontId="49" type="noConversion"/>
  </si>
  <si>
    <t>亿元保费财务操作风险事件数</t>
    <phoneticPr fontId="3" type="noConversion"/>
  </si>
  <si>
    <t>加权评分</t>
    <phoneticPr fontId="3" type="noConversion"/>
  </si>
  <si>
    <t>得分</t>
    <phoneticPr fontId="3" type="noConversion"/>
  </si>
  <si>
    <t>基于声誉风险的调整</t>
    <phoneticPr fontId="3" type="noConversion"/>
  </si>
  <si>
    <t>基于战略风险的调整</t>
    <phoneticPr fontId="3" type="noConversion"/>
  </si>
  <si>
    <t>基于流动性风险的调整</t>
    <phoneticPr fontId="3" type="noConversion"/>
  </si>
  <si>
    <t>绩效得分</t>
    <phoneticPr fontId="3" type="noConversion"/>
  </si>
  <si>
    <t>IRR指标得分</t>
    <phoneticPr fontId="3" type="noConversion"/>
  </si>
  <si>
    <t>非主动指标不扣分</t>
    <phoneticPr fontId="3" type="noConversion"/>
  </si>
  <si>
    <t>IRR指标得分</t>
    <phoneticPr fontId="3" type="noConversion"/>
  </si>
  <si>
    <t>指标类型</t>
    <phoneticPr fontId="3" type="noConversion"/>
  </si>
  <si>
    <t>IRR指标</t>
    <phoneticPr fontId="3" type="noConversion"/>
  </si>
  <si>
    <t>IRR指标</t>
    <phoneticPr fontId="3" type="noConversion"/>
  </si>
  <si>
    <t>行业水平</t>
    <phoneticPr fontId="3" type="noConversion"/>
  </si>
  <si>
    <t>IRR指标得分-扣分项</t>
    <phoneticPr fontId="3" type="noConversion"/>
  </si>
  <si>
    <t>行业排序-分公司排序</t>
    <phoneticPr fontId="3" type="noConversion"/>
  </si>
  <si>
    <t>最近4个季度部门负责人培训次数</t>
    <phoneticPr fontId="3" type="noConversion"/>
  </si>
  <si>
    <t>最近4个季度部门负责人培训次数</t>
    <phoneticPr fontId="3" type="noConversion"/>
  </si>
  <si>
    <t>BJ</t>
    <phoneticPr fontId="3" type="noConversion"/>
  </si>
  <si>
    <t>TJ</t>
    <phoneticPr fontId="3" type="noConversion"/>
  </si>
  <si>
    <t>LN</t>
    <phoneticPr fontId="3" type="noConversion"/>
  </si>
  <si>
    <t>DL</t>
    <phoneticPr fontId="3" type="noConversion"/>
  </si>
  <si>
    <t>SD</t>
    <phoneticPr fontId="3" type="noConversion"/>
  </si>
  <si>
    <t>QD</t>
    <phoneticPr fontId="3" type="noConversion"/>
  </si>
  <si>
    <t>JS</t>
    <phoneticPr fontId="3" type="noConversion"/>
  </si>
  <si>
    <t>HN</t>
    <phoneticPr fontId="3" type="noConversion"/>
  </si>
  <si>
    <t>SC</t>
    <phoneticPr fontId="3" type="noConversion"/>
  </si>
  <si>
    <t>Q2理赔平均值</t>
  </si>
  <si>
    <t>IRR指标得分-扣分项</t>
    <phoneticPr fontId="3" type="noConversion"/>
  </si>
  <si>
    <t>OR04-分公司销售、承保、保全</t>
    <phoneticPr fontId="3" type="noConversion"/>
  </si>
  <si>
    <t>行业水平指标</t>
    <phoneticPr fontId="3" type="noConversion"/>
  </si>
  <si>
    <t>评估时点之前12个月发现私印宣传、培训材料事件的次数</t>
    <phoneticPr fontId="12" type="noConversion"/>
  </si>
  <si>
    <t>评估时点之前12个月发现产品说明会销售误导事件的次数</t>
    <phoneticPr fontId="12" type="noConversion"/>
  </si>
  <si>
    <t>评估时点之前12个月发现组织参与非法集资事件的次数</t>
    <phoneticPr fontId="12" type="noConversion"/>
  </si>
  <si>
    <t>评估时点之前12个月发现组织参与非法集资事件的次数</t>
    <phoneticPr fontId="3" type="noConversion"/>
  </si>
  <si>
    <t>评估时点之前12个月发现通过盗用、伪造印鉴和保单进行诈骗的次数</t>
    <phoneticPr fontId="12" type="noConversion"/>
  </si>
  <si>
    <t>评估时点之前12个月发现侵占、挪用保费事件的次数</t>
    <phoneticPr fontId="12" type="noConversion"/>
  </si>
  <si>
    <t>评估时点之前12个月发现侵占、挪用保费事件的次数</t>
    <phoneticPr fontId="3" type="noConversion"/>
  </si>
  <si>
    <t>注：橘色填充为手动填写指标，其余指标为自动生成。</t>
    <phoneticPr fontId="3" type="noConversion"/>
  </si>
  <si>
    <t>OR10-资金运用</t>
    <phoneticPr fontId="3" type="noConversion"/>
  </si>
  <si>
    <t>最近4个季度估值核算操作风险事件次数</t>
    <phoneticPr fontId="3" type="noConversion"/>
  </si>
  <si>
    <t>最近4个季度内未发生估值核算操作风险事件的，得5分；最近4个季度内发生1次以上、3次以内估值核算操作风险事件的，得3分；最近4个季度内发生的估值核算操作风险事件次数超过3次的，得0分。</t>
    <phoneticPr fontId="3" type="noConversion"/>
  </si>
  <si>
    <t>估值与核算操作风险事件包括估值核算过程中错误计价、估值差错、模型或系统误操作、错误调整金融资产会计分类等风险事件，具体事件分类不重复计算。</t>
    <phoneticPr fontId="3" type="noConversion"/>
  </si>
  <si>
    <t>指标</t>
    <phoneticPr fontId="3" type="noConversion"/>
  </si>
  <si>
    <t>会计运营部</t>
    <phoneticPr fontId="3" type="noConversion"/>
  </si>
  <si>
    <t>精算部</t>
    <phoneticPr fontId="3" type="noConversion"/>
  </si>
  <si>
    <t>保险公司自行投资的，业绩考核</t>
  </si>
  <si>
    <t>保险公司委托投资的，业绩考核</t>
  </si>
  <si>
    <t>表格</t>
    <phoneticPr fontId="3" type="noConversion"/>
  </si>
  <si>
    <t>权重分配</t>
    <phoneticPr fontId="3" type="noConversion"/>
  </si>
  <si>
    <t>精算部</t>
    <phoneticPr fontId="3" type="noConversion"/>
  </si>
  <si>
    <t>OR15-准备金再保险</t>
    <phoneticPr fontId="3" type="noConversion"/>
  </si>
  <si>
    <t>投资部</t>
    <phoneticPr fontId="3" type="noConversion"/>
  </si>
  <si>
    <t>财务管理部</t>
    <phoneticPr fontId="3" type="noConversion"/>
  </si>
  <si>
    <t>IT</t>
    <phoneticPr fontId="3" type="noConversion"/>
  </si>
  <si>
    <t>OR04-分公司销售、承保、保全</t>
    <phoneticPr fontId="3" type="noConversion"/>
  </si>
  <si>
    <t>公司自查发现账号管理安全事件的次数</t>
    <phoneticPr fontId="3" type="noConversion"/>
  </si>
  <si>
    <t>OR02-总公司销售、承保</t>
    <phoneticPr fontId="3" type="noConversion"/>
  </si>
  <si>
    <t>OR13-分公司财务管理</t>
    <phoneticPr fontId="3" type="noConversion"/>
  </si>
  <si>
    <t>省级分公司财会部门负责人从业经验</t>
  </si>
  <si>
    <t>会计证持证率</t>
  </si>
  <si>
    <t>非寿险业务非正常应收保费比例</t>
  </si>
  <si>
    <t>最近4个季度公司自查发现单证印章管理操作风险事件次数</t>
  </si>
  <si>
    <t>重大操作风险事件调整（扣分项）</t>
  </si>
  <si>
    <t>亿元保费财务操作风险事件数</t>
  </si>
  <si>
    <t>出现错报、漏报、未按时报送等差错的次数</t>
    <phoneticPr fontId="3" type="noConversion"/>
  </si>
  <si>
    <t>OR12-总公司财务管理</t>
    <phoneticPr fontId="3" type="noConversion"/>
  </si>
  <si>
    <t>财务处理是否由集团共享中心集中操作或者外包给集团内其他公司</t>
    <phoneticPr fontId="12" type="noConversion"/>
  </si>
  <si>
    <t xml:space="preserve">符合专业性要求的得6分，否则得0分；
保险公司有多个部门负责财会工作的，所有的部门主要负责人符合专业性要求得6分，否则得0分。
</t>
    <phoneticPr fontId="12" type="noConversion"/>
  </si>
  <si>
    <t>加权得分</t>
    <phoneticPr fontId="3" type="noConversion"/>
  </si>
  <si>
    <t>改动B2标题即可</t>
    <phoneticPr fontId="12" type="noConversion"/>
  </si>
  <si>
    <t>客服</t>
  </si>
  <si>
    <t>续期</t>
  </si>
  <si>
    <t>个险</t>
  </si>
  <si>
    <t>团险</t>
  </si>
  <si>
    <t>银保</t>
  </si>
  <si>
    <t>多元</t>
  </si>
  <si>
    <t>OR04-分公司销售、承保、保全</t>
    <phoneticPr fontId="3" type="noConversion"/>
  </si>
  <si>
    <t>部门负责人具有5年以上保险相关从业经验的占比</t>
    <phoneticPr fontId="3" type="noConversion"/>
  </si>
  <si>
    <t>千张保单投诉量</t>
  </si>
  <si>
    <t>承保标的风险评估情况</t>
  </si>
  <si>
    <t>新契约回访完成率</t>
    <phoneticPr fontId="3" type="noConversion"/>
  </si>
  <si>
    <t>亿元保费销售、承保、保全操作风险事件数</t>
    <phoneticPr fontId="3" type="noConversion"/>
  </si>
  <si>
    <t>重大操作风险事件的次数调整（扣分项）</t>
    <phoneticPr fontId="3" type="noConversion"/>
  </si>
  <si>
    <t>保单失效率</t>
    <phoneticPr fontId="3" type="noConversion"/>
  </si>
  <si>
    <t>佣金系统计提情况</t>
    <phoneticPr fontId="3" type="noConversion"/>
  </si>
  <si>
    <t>中介协议签订率</t>
    <phoneticPr fontId="3" type="noConversion"/>
  </si>
  <si>
    <t>OR06-总公司理赔、保全</t>
    <phoneticPr fontId="3" type="noConversion"/>
  </si>
  <si>
    <t>具有3年以上理赔工作经验的人员占比</t>
  </si>
  <si>
    <t>从事保全工作时间5年以上的人员和从事保全工作时间1年以下的人员合计占全部保全工作人员比例</t>
  </si>
  <si>
    <t>索赔核定平均时长</t>
  </si>
  <si>
    <t>赔款支付平均时长</t>
  </si>
  <si>
    <t>保全处理平均时长</t>
  </si>
  <si>
    <t>投诉处理平均时长</t>
  </si>
  <si>
    <t>理赔、保全业务引发的群体性事件</t>
  </si>
  <si>
    <t>评估期内公司对销售人员实施内部责任追究的人次</t>
    <phoneticPr fontId="3" type="noConversion"/>
  </si>
  <si>
    <t>客户信息真实性比例</t>
  </si>
  <si>
    <t>评估时点之前12个月发现私印宣传、培训材料事件的次数</t>
    <phoneticPr fontId="3" type="noConversion"/>
  </si>
  <si>
    <t>OR02-总公司销售、承保</t>
    <phoneticPr fontId="3" type="noConversion"/>
  </si>
  <si>
    <t>理赔服务时效</t>
  </si>
  <si>
    <t>最近4个季度公司自查发现理赔管理操作风险事件的次数</t>
  </si>
  <si>
    <t>最近4个季度公司发生业内欺诈案件的次数</t>
  </si>
  <si>
    <t>亿元保费理赔操作风险事件数</t>
    <phoneticPr fontId="3" type="noConversion"/>
  </si>
  <si>
    <t>OR08-分公司理赔</t>
    <phoneticPr fontId="3" type="noConversion"/>
  </si>
  <si>
    <t>非现金收款比率</t>
    <phoneticPr fontId="3" type="noConversion"/>
  </si>
  <si>
    <t>空白单证缺失率</t>
    <phoneticPr fontId="3" type="noConversion"/>
  </si>
  <si>
    <t>亿元保费财务操作风险事件数</t>
    <phoneticPr fontId="3" type="noConversion"/>
  </si>
  <si>
    <t>OR13-分公司财务管理</t>
    <phoneticPr fontId="3" type="noConversion"/>
  </si>
  <si>
    <t>空白单证缺失率</t>
    <phoneticPr fontId="3" type="noConversion"/>
  </si>
  <si>
    <t>电话回访成功率</t>
    <phoneticPr fontId="3" type="noConversion"/>
  </si>
  <si>
    <t>评估时点之前12个月违规销售非保险金融产品事件的次数</t>
    <phoneticPr fontId="3" type="noConversion"/>
  </si>
  <si>
    <t xml:space="preserve">KRI指标 </t>
    <phoneticPr fontId="3" type="noConversion"/>
  </si>
  <si>
    <t>客服建议</t>
    <phoneticPr fontId="3" type="noConversion"/>
  </si>
  <si>
    <t>亿元保费理赔操作风险事件数=（理赔管理操作风险事件数+反欺诈操作风险事件数）/（评估期内原保费收入+评估期内保户投资款本年新增交费+评估期内投连险独立账户本年新增交费）（亿元）</t>
    <phoneticPr fontId="3" type="noConversion"/>
  </si>
  <si>
    <t>个险</t>
    <phoneticPr fontId="3" type="noConversion"/>
  </si>
  <si>
    <t>团险</t>
    <phoneticPr fontId="3" type="noConversion"/>
  </si>
  <si>
    <t>备注</t>
    <phoneticPr fontId="3" type="noConversion"/>
  </si>
  <si>
    <t>行业水平</t>
    <phoneticPr fontId="3" type="noConversion"/>
  </si>
  <si>
    <t>非主动指标不扣分</t>
    <phoneticPr fontId="3" type="noConversion"/>
  </si>
  <si>
    <t>IRR指标</t>
    <phoneticPr fontId="3" type="noConversion"/>
  </si>
  <si>
    <t>犹豫期内电话回访成功率</t>
    <phoneticPr fontId="3" type="noConversion"/>
  </si>
  <si>
    <t>续期收费率≥90%,得3分；80%≤续期收费率&lt;90%,得1.5分;续期收费率&lt;80%,得0分。</t>
    <phoneticPr fontId="3" type="noConversion"/>
  </si>
  <si>
    <t>离职率</t>
    <phoneticPr fontId="12" type="noConversion"/>
  </si>
  <si>
    <t>得分</t>
    <phoneticPr fontId="12" type="noConversion"/>
  </si>
  <si>
    <t>客服</t>
    <phoneticPr fontId="12" type="noConversion"/>
  </si>
  <si>
    <t>北京</t>
    <phoneticPr fontId="12" type="noConversion"/>
  </si>
  <si>
    <t>个险</t>
    <phoneticPr fontId="12" type="noConversion"/>
  </si>
  <si>
    <t>团险</t>
    <phoneticPr fontId="12" type="noConversion"/>
  </si>
  <si>
    <t>银保</t>
    <phoneticPr fontId="12" type="noConversion"/>
  </si>
  <si>
    <t>多元</t>
    <phoneticPr fontId="12" type="noConversion"/>
  </si>
  <si>
    <t>续期</t>
    <phoneticPr fontId="12" type="noConversion"/>
  </si>
  <si>
    <t>天津</t>
    <phoneticPr fontId="12" type="noConversion"/>
  </si>
  <si>
    <t>个险</t>
    <phoneticPr fontId="12" type="noConversion"/>
  </si>
  <si>
    <t>团险</t>
    <phoneticPr fontId="12" type="noConversion"/>
  </si>
  <si>
    <t>银保</t>
    <phoneticPr fontId="12" type="noConversion"/>
  </si>
  <si>
    <t>多元</t>
    <phoneticPr fontId="12" type="noConversion"/>
  </si>
  <si>
    <t>续期</t>
    <phoneticPr fontId="12" type="noConversion"/>
  </si>
  <si>
    <t>辽宁</t>
    <phoneticPr fontId="12" type="noConversion"/>
  </si>
  <si>
    <t>客服</t>
    <phoneticPr fontId="12" type="noConversion"/>
  </si>
  <si>
    <t>大连</t>
    <phoneticPr fontId="12" type="noConversion"/>
  </si>
  <si>
    <t>江苏</t>
    <phoneticPr fontId="12" type="noConversion"/>
  </si>
  <si>
    <t>山东</t>
    <phoneticPr fontId="12" type="noConversion"/>
  </si>
  <si>
    <t>青岛</t>
    <phoneticPr fontId="12" type="noConversion"/>
  </si>
  <si>
    <t>河南</t>
    <phoneticPr fontId="12" type="noConversion"/>
  </si>
  <si>
    <t>广东</t>
    <phoneticPr fontId="3" type="noConversion"/>
  </si>
  <si>
    <t>四川</t>
    <phoneticPr fontId="12" type="noConversion"/>
  </si>
  <si>
    <t>个险</t>
    <phoneticPr fontId="12" type="noConversion"/>
  </si>
  <si>
    <t>北京</t>
    <phoneticPr fontId="12" type="noConversion"/>
  </si>
  <si>
    <t>团险</t>
    <phoneticPr fontId="12" type="noConversion"/>
  </si>
  <si>
    <t>银保</t>
    <phoneticPr fontId="12" type="noConversion"/>
  </si>
  <si>
    <t>多元</t>
    <phoneticPr fontId="12" type="noConversion"/>
  </si>
  <si>
    <t>续期</t>
    <phoneticPr fontId="12" type="noConversion"/>
  </si>
  <si>
    <t>天津</t>
    <phoneticPr fontId="12" type="noConversion"/>
  </si>
  <si>
    <t>辽宁</t>
    <phoneticPr fontId="12" type="noConversion"/>
  </si>
  <si>
    <t>大连</t>
    <phoneticPr fontId="12" type="noConversion"/>
  </si>
  <si>
    <t>江苏</t>
    <phoneticPr fontId="12" type="noConversion"/>
  </si>
  <si>
    <t>山东</t>
    <phoneticPr fontId="12" type="noConversion"/>
  </si>
  <si>
    <t>青岛</t>
    <phoneticPr fontId="12" type="noConversion"/>
  </si>
  <si>
    <t>河南</t>
    <phoneticPr fontId="12" type="noConversion"/>
  </si>
  <si>
    <t>广东</t>
    <phoneticPr fontId="3" type="noConversion"/>
  </si>
  <si>
    <t>四川</t>
    <phoneticPr fontId="12" type="noConversion"/>
  </si>
  <si>
    <t>平均值项:得分</t>
  </si>
  <si>
    <t>平均值项:新契约回访完成率</t>
  </si>
  <si>
    <t>平均值项:离职率</t>
  </si>
  <si>
    <t>行标签</t>
  </si>
  <si>
    <t>平均值项:犹豫期内电话回访成功率</t>
  </si>
  <si>
    <t>收展</t>
  </si>
  <si>
    <t>值</t>
  </si>
  <si>
    <t>平均值项:保费继续率</t>
  </si>
  <si>
    <t>非主动指标</t>
    <phoneticPr fontId="3" type="noConversion"/>
  </si>
  <si>
    <t xml:space="preserve">1.将客服反馈的分公司数据，粘贴复制（勾选转置）粘贴进表格中   </t>
    <phoneticPr fontId="3" type="noConversion"/>
  </si>
  <si>
    <t xml:space="preserve">2.删除无效值 </t>
  </si>
  <si>
    <t>3.刷洗数据透视表</t>
    <phoneticPr fontId="3" type="noConversion"/>
  </si>
  <si>
    <t xml:space="preserve">1.将HR反馈的分公司数据，粘贴复制（勾选转置）粘贴进表格中   </t>
    <phoneticPr fontId="3" type="noConversion"/>
  </si>
  <si>
    <t xml:space="preserve">2.删除无效值 </t>
    <phoneticPr fontId="3" type="noConversion"/>
  </si>
  <si>
    <t xml:space="preserve">1.将续期反馈的分公司数据，粘贴复制（勾选转置）粘贴进表格中   </t>
    <phoneticPr fontId="3" type="noConversion"/>
  </si>
  <si>
    <t>分数</t>
    <phoneticPr fontId="3" type="noConversion"/>
  </si>
  <si>
    <t>OR02-总公司销售、承保、保全</t>
    <phoneticPr fontId="3" type="noConversion"/>
  </si>
  <si>
    <t>总公司绩效-I</t>
    <phoneticPr fontId="3" type="noConversion"/>
  </si>
  <si>
    <t>总公司绩效-II</t>
    <phoneticPr fontId="3" type="noConversion"/>
  </si>
  <si>
    <t>犹豫期内电话回访成功率</t>
    <phoneticPr fontId="3" type="noConversion"/>
  </si>
  <si>
    <t>员工流失率</t>
    <phoneticPr fontId="3" type="noConversion"/>
  </si>
  <si>
    <t>OR10-资金运用</t>
    <phoneticPr fontId="3" type="noConversion"/>
  </si>
  <si>
    <t>OR12-财务管理</t>
    <phoneticPr fontId="3" type="noConversion"/>
  </si>
  <si>
    <t>OR15-准备金再保险</t>
    <phoneticPr fontId="3" type="noConversion"/>
  </si>
  <si>
    <t>OR18-合规风险</t>
    <phoneticPr fontId="3" type="noConversion"/>
  </si>
  <si>
    <t>RR01-声誉风险</t>
    <phoneticPr fontId="3" type="noConversion"/>
  </si>
  <si>
    <t>信息系统</t>
    <phoneticPr fontId="3" type="noConversion"/>
  </si>
  <si>
    <t>案件管理</t>
    <phoneticPr fontId="3" type="noConversion"/>
  </si>
  <si>
    <t>流动性风险</t>
    <phoneticPr fontId="3" type="noConversion"/>
  </si>
  <si>
    <t>公司治理</t>
    <phoneticPr fontId="3" type="noConversion"/>
  </si>
  <si>
    <t>战略风险</t>
    <phoneticPr fontId="3" type="noConversion"/>
  </si>
  <si>
    <t>分支机构页</t>
    <phoneticPr fontId="3" type="noConversion"/>
  </si>
  <si>
    <t>绩效总分</t>
    <phoneticPr fontId="3" type="noConversion"/>
  </si>
  <si>
    <t>分公司绩效</t>
    <phoneticPr fontId="3" type="noConversion"/>
  </si>
  <si>
    <t>退撤保率</t>
    <phoneticPr fontId="3" type="noConversion"/>
  </si>
  <si>
    <t>续期收费率</t>
    <phoneticPr fontId="3" type="noConversion"/>
  </si>
  <si>
    <t>新契约回访完成率</t>
    <phoneticPr fontId="3" type="noConversion"/>
  </si>
  <si>
    <t>具有三年以上寿险准备金评估工作经验的人员占比</t>
    <phoneticPr fontId="3" type="noConversion"/>
  </si>
  <si>
    <t>总公司绩效-II</t>
    <phoneticPr fontId="3" type="noConversion"/>
  </si>
  <si>
    <t>目录</t>
    <phoneticPr fontId="3" type="noConversion"/>
  </si>
  <si>
    <t>分公司绩效</t>
    <phoneticPr fontId="3" type="noConversion"/>
  </si>
  <si>
    <t>总公司绩效-I</t>
    <phoneticPr fontId="3" type="noConversion"/>
  </si>
  <si>
    <t>绩效总分</t>
    <phoneticPr fontId="3" type="noConversion"/>
  </si>
  <si>
    <t>总公司绩效-II</t>
    <phoneticPr fontId="3" type="noConversion"/>
  </si>
  <si>
    <t>目录</t>
    <phoneticPr fontId="3" type="noConversion"/>
  </si>
  <si>
    <t>OR04</t>
    <phoneticPr fontId="3" type="noConversion"/>
  </si>
  <si>
    <t>总公司绩效-II</t>
    <phoneticPr fontId="3" type="noConversion"/>
  </si>
  <si>
    <t>评估期期末前13个月已入职且评估期在职代理制销售人员数</t>
    <phoneticPr fontId="3" type="noConversion"/>
  </si>
  <si>
    <t>评估期前13个月已入职代理制销售人员数</t>
    <phoneticPr fontId="3" type="noConversion"/>
  </si>
  <si>
    <t xml:space="preserve"> </t>
    <phoneticPr fontId="3" type="noConversion"/>
  </si>
  <si>
    <t>评估期内发现产品说明会存在销售误导问题的场次。                        
评估期为评估时点之前12个月。</t>
    <phoneticPr fontId="12" type="noConversion"/>
  </si>
  <si>
    <t>人身险公司</t>
  </si>
  <si>
    <t>金刚</t>
  </si>
  <si>
    <t>024-22585082</t>
  </si>
  <si>
    <t>朱路总、刘峰总、陈菁靓、边绍泉、朱逸寒</t>
    <phoneticPr fontId="3" type="noConversion"/>
  </si>
  <si>
    <t>内部培训较多，正常变动</t>
  </si>
  <si>
    <t>受严重处罚分支机构占比</t>
    <phoneticPr fontId="3" type="noConversion"/>
  </si>
  <si>
    <t>受严重处罚的分支机构总家次</t>
    <phoneticPr fontId="3" type="noConversion"/>
  </si>
  <si>
    <t>未受到该类行政处罚的，扣0分。
（0，行业平均值*80%]，扣5分。
（行业平均值*80%，行业平均值*120%]，扣10分。
（行业平均值*120%，+∞），扣15分。</t>
    <phoneticPr fontId="3" type="noConversion"/>
  </si>
  <si>
    <t>1. 对评估期内分支机构及其责任人员所受严重处罚进行评价；
2.严重处罚是指依照保险法律、行政法规的规定，违法行为情节严重，依法受到责令停业整顿、限制业务范围、责令停止接受新业务、吊销业务许可证、撤销任职资格、禁止进入保险业等处罚，不包括警告和罚款；
3. 受严重处罚分支机构占比=该公司受严重处罚的分支机构总家次/该公司受处罚分支机构总家次*100%；
4. 该指标行业平均值=全行业受严重处罚的分支机构总家次/全行业受处罚分支机构总家次*100%；（产险业和寿险业分别计算）</t>
    <phoneticPr fontId="3" type="noConversion"/>
  </si>
  <si>
    <t>最近4个季度省级分公司总经理室成员及中心支公司主要负责人离职人数</t>
    <phoneticPr fontId="3" type="noConversion"/>
  </si>
  <si>
    <t>18Q3结果</t>
    <phoneticPr fontId="3" type="noConversion"/>
  </si>
  <si>
    <t>18Q3评分</t>
    <phoneticPr fontId="3" type="noConversion"/>
  </si>
  <si>
    <t>评估期公司理赔档案管理中存在以下情形的，每项次扣1分，扣完4分为止：
理赔档案遗失、理赔档案案卷资料不完整或要素填写不完整、理赔档案归档不及时等以及其他理赔档案管理不善情形。</t>
    <phoneticPr fontId="3" type="noConversion"/>
  </si>
  <si>
    <t>犹豫期内电话回访成功率=评估期内通过电话回访方式在犹豫期内完成新契约回访的保单件数÷评估期内承保的保单件数×100%。保单的统计范围指投保人为个人且保险期限在一年以上的人身保险业务，不包含附加险和契撤件。新契约电话回访成功的认定标准指在犹豫期内电话联系到投保人，并将回访需要告知和询问的内容全部完成；如果下发工单核实联系电话并在犹豫期内按照前述认定标准完成电话回访的，也计入在内。犹豫期”指从投保人收到保险单（包括纸质保单、电子保单等多种形式）并签收之日起10日内的一段时期。</t>
    <phoneticPr fontId="3" type="noConversion"/>
  </si>
  <si>
    <t>新契约回访完成率=评估期内承保的保单中完成回访的保单件数÷评估期内承保的保单件数×100%。保单的统计范围指投保人为个人且保险期限在一年以上的人身保险业务，不包含附加险和契撤件。回访完成的认定标准是通过电话、信函和面访等多种方式完成回访需要告知和询问的内容，且客户没有表示疑义。解答客户疑问的方式包括回访人员解答、转客服人员或销售人员解答。</t>
    <phoneticPr fontId="3" type="noConversion"/>
  </si>
  <si>
    <t>反洗钱操作风险事件指公司因未严格履行客户身份识别、客户身份资料和交易记录保存、大额和可疑交易报告等方面反洗钱义务，未按照要求上报反洗钱信息，以及其他未严格落实《反洗钱法》相关规定，被监管部门处罚或下发监管函等情形。</t>
    <phoneticPr fontId="3" type="noConversion"/>
  </si>
  <si>
    <t>承保管理风险事件指公司虚构或虚增保险标的、编制虚假保险合同进行承保，系统外出单，承保信息未录入系统（埋单），出具阴阳保单，对保单进行跨年度拆分承保，未经批准擅自变更保险条款、保险责任、保险费率以及篡改承保标的信息调整费率等影响条款费率执行，虚挂应收保费，不当划分危险单位，违反上级公司批复的承保条件进行承保、超权限承保，客户信息非法泄露等情形。</t>
    <phoneticPr fontId="3" type="noConversion"/>
  </si>
  <si>
    <t>最近4个季度监管部门发现展业操作风险事件次数</t>
    <phoneticPr fontId="3" type="noConversion"/>
  </si>
  <si>
    <t>财产保险公司和再保险公司计算预期3个月内、1年内、1年以上3个期间项目的综合流动比率，计算结果大于等于100%的期间项目各得10分，小于100%的期间项目不得分；
人身保险公司计算3个月内、1年内、1年至3年内、3年至5年内、5年以上5个期间项目的综合流动比率，计算结果大于等于100%的期间项目各得6分，小于100%的期间项目不得分。</t>
    <phoneticPr fontId="3" type="noConversion"/>
  </si>
  <si>
    <t>≥70</t>
    <phoneticPr fontId="3" type="noConversion"/>
  </si>
  <si>
    <t>1|能积极参与、密切跟踪新的会计、税收、财务监管、偿付能力等政策制度，能够及时调整财务管理流程和经营行为</t>
    <phoneticPr fontId="12" type="noConversion"/>
  </si>
  <si>
    <t>理赔档案资料不完整或要素填写不完整次数</t>
    <phoneticPr fontId="3" type="noConversion"/>
  </si>
  <si>
    <t>最近4个季度投连险独立账户本年新增交费</t>
    <phoneticPr fontId="3" type="noConversion"/>
  </si>
  <si>
    <t>最近4个季度保户投资款本年新增交费</t>
    <phoneticPr fontId="3" type="noConversion"/>
  </si>
  <si>
    <t>最近4个季度评估公司原保费收入</t>
    <phoneticPr fontId="3" type="noConversion"/>
  </si>
  <si>
    <t>崔继广</t>
    <phoneticPr fontId="12" type="noConversion"/>
  </si>
  <si>
    <t>会计人员会计证持证率=期末省级分公司及所有下辖分支机构参加财务工作一年以上的会计人员中持有会计证人员数量÷期末省级分公司及所有下辖分支机构参加财务工作一年以上的会计人员总数</t>
    <phoneticPr fontId="3" type="noConversion"/>
  </si>
  <si>
    <t>发现一次，扣0.5分，扣完为止。</t>
    <phoneticPr fontId="12" type="noConversion"/>
  </si>
  <si>
    <t>空白单证缺失率小于0.1％的，得3分；否则，得0分。</t>
    <phoneticPr fontId="12" type="noConversion"/>
  </si>
  <si>
    <t>有价单证缺失率小于0.1％的，得2分；否则，得0分。</t>
    <phoneticPr fontId="3" type="noConversion"/>
  </si>
  <si>
    <t>最近4个季度公司发现费用管理操作风险事件次数</t>
    <phoneticPr fontId="3" type="noConversion"/>
  </si>
  <si>
    <t>自查</t>
    <phoneticPr fontId="3" type="noConversion"/>
  </si>
  <si>
    <t>监管</t>
    <phoneticPr fontId="3" type="noConversion"/>
  </si>
  <si>
    <t>最近4个季度监管发现展业操作风险事件次数</t>
    <phoneticPr fontId="3" type="noConversion"/>
  </si>
  <si>
    <t>最近4个季度监管部门检查发现存在销售人员管理操作风险事件的次数</t>
    <phoneticPr fontId="3" type="noConversion"/>
  </si>
  <si>
    <t>最近4个季度公司因反洗钱工作被监管部门处罚次数</t>
  </si>
  <si>
    <t>最近4个季度公司因反洗钱工作被监管部门下发监管函的次数</t>
  </si>
  <si>
    <t>公司销售、承保、保全环节重大操作风险事件的次数</t>
    <phoneticPr fontId="3" type="noConversion"/>
  </si>
  <si>
    <t>公司销售、承保、保全环节重大操作风险事件调整（扣分项）</t>
    <phoneticPr fontId="49" type="noConversion"/>
  </si>
  <si>
    <t>公司自查发现账号管理安全事件的次数</t>
    <phoneticPr fontId="3" type="noConversion"/>
  </si>
  <si>
    <t>最近4个季度，监管部门发现公司存在中介业务操作风险事件的，每项次扣2分；公司自查发现存在中介业务操作风险事件的，每项次扣0.5分，扣完6分为止。</t>
    <phoneticPr fontId="49" type="noConversion"/>
  </si>
  <si>
    <t>最近4个季度监管部门发现费用管理操作风险事件次数</t>
  </si>
  <si>
    <t>最近4个季度展业操作风险事件次数</t>
    <phoneticPr fontId="3" type="noConversion"/>
  </si>
  <si>
    <t>最近4个季度中介业务操作风险事件次数</t>
    <phoneticPr fontId="3" type="noConversion"/>
  </si>
  <si>
    <t>最近4个季度销售人员管理操作风险事件的次数</t>
    <phoneticPr fontId="3" type="noConversion"/>
  </si>
  <si>
    <t>最近4个季度公司承保管理操作风险事件次数</t>
    <phoneticPr fontId="3" type="noConversion"/>
  </si>
  <si>
    <t>更新犹豫期内电话回访成功率√</t>
    <phoneticPr fontId="3" type="noConversion"/>
  </si>
  <si>
    <t>更新新契约回访完成率√</t>
    <phoneticPr fontId="3" type="noConversion"/>
  </si>
  <si>
    <t>最近4个季度公司保全管理操作风险事件的次数</t>
    <phoneticPr fontId="3" type="noConversion"/>
  </si>
  <si>
    <t>月份</t>
    <phoneticPr fontId="12" type="noConversion"/>
  </si>
  <si>
    <t>业务渠道</t>
    <phoneticPr fontId="12" type="noConversion"/>
  </si>
  <si>
    <t>实收保费</t>
    <phoneticPr fontId="12" type="noConversion"/>
  </si>
  <si>
    <t>应收保费</t>
    <phoneticPr fontId="12" type="noConversion"/>
  </si>
  <si>
    <t>保费继续率</t>
    <phoneticPr fontId="12" type="noConversion"/>
  </si>
  <si>
    <r>
      <rPr>
        <b/>
        <sz val="10"/>
        <color theme="0"/>
        <rFont val="宋体"/>
        <family val="2"/>
        <charset val="134"/>
      </rPr>
      <t>得分</t>
    </r>
    <phoneticPr fontId="3" type="noConversion"/>
  </si>
  <si>
    <t>最近4个季度公司发现费用管理操作风险事件次数</t>
    <phoneticPr fontId="3" type="noConversion"/>
  </si>
  <si>
    <t>最近4个季度公司发现资金业务操作风险事件次数</t>
    <phoneticPr fontId="3" type="noConversion"/>
  </si>
  <si>
    <t>最近4个季度公司发现单证印章管理操作风险事件次数</t>
    <phoneticPr fontId="3" type="noConversion"/>
  </si>
  <si>
    <t>最近4个季度监管部门检查发现存在销售人员管理操作风险事件的次数</t>
    <phoneticPr fontId="3" type="noConversion"/>
  </si>
  <si>
    <t>每季度确认</t>
    <phoneticPr fontId="3" type="noConversion"/>
  </si>
  <si>
    <t>行业水平</t>
    <phoneticPr fontId="3" type="noConversion"/>
  </si>
  <si>
    <t>核保人员工作年限</t>
    <phoneticPr fontId="3" type="noConversion"/>
  </si>
  <si>
    <t>亿元保费财务操作风险事件数=（财务核算操作风险事件数+资金管理操作风险事件数+费用管理操作风险事件+单证印章管理操作风险事件数+税收操作风险事件数）/（评估期内原保费收入+评估期内保户投资款本年新增交费+评估期内投连险独立账户本年新增交费）（亿元）</t>
    <phoneticPr fontId="3" type="noConversion"/>
  </si>
  <si>
    <t>北京</t>
    <phoneticPr fontId="3" type="noConversion"/>
  </si>
  <si>
    <t>个险</t>
    <phoneticPr fontId="3" type="noConversion"/>
  </si>
  <si>
    <t>多元</t>
    <phoneticPr fontId="3" type="noConversion"/>
  </si>
  <si>
    <t>银保</t>
    <phoneticPr fontId="3" type="noConversion"/>
  </si>
  <si>
    <t>收展</t>
    <phoneticPr fontId="3" type="noConversion"/>
  </si>
  <si>
    <t>二级机构</t>
    <phoneticPr fontId="3" type="noConversion"/>
  </si>
  <si>
    <t>天津</t>
    <phoneticPr fontId="3" type="noConversion"/>
  </si>
  <si>
    <t>青岛</t>
    <phoneticPr fontId="3" type="noConversion"/>
  </si>
  <si>
    <t>山东</t>
    <phoneticPr fontId="3" type="noConversion"/>
  </si>
  <si>
    <t>江苏</t>
    <phoneticPr fontId="3" type="noConversion"/>
  </si>
  <si>
    <t>辽宁</t>
    <phoneticPr fontId="3" type="noConversion"/>
  </si>
  <si>
    <t>四川</t>
    <phoneticPr fontId="3" type="noConversion"/>
  </si>
  <si>
    <t>河南</t>
    <phoneticPr fontId="3" type="noConversion"/>
  </si>
  <si>
    <t>大连</t>
    <phoneticPr fontId="3" type="noConversion"/>
  </si>
  <si>
    <t>广东</t>
    <phoneticPr fontId="3" type="noConversion"/>
  </si>
  <si>
    <t>河北</t>
  </si>
  <si>
    <t>平均值项:退撤保率</t>
  </si>
  <si>
    <t>平均值项:分数</t>
  </si>
  <si>
    <t>渠道</t>
    <phoneticPr fontId="12" type="noConversion"/>
  </si>
  <si>
    <t>分公司</t>
    <phoneticPr fontId="12" type="noConversion"/>
  </si>
  <si>
    <t>退保金</t>
    <phoneticPr fontId="3" type="noConversion"/>
  </si>
  <si>
    <t>撤保金</t>
    <phoneticPr fontId="12" type="noConversion"/>
  </si>
  <si>
    <t>预收保费</t>
    <phoneticPr fontId="12" type="noConversion"/>
  </si>
  <si>
    <t>退撤保率</t>
    <phoneticPr fontId="12" type="noConversion"/>
  </si>
  <si>
    <t>评估期内承保的保单中完成回访的保单件数</t>
    <phoneticPr fontId="12" type="noConversion"/>
  </si>
  <si>
    <t>评估期内承保的保单件数</t>
    <phoneticPr fontId="12" type="noConversion"/>
  </si>
  <si>
    <t>新契约回访完成率</t>
    <phoneticPr fontId="12" type="noConversion"/>
  </si>
  <si>
    <t>渠道</t>
    <phoneticPr fontId="12" type="noConversion"/>
  </si>
  <si>
    <t>分公司</t>
    <phoneticPr fontId="12" type="noConversion"/>
  </si>
  <si>
    <t>评估期内通过电话回访方式在犹豫期内完成新契约回访的保单件数</t>
    <phoneticPr fontId="12" type="noConversion"/>
  </si>
  <si>
    <t>评估期内承保的保单件数</t>
    <phoneticPr fontId="12" type="noConversion"/>
  </si>
  <si>
    <t>犹豫期内电话回访成功率</t>
    <phoneticPr fontId="12" type="noConversion"/>
  </si>
  <si>
    <t>最近4个季度省级分公司及以下分支机构销售、承保、保全部门离职员工人数</t>
    <phoneticPr fontId="12" type="noConversion"/>
  </si>
  <si>
    <t>前4个季度初省级分公司及以下分支机构销售、承保、保全部门员工人数</t>
    <phoneticPr fontId="12" type="noConversion"/>
  </si>
  <si>
    <t>依赖</t>
    <phoneticPr fontId="3" type="noConversion"/>
  </si>
  <si>
    <t>最近4个季度公司发生欺诈案件的次数</t>
    <phoneticPr fontId="3" type="noConversion"/>
  </si>
  <si>
    <t>最近4个季度公司发现理赔管理操作风险事件的次数</t>
    <phoneticPr fontId="3" type="noConversion"/>
  </si>
  <si>
    <t>评估期末非寿险业务一年期以上应收保费余额</t>
    <phoneticPr fontId="3" type="noConversion"/>
  </si>
  <si>
    <t>评估期本期合计实收保费金额</t>
    <phoneticPr fontId="3" type="noConversion"/>
  </si>
  <si>
    <t>评估期本期预收保费总额</t>
    <phoneticPr fontId="3" type="noConversion"/>
  </si>
  <si>
    <t>DW数据统计</t>
    <phoneticPr fontId="3" type="noConversion"/>
  </si>
  <si>
    <t>评估期末非寿险业务应收保费余额</t>
    <phoneticPr fontId="3" type="noConversion"/>
  </si>
  <si>
    <t>非寿险业务非正常应收保费比例=评估期末非寿险业务一年期以上应收保费余额÷评估期末非寿险业务应收保费余额×100％
上述应收保费不包括正常分期业务或民事、司法纠纷产生的应收保费。</t>
    <phoneticPr fontId="3" type="noConversion"/>
  </si>
  <si>
    <t>Q4百分制得分</t>
    <phoneticPr fontId="3" type="noConversion"/>
  </si>
  <si>
    <t>大连分公司因虚构费用，被大连保监局罚款20万元，对银保渠道负责人罚款4万元。</t>
    <phoneticPr fontId="3" type="noConversion"/>
  </si>
  <si>
    <t>同上</t>
    <phoneticPr fontId="3" type="noConversion"/>
  </si>
  <si>
    <t>未受到行政处罚的，扣0分。
（0，行业平均值*80%]，扣5分。
（行业平均值*80%，行业平均值*120%]，扣10分。
（行业平均值*120%，+∞），扣15分。</t>
    <phoneticPr fontId="3" type="noConversion"/>
  </si>
  <si>
    <t>1.对评估期内分支机构及其责任人员罚款进行评价；
2.分支机构包括分公司、中心支公司、支公司、营业部、营销服务部；
3.每家分支机构受罚款金额=该公司各分支机构罚款总额/该公司受处罚的分支机构家次；
4.该指标行业平均值＝全行业分支机构罚款总额/全行业受处罚分支机构总家次（产险业和寿险业分别计算）</t>
    <phoneticPr fontId="3" type="noConversion"/>
  </si>
  <si>
    <t>非寿险业务非正常应收保费比例比例≤3%，得3分；3%＜非寿险业务非正常应收保费比例≤5%，得1分；非寿险业务非正常应收保费比例＞5%，得0分。</t>
    <phoneticPr fontId="3" type="noConversion"/>
  </si>
  <si>
    <t>评估期期末省级分公司和中心支公司销售、承保、保全部门负责人人数</t>
    <phoneticPr fontId="3" type="noConversion"/>
  </si>
  <si>
    <t>从业经验指省级分公司和中心支公司销售、承保、保全部门负责人从事保险相关工作的时间。</t>
    <phoneticPr fontId="3" type="noConversion"/>
  </si>
  <si>
    <t>管理层离职率=最近4个季度省级分公司总经理室成员及中心支公司主要负责人离职人数÷（评估期期末省级分公司总经理室成员及中心支公司主要负责人在职人数+最近4个季度省级分公司总经理室成员及中心支公司主要负责人离职人数）×100%。离职指与公司终止劳动关系。</t>
    <phoneticPr fontId="3" type="noConversion"/>
  </si>
  <si>
    <t>评估期末保全工作人员数量</t>
    <phoneticPr fontId="3" type="noConversion"/>
  </si>
  <si>
    <t>设行业平均水平为θ，评分为：
x&lt;0.85∙θ，4分；
0.85∙θ≤x&lt;1.25∙θ，6分；
1.25∙θ≤x&lt;1.5∙θ，8分；
1.5∙θ≤x，10分。</t>
    <phoneticPr fontId="3" type="noConversion"/>
  </si>
  <si>
    <t>评估期末，在评估公司从事保全工作时间5年以上的人员和从事保全工作时间1年以下的人员合计占全部保全工作人员的比例。</t>
    <phoneticPr fontId="3" type="noConversion"/>
  </si>
  <si>
    <t>评估期末理赔工作人员数量</t>
    <phoneticPr fontId="3" type="noConversion"/>
  </si>
  <si>
    <t>最近4个季度内省公司及以下分支机构理赔部门离职员工人数</t>
    <phoneticPr fontId="3" type="noConversion"/>
  </si>
  <si>
    <t>最近4个季度省公司及以下分支机构增加的理赔人员数量</t>
    <phoneticPr fontId="3" type="noConversion"/>
  </si>
  <si>
    <t>评估期末具有3年以上理赔工作经验的理赔工作人员数量</t>
    <phoneticPr fontId="3" type="noConversion"/>
  </si>
  <si>
    <t>评估期本期合计退保金总额</t>
    <phoneticPr fontId="3" type="noConversion"/>
  </si>
  <si>
    <t>评估期内退保金</t>
    <phoneticPr fontId="3" type="noConversion"/>
  </si>
  <si>
    <t>中介业务操作风险事件指公司存在直接业务虚挂中介业务，虚构营销人力和组织架构，虚开中介发票，委托不具备资格的中介机构开展保险业务，预付佣金及手续费，对佣金及手续费或销售人员工资收入进行账外二次分配，以及其他中介业务违规情形。</t>
    <phoneticPr fontId="3" type="noConversion"/>
  </si>
  <si>
    <t>总公司财务部</t>
    <phoneticPr fontId="12" type="noConversion"/>
  </si>
  <si>
    <t>非现金付款比率</t>
    <phoneticPr fontId="3" type="noConversion"/>
  </si>
  <si>
    <t>评估期内赔付金</t>
    <phoneticPr fontId="3" type="noConversion"/>
  </si>
  <si>
    <t>北京</t>
    <phoneticPr fontId="3" type="noConversion"/>
  </si>
  <si>
    <t>过去2年公司总精算师（包括精算临时负责人）的变更次数。</t>
    <phoneticPr fontId="3" type="noConversion"/>
  </si>
  <si>
    <t>天津保监局</t>
    <phoneticPr fontId="12" type="noConversion"/>
  </si>
  <si>
    <t>18Q4评分</t>
    <phoneticPr fontId="3" type="noConversion"/>
  </si>
  <si>
    <t>更新续期收费率√</t>
    <phoneticPr fontId="3" type="noConversion"/>
  </si>
  <si>
    <t>更新员工流失率√</t>
    <phoneticPr fontId="3" type="noConversion"/>
  </si>
  <si>
    <t>更新退撤保率√</t>
    <phoneticPr fontId="3" type="noConversion"/>
  </si>
  <si>
    <t xml:space="preserve"> </t>
    <phoneticPr fontId="3" type="noConversion"/>
  </si>
  <si>
    <t>无错报、漏报、未按时报送等差错</t>
    <phoneticPr fontId="3" type="noConversion"/>
  </si>
  <si>
    <t>财务报告评价依据</t>
    <phoneticPr fontId="3" type="noConversion"/>
  </si>
  <si>
    <t>最近4个季度内，未发生过错报、漏报和未按时报送的，得4分；错报、漏报或未按时报送的次数少于2次的，得2分；错报、漏报或未按时报送的次数超过2次，或者发生1次重大错报或漏报的，得0分。</t>
    <phoneticPr fontId="3" type="noConversion"/>
  </si>
  <si>
    <t>减保金额</t>
    <phoneticPr fontId="3" type="noConversion"/>
  </si>
  <si>
    <t>千张保单投诉量</t>
    <phoneticPr fontId="3" type="noConversion"/>
  </si>
  <si>
    <t>最近4个季度内已发放空白单证缺失的数量</t>
    <phoneticPr fontId="3" type="noConversion"/>
  </si>
  <si>
    <t>评估期内非现金付款金额</t>
    <phoneticPr fontId="3" type="noConversion"/>
  </si>
  <si>
    <t>评估期内非现金收款金额</t>
    <phoneticPr fontId="3" type="noConversion"/>
  </si>
  <si>
    <t>（1）财产险公司和再保险公司，未来1季度、未来2季度、未来3季度、未来4季度的净现金流量每项小于0的，该项得0分；净现金流量每项大于等于0的，该项得2.5分。
（2）人身险公司，现金流测试范围为公司整体，未来1季度、未来2季度、未来3季度、未来4季度、报告日后第2年、报告日后第3年的净现金流量每项小于0的，该项得0分；未来1季度、未来2季度、未来3季度、未来4季度的净现金流量每项大于等于0的，该项得2分；报告日后第2年、报告日后第3年的净现金流量每项大于等于0的，该项得1分。</t>
    <phoneticPr fontId="3" type="noConversion"/>
  </si>
  <si>
    <t>空白单证缺失率＝最近4个季度内已发放空白单证缺失的数量÷最近4个季度内空白单证发放的数量×100％。</t>
    <phoneticPr fontId="3" type="noConversion"/>
  </si>
  <si>
    <t>资产管理部门人员流失率</t>
    <phoneticPr fontId="3" type="noConversion"/>
  </si>
  <si>
    <t>资产管理部门人员流失率＝最近4个季度内离职的部门人员数量÷（前4个季度初的部门人员数量+最近4个季度增加的部门人员数量）×100％</t>
    <phoneticPr fontId="3" type="noConversion"/>
  </si>
  <si>
    <t>资产管理部门人员流失率小于20％的，得2分；小于30％的，得1分；超过30％的，得0分。</t>
    <phoneticPr fontId="3" type="noConversion"/>
  </si>
  <si>
    <t>未受到行政处罚的，扣0分。
警告，或者罚款和没收违法所得累计金额30万元以下的，扣10分。
罚款和没收违法所得累计金额30万元以上100万元以下的，扣15分。
有下列情形之一的，扣20分：
1.罚款和没收违法所得累计金额100万元以上的；
2.董事长、总经理被处以罚款的；
3.董事长、总经理以外的其他董事、高级管理人员被撤销任职资格或者禁止进入保险业的。</t>
    <phoneticPr fontId="3" type="noConversion"/>
  </si>
  <si>
    <t>郄凌鹿</t>
    <phoneticPr fontId="12" type="noConversion"/>
  </si>
  <si>
    <t>于海凤</t>
    <phoneticPr fontId="12" type="noConversion"/>
  </si>
  <si>
    <t>最近4个季度，监管部门或公司自查发现存在销售人员管理操作风险事件的，每项次扣3分，扣完6分为止。</t>
    <phoneticPr fontId="3" type="noConversion"/>
  </si>
  <si>
    <t>Q1得分</t>
    <phoneticPr fontId="3" type="noConversion"/>
  </si>
  <si>
    <t>总公司收展部</t>
    <phoneticPr fontId="3" type="noConversion"/>
  </si>
  <si>
    <t>总公司客服部找杨子浩提供</t>
    <phoneticPr fontId="3" type="noConversion"/>
  </si>
  <si>
    <t>Q1评分</t>
    <phoneticPr fontId="3" type="noConversion"/>
  </si>
  <si>
    <t>Q1百分制得分</t>
    <phoneticPr fontId="3" type="noConversion"/>
  </si>
  <si>
    <t>19Q1结果</t>
    <phoneticPr fontId="3" type="noConversion"/>
  </si>
  <si>
    <t>18Q4结果</t>
    <phoneticPr fontId="3" type="noConversion"/>
  </si>
  <si>
    <t>评估期本期应收实收保费</t>
    <phoneticPr fontId="3" type="noConversion"/>
  </si>
  <si>
    <t>评估期本期应收保费</t>
    <phoneticPr fontId="3" type="noConversion"/>
  </si>
  <si>
    <t>尽职情况</t>
    <phoneticPr fontId="3" type="noConversion"/>
  </si>
  <si>
    <t>主营和非主营业务领域符合监管要求，非主营业务清晰，可行性论证充分，与公司经营状况、管理水平和人才储备情况相匹配</t>
    <phoneticPr fontId="12" type="noConversion"/>
  </si>
  <si>
    <t>2019Q1</t>
    <phoneticPr fontId="3" type="noConversion"/>
  </si>
  <si>
    <t>19Q1评分</t>
    <phoneticPr fontId="3" type="noConversion"/>
  </si>
  <si>
    <t>销售人员总人数</t>
    <phoneticPr fontId="3" type="noConversion"/>
  </si>
  <si>
    <t>评估期期末公司与销售人员签订有效的劳动合同、代理合同份数</t>
    <phoneticPr fontId="3" type="noConversion"/>
  </si>
  <si>
    <t>销售人员协议签订率=评估期期末公司与销售人员签订有效的劳动合同、代理合同份数÷销售人员总人数×100%。销售人员指公司内部各销售渠道直接从事销售工作的合同制员工和代理制营销员，包括个人营销渠道的个险营销员，收展渠道的收展员，银保渠道的银保专管员，电销渠道的电话销售人员（TSR）。劳动合同或代理合同过期视为无效。</t>
    <phoneticPr fontId="23" type="noConversion"/>
  </si>
  <si>
    <t>赵婧颖</t>
    <phoneticPr fontId="12" type="noConversion"/>
  </si>
  <si>
    <t>评估期期末公司与代理机构签订有效的合作协议份数</t>
    <phoneticPr fontId="3" type="noConversion"/>
  </si>
  <si>
    <t>代理机构总家数</t>
    <phoneticPr fontId="3" type="noConversion"/>
  </si>
  <si>
    <t>评估期内发现分支机构及其销售人员、保险中介代理机构存在私印宣传、培训材料问题的次数。                                                             
 评估期为评估时点之前12个月。</t>
    <phoneticPr fontId="12" type="noConversion"/>
  </si>
  <si>
    <t>评估期期初保全变更留存件数</t>
    <phoneticPr fontId="3" type="noConversion"/>
  </si>
  <si>
    <t>评估期内发现分支机构及其销售人员存在违规销售非保险金融产品的问题数量。                                                                                     
评估期为评估时点之前12个月。</t>
    <phoneticPr fontId="12" type="noConversion"/>
  </si>
  <si>
    <t>评估时点之前12个月发现通过盗用、伪造印鉴和保单进行诈骗的次数</t>
    <phoneticPr fontId="12" type="noConversion"/>
  </si>
  <si>
    <t>评估期内发现公司销售人员侵占、挪用保费的案件数量。                               评估期为评估时点之前12个月。</t>
    <phoneticPr fontId="12" type="noConversion"/>
  </si>
  <si>
    <t>保全差错率≤1%,得2分；1%&lt;保全差错率≤2%,得1分;保全差错率&gt;2%,得0分。</t>
    <phoneticPr fontId="3" type="noConversion"/>
  </si>
  <si>
    <t>保全差错率</t>
    <phoneticPr fontId="3" type="noConversion"/>
  </si>
  <si>
    <t>每发生一件，扣0.5分；每败诉一件，扣1分，最多扣至0分。评估期内发生且败诉，扣1分</t>
    <phoneticPr fontId="3" type="noConversion"/>
  </si>
  <si>
    <t>保单失效率</t>
    <phoneticPr fontId="3" type="noConversion"/>
  </si>
  <si>
    <t>保单失效率≤3%,得3分；3%&lt;保单失效率≤5%,得1.5分;保单失效率&gt;5%,得0分。</t>
    <phoneticPr fontId="3" type="noConversion"/>
  </si>
  <si>
    <t>最近4个季度省级分公司及以下分支机构销售、承保、保全部门离职员工人数</t>
    <phoneticPr fontId="3" type="noConversion"/>
  </si>
  <si>
    <t>最近4个季度省级分公司及以下分支机构销售、承保、保全部门增加员工人数</t>
    <phoneticPr fontId="3" type="noConversion"/>
  </si>
  <si>
    <t>非寿险业务非正常应收保费比例</t>
    <phoneticPr fontId="3" type="noConversion"/>
  </si>
  <si>
    <t>扣分项</t>
    <phoneticPr fontId="12" type="noConversion"/>
  </si>
  <si>
    <t>评估期公司受理的有效投诉件数总量</t>
    <phoneticPr fontId="3" type="noConversion"/>
  </si>
  <si>
    <t>1|不存在公司会计、出纳、稽核等不相容岗位兼职情况</t>
    <phoneticPr fontId="3" type="noConversion"/>
  </si>
  <si>
    <t>BJ.JingYing_Zhao@hengansl.com</t>
    <phoneticPr fontId="3" type="noConversion"/>
  </si>
  <si>
    <t>省级分公司财会部门负责人从业年限</t>
    <phoneticPr fontId="3" type="noConversion"/>
  </si>
  <si>
    <t>1|公司理赔信息系统设置了反欺诈识别提醒功能，对出险时间与起保或终止时间接近、保险年度内索赔次数异常等情况进行提示的，对重点领域和环节设立欺诈案件和可疑赔案筛查功能</t>
    <phoneticPr fontId="3" type="noConversion"/>
  </si>
  <si>
    <t>1|公司理赔信息系统与接报案系统对接，理赔信息系统中报案时间由接报案系统直接导入，报案时间无法手工修改</t>
    <phoneticPr fontId="3" type="noConversion"/>
  </si>
  <si>
    <t>期末有效保单总量</t>
    <phoneticPr fontId="3" type="noConversion"/>
  </si>
  <si>
    <t>承保标的风险评估情况</t>
    <phoneticPr fontId="3" type="noConversion"/>
  </si>
  <si>
    <t>年初累计有效保额</t>
    <phoneticPr fontId="3" type="noConversion"/>
  </si>
  <si>
    <t>评估期内通过电话回访方式在犹豫期内完成新契约回访的保单件数</t>
    <phoneticPr fontId="3" type="noConversion"/>
  </si>
  <si>
    <t>评估期内承保的保单件数</t>
    <phoneticPr fontId="3" type="noConversion"/>
  </si>
  <si>
    <t>评估期内承保的保单中完成回访的保单件数</t>
    <phoneticPr fontId="3" type="noConversion"/>
  </si>
  <si>
    <t>评估期保全变更完成件数</t>
    <phoneticPr fontId="3" type="noConversion"/>
  </si>
  <si>
    <t>评估期保全变更新增件数</t>
    <phoneticPr fontId="3" type="noConversion"/>
  </si>
  <si>
    <t>评估期操作的确认生效的保全件总量</t>
    <phoneticPr fontId="3" type="noConversion"/>
  </si>
  <si>
    <t>评估期内所有赔案支付时点至核赔完成时点差值之和</t>
    <phoneticPr fontId="3" type="noConversion"/>
  </si>
  <si>
    <t>正常结案数量</t>
    <phoneticPr fontId="3" type="noConversion"/>
  </si>
  <si>
    <t>评估期内所有已决赔案出险日至结案的天数总和</t>
    <phoneticPr fontId="3" type="noConversion"/>
  </si>
  <si>
    <t>评估期内所有已决赔案件数</t>
    <phoneticPr fontId="3" type="noConversion"/>
  </si>
  <si>
    <t>评估期转账支付至被保险人（或受益人）银行账户的赔款件数</t>
    <phoneticPr fontId="3" type="noConversion"/>
  </si>
  <si>
    <t>评估期已决赔案数量</t>
    <phoneticPr fontId="3" type="noConversion"/>
  </si>
  <si>
    <t>评估期末，公司从事寿险准备金评估工作的精算人员中具有三年以上寿险精算工作经验的人员占比。</t>
    <phoneticPr fontId="3" type="noConversion"/>
  </si>
  <si>
    <t>总精算师（包括精算临时负责人）在现任职公司（或所属保险集团公司）从入职至今的连续工作年限；如果期间出现离职再入职情况，则从最近一次入职时间开始计算。入职标准是指在该公司（或所属保险集团公司）开始从事精算工作。</t>
    <phoneticPr fontId="3" type="noConversion"/>
  </si>
  <si>
    <t>公司从事再保险管理工作的人员中具有三年以上相关工作经验的人员占比。再保险管理相关工作经验是指再保险合同签订和管理等工作。</t>
    <phoneticPr fontId="3" type="noConversion"/>
  </si>
  <si>
    <t>权重!A1</t>
    <phoneticPr fontId="3" type="noConversion"/>
  </si>
  <si>
    <t>评估期电话回访成功的保单件数</t>
    <phoneticPr fontId="12" type="noConversion"/>
  </si>
  <si>
    <t>评估期开展电话回访的保单件数</t>
    <phoneticPr fontId="12" type="noConversion"/>
  </si>
  <si>
    <t>评估期内承保的保单件数</t>
    <phoneticPr fontId="3" type="noConversion"/>
  </si>
  <si>
    <t>失效、退保金额</t>
    <phoneticPr fontId="3" type="noConversion"/>
  </si>
  <si>
    <t>复效额</t>
    <phoneticPr fontId="3" type="noConversion"/>
  </si>
  <si>
    <t>增保额</t>
    <phoneticPr fontId="3" type="noConversion"/>
  </si>
  <si>
    <t>评估期内保全差错件总量</t>
    <phoneticPr fontId="3" type="noConversion"/>
  </si>
  <si>
    <t>保单质押贷款支付方式</t>
    <phoneticPr fontId="3" type="noConversion"/>
  </si>
  <si>
    <t>前4个季度初省公司及以下分支机构的理赔人员数量</t>
    <phoneticPr fontId="3" type="noConversion"/>
  </si>
  <si>
    <t>理赔档案遗失次数</t>
    <phoneticPr fontId="3" type="noConversion"/>
  </si>
  <si>
    <t>理赔档案案卷归档不及时次数</t>
    <phoneticPr fontId="3" type="noConversion"/>
  </si>
  <si>
    <t>其他理赔档案管理不善的次数</t>
    <phoneticPr fontId="3" type="noConversion"/>
  </si>
  <si>
    <t>最近4个季度监管部门发现理赔管理操作风险事件的次数</t>
    <phoneticPr fontId="3" type="noConversion"/>
  </si>
  <si>
    <t>最近4个季度公司发生业外欺诈案件的次数</t>
    <phoneticPr fontId="3" type="noConversion"/>
  </si>
  <si>
    <t>重大操作风险事件调整次数</t>
    <phoneticPr fontId="3" type="noConversion"/>
  </si>
  <si>
    <t>评估期末，具有三年以上核保工作经验的核保人员数量</t>
    <phoneticPr fontId="12" type="noConversion"/>
  </si>
  <si>
    <t>评估期所有赔案的未决估计赔款与已决赔款差值之和</t>
    <phoneticPr fontId="3" type="noConversion"/>
  </si>
  <si>
    <t>评估期内所有正常结案赔案的已决赔款之和</t>
    <phoneticPr fontId="3" type="noConversion"/>
  </si>
  <si>
    <t>000056120000</t>
    <phoneticPr fontId="12" type="noConversion"/>
  </si>
  <si>
    <t>000056110000</t>
    <phoneticPr fontId="12" type="noConversion"/>
  </si>
  <si>
    <t>网销</t>
  </si>
  <si>
    <t>最近4个季度内空白单证发放的数量</t>
    <phoneticPr fontId="3" type="noConversion"/>
  </si>
  <si>
    <t>最近4个季度内已回销的有价单证数量</t>
    <phoneticPr fontId="3" type="noConversion"/>
  </si>
  <si>
    <t>最近4个季度内按公司规定时限内应回销的有价单证数量</t>
    <phoneticPr fontId="3" type="noConversion"/>
  </si>
  <si>
    <t>销售人员协议签订率</t>
    <phoneticPr fontId="3" type="noConversion"/>
  </si>
  <si>
    <t>吴冰</t>
    <phoneticPr fontId="12" type="noConversion"/>
  </si>
  <si>
    <t>SY.Bing_Wu@hengansl.com</t>
    <phoneticPr fontId="12" type="noConversion"/>
  </si>
  <si>
    <t>梁帅</t>
    <phoneticPr fontId="12" type="noConversion"/>
  </si>
  <si>
    <t>张烜</t>
    <phoneticPr fontId="12" type="noConversion"/>
  </si>
  <si>
    <t>郭鲁宝</t>
    <phoneticPr fontId="12" type="noConversion"/>
  </si>
  <si>
    <t>jn.lubao_guo@hengansl.com</t>
    <phoneticPr fontId="12" type="noConversion"/>
  </si>
  <si>
    <t>隋海生</t>
    <phoneticPr fontId="12" type="noConversion"/>
  </si>
  <si>
    <t>冯瑞珍</t>
    <phoneticPr fontId="12" type="noConversion"/>
  </si>
  <si>
    <t>孙德明</t>
    <phoneticPr fontId="12" type="noConversion"/>
  </si>
  <si>
    <t>CD.Linglu_Qie@hengansl.com</t>
    <phoneticPr fontId="12" type="noConversion"/>
  </si>
  <si>
    <t>（一）人寿保险、健康保险和意外伤害保险等保险业务；（二）上款保险的再保险业务</t>
    <phoneticPr fontId="12" type="noConversion"/>
  </si>
  <si>
    <t>在四川省行政辖区内经营以下业务（法定保险业务除外）：1、人寿保险、健康保险和意外伤害保险等保险业务；2、上款业务的再保险业务</t>
    <phoneticPr fontId="12" type="noConversion"/>
  </si>
  <si>
    <t>人寿保险；健康保险；意外伤害保险；经保监会批准的其他人身保险业务（法定保险业务除外）。(保险业务许可证有效期限以许可证为准）。（依法须经批准的项目，经相关部门批准后方可开展经营活动）。</t>
    <phoneticPr fontId="12" type="noConversion"/>
  </si>
  <si>
    <t>在山东省行政辖区内经营：（一）人寿保险、健康保险和意外伤害保险等保险业务；（二）上款业务的再保险业务（依法须经批准的项目，经相关部门批准后方可开展经营活动，有效期限以许可证为准）。</t>
    <phoneticPr fontId="12" type="noConversion"/>
  </si>
  <si>
    <t>一、人寿保险、健康保险和意外伤害保险等保险业务；二、上述业务的再保险业务</t>
    <phoneticPr fontId="12" type="noConversion"/>
  </si>
  <si>
    <t>评估期期末省级分公司和中心支公司销售、承保、保全部门负责人具有5年以上相关保险从业经验的占比高于（或等于）80%，得2分；占比高于（或等于）50%低于80%，得1分；占比低于50%，得0分。</t>
    <phoneticPr fontId="3" type="noConversion"/>
  </si>
  <si>
    <t>Q2</t>
    <phoneticPr fontId="3" type="noConversion"/>
  </si>
  <si>
    <t>Q2得分</t>
    <phoneticPr fontId="3" type="noConversion"/>
  </si>
  <si>
    <t>Q1得分</t>
    <phoneticPr fontId="3" type="noConversion"/>
  </si>
  <si>
    <t>Q2评分</t>
    <phoneticPr fontId="3" type="noConversion"/>
  </si>
  <si>
    <t>Q1评分</t>
    <phoneticPr fontId="3" type="noConversion"/>
  </si>
  <si>
    <t>账号管理安全评价公司销售、承保、保全等业务管理系统账号安全管理情况。</t>
    <phoneticPr fontId="3" type="noConversion"/>
  </si>
  <si>
    <t>保全管理操作风险事件指公司存在虚假批改、虚假退保、擅自注销保单等违规保全操作的情形。</t>
    <phoneticPr fontId="3" type="noConversion"/>
  </si>
  <si>
    <t>评估期内发现系统存在管控漏洞，导致理赔、保全操作出现违法违规问题。                                       
评估期为评估时点之前12个月</t>
    <phoneticPr fontId="3" type="noConversion"/>
  </si>
  <si>
    <t>评估期内系统故障导致无法进行理赔、保全操作，或者导致理赔、保全数据遗失。                            
评估期为评估时点之前12个月</t>
    <phoneticPr fontId="3" type="noConversion"/>
  </si>
  <si>
    <t>评估期内发现保全或理赔工作人员侵占、挪用保费或保险金的案件数量。                                            
评估期为评估时点之前12个月。</t>
    <phoneticPr fontId="3" type="noConversion"/>
  </si>
  <si>
    <t>评估期内保险公司受理的投诉自受理之日到向投诉人做出明确答复的时间。                                          
评估期为评估时点之前3个月。</t>
    <phoneticPr fontId="3" type="noConversion"/>
  </si>
  <si>
    <t>评估期内处理完毕的全部保全申请，从保险公司接到保全申请到处理完毕的平均天数。                 
评估期为评估时点之前3个月。</t>
    <phoneticPr fontId="3" type="noConversion"/>
  </si>
  <si>
    <t>评估期内作出核定结果的全部索赔申请从保险公司接到报案到通知被保险人或受益人核定结果的平均天数。评估期为评估时点之前3个月。</t>
    <phoneticPr fontId="3" type="noConversion"/>
  </si>
  <si>
    <t>偿付能力报告差错量指保险公司向保监会报送偿付能力报告出现错报、漏报、未按时报送等差错的次数。</t>
    <phoneticPr fontId="12" type="noConversion"/>
  </si>
  <si>
    <t>Q1</t>
    <phoneticPr fontId="3" type="noConversion"/>
  </si>
  <si>
    <t>Q2评分</t>
    <phoneticPr fontId="12" type="noConversion"/>
  </si>
  <si>
    <t>Q1评分</t>
    <phoneticPr fontId="12" type="noConversion"/>
  </si>
  <si>
    <r>
      <t>基础分5分，最高分5分，最低分0分。</t>
    </r>
    <r>
      <rPr>
        <sz val="8"/>
        <color rgb="FFFF0000"/>
        <rFont val="微软雅黑"/>
        <family val="2"/>
        <charset val="134"/>
      </rPr>
      <t>1.未建立欺诈风险的识别、计量、监测和控制的信息系统，或者现有的信息系统未嵌入上述功能，扣2分</t>
    </r>
    <r>
      <rPr>
        <sz val="8"/>
        <color theme="1"/>
        <rFont val="微软雅黑"/>
        <family val="2"/>
        <charset val="134"/>
      </rPr>
      <t>；2.未按监管规定要求向反保险欺诈系统平台报送数据，存在错报、漏报、报送不规范的，扣3分。</t>
    </r>
    <phoneticPr fontId="3" type="noConversion"/>
  </si>
  <si>
    <r>
      <t>基础分5分，最高分5分，最低分0分。1.未制定与业务种类、规模以及性质相适应的欺诈风险管理制度，扣2分；</t>
    </r>
    <r>
      <rPr>
        <sz val="8"/>
        <color rgb="FFFF0000"/>
        <rFont val="微软雅黑"/>
        <family val="2"/>
        <charset val="134"/>
      </rPr>
      <t>2.未对交易对手欺诈风险的评估、识别和管控建立制度规范，扣1分；</t>
    </r>
    <r>
      <rPr>
        <sz val="8"/>
        <color theme="1"/>
        <rFont val="微软雅黑"/>
        <family val="2"/>
        <charset val="134"/>
      </rPr>
      <t>3.未建立欺诈案件调查和协查制度，扣2分。</t>
    </r>
    <phoneticPr fontId="3" type="noConversion"/>
  </si>
  <si>
    <t>评估期内客户针对理赔、保全业务提起法律诉讼件数，以及败诉件数。                                     
（1）对案件败诉、胜诉的判断以承担诉讼（仲裁）费的比例为准，承担比例大于50%的为败诉，小于等于50%的为胜诉。                                   （2）评估期为评估时点之前12个月。</t>
    <phoneticPr fontId="12" type="noConversion"/>
  </si>
  <si>
    <t>2019年第2季度</t>
    <phoneticPr fontId="12" type="noConversion"/>
  </si>
  <si>
    <t>Heng An Standard Life Insurance Company Limited Beijing Branch</t>
    <phoneticPr fontId="12" type="noConversion"/>
  </si>
  <si>
    <t>Heng An Standard Life Insurance Company Limited Liaoning Branch</t>
    <phoneticPr fontId="12" type="noConversion"/>
  </si>
  <si>
    <t>Heng An Standard Life Insurance Company Limited Dalian Branch</t>
    <phoneticPr fontId="12" type="noConversion"/>
  </si>
  <si>
    <t>Heng An Standard Life Insurance Company Limited Jiangsu Branch</t>
    <phoneticPr fontId="12" type="noConversion"/>
  </si>
  <si>
    <t>Heng An Standard Life Insurance company Limited ShanDong Branch</t>
    <phoneticPr fontId="12" type="noConversion"/>
  </si>
  <si>
    <t>Heng An Standard Life Insurance Company Limited, Qingdao Branch</t>
    <phoneticPr fontId="12" type="noConversion"/>
  </si>
  <si>
    <t>Heng An Standard Life Insurance Company Limited Tianjin Branch</t>
    <phoneticPr fontId="12" type="noConversion"/>
  </si>
  <si>
    <t>吴爱军</t>
    <phoneticPr fontId="12" type="noConversion"/>
  </si>
  <si>
    <t>人寿保险、健康保险和意外伤害保险等保险业务（法定保险业务除外）。</t>
    <phoneticPr fontId="12" type="noConversion"/>
  </si>
  <si>
    <t>（一）人寿保险、健康保险和意外伤害保险等保险业务（二）上款业务的再保险业务</t>
    <phoneticPr fontId="12" type="noConversion"/>
  </si>
  <si>
    <t>在北京市行政辖区内经营下列业务（法定保险业务除外）（一）人寿保险、健康保险和意外伤害保险等保险业务；（二）上款业务的再保险业务。</t>
    <phoneticPr fontId="12" type="noConversion"/>
  </si>
  <si>
    <t>北京市东城区新怡家园甲3号楼8层803、806室</t>
    <phoneticPr fontId="12" type="noConversion"/>
  </si>
  <si>
    <t>Heng An Standard Life Insurance Company Limited Henan Branch</t>
    <phoneticPr fontId="12" type="noConversion"/>
  </si>
  <si>
    <t>Heng An Standard Life Insurance Company Limited Guangdong Branch</t>
    <phoneticPr fontId="12" type="noConversion"/>
  </si>
  <si>
    <t>Heng An Standard Life Insurance Company Limited Sichuan Branch</t>
    <phoneticPr fontId="12" type="noConversion"/>
  </si>
  <si>
    <t>展业操作风险事件</t>
  </si>
  <si>
    <t>私印宣传、培训材料</t>
  </si>
  <si>
    <t>在治乱打非排查中发现有在微信销售群中发布不准确的产品宣传信息的问题。</t>
  </si>
  <si>
    <t>不涉及</t>
  </si>
  <si>
    <t>2.分公司自查发现部分机构销售人员私自打印带有公司产品宣传内容的纸张；公司在对营销员微信群和朋友圈监控中发现丹东中心支公司业务员在朋友圈传播一份伪造的公司核保规则类的通知文件。</t>
  </si>
  <si>
    <t>保单号810-20119449 代回访、客户投诉称业务人员讲解的收益与实际不符（2018年2月内控评估、2018年3月治乱打非中发现问题）</t>
  </si>
  <si>
    <t>2.个别机构私自在A4纸上打印不合规的产品宣传单页，未经公司审批，主要问题为产品介绍不完整，未包含除外责任、犹豫期等内容。（2018年3月治乱打非中发现问题）</t>
  </si>
  <si>
    <t>2018年1月-2月开展“治乱打非”专项检查，排查2017年1月1日至2018年2月28日的电话回访问题件，发现20253418、20253242、20253243、20253260、20207828保单为代回访。此问题反映在《恒安标准人寿保险有限公司四川分公司关于开展整治销售乱象打击非法经营自查自纠工作的报告》中。</t>
  </si>
  <si>
    <t>17Q2</t>
  </si>
  <si>
    <t>保全管理操作风险事件</t>
  </si>
  <si>
    <t>17Q1</t>
  </si>
  <si>
    <t>16Q3</t>
  </si>
  <si>
    <t>中介业务操作风险事件</t>
  </si>
  <si>
    <t>重塑监管 保险监管大巡查大整治防风险”行动的总结报告）</t>
  </si>
  <si>
    <t>2017年4月，《中国人民银行南京分行反洗钱监管意见书》（反洗钱考核评级[2017](11)号）</t>
  </si>
  <si>
    <t>因反洗钱工作被监管部门下发监管函</t>
  </si>
  <si>
    <t>2017年7月，《辽宁抚顺人民银行执法检查意见书》（抚银）检意字［２０１７]第8-1号）"</t>
  </si>
  <si>
    <t>产品说明会销售误导事件</t>
  </si>
  <si>
    <t>过期</t>
    <phoneticPr fontId="3" type="noConversion"/>
  </si>
  <si>
    <t>报告区间</t>
    <phoneticPr fontId="3" type="noConversion"/>
  </si>
  <si>
    <t>报告或事项</t>
    <phoneticPr fontId="3" type="noConversion"/>
  </si>
  <si>
    <t>风险类别</t>
    <phoneticPr fontId="3" type="noConversion"/>
  </si>
  <si>
    <t>风险概述</t>
    <phoneticPr fontId="3" type="noConversion"/>
  </si>
  <si>
    <t>涉及分公司</t>
    <phoneticPr fontId="3" type="noConversion"/>
  </si>
  <si>
    <t>涉及部门</t>
    <phoneticPr fontId="3" type="noConversion"/>
  </si>
  <si>
    <t>分公司表格</t>
    <phoneticPr fontId="3" type="noConversion"/>
  </si>
  <si>
    <t>个数</t>
    <phoneticPr fontId="3" type="noConversion"/>
  </si>
  <si>
    <t>总公司表格</t>
    <phoneticPr fontId="3" type="noConversion"/>
  </si>
  <si>
    <t>N</t>
    <phoneticPr fontId="3" type="noConversion"/>
  </si>
  <si>
    <t>四川达州反洗钱监管约谈下函</t>
    <phoneticPr fontId="3" type="noConversion"/>
  </si>
  <si>
    <t>最近4个季度公司因反洗钱工作被监管部门下发监管函的次数</t>
    <phoneticPr fontId="3" type="noConversion"/>
  </si>
  <si>
    <t>四川分公司达州机构因2018年反洗钱评级为CC级，人民银行达州中心支行对达州机构进行了约谈，并下发了监管意见书。</t>
    <phoneticPr fontId="3" type="noConversion"/>
  </si>
  <si>
    <t>四川</t>
    <phoneticPr fontId="3" type="noConversion"/>
  </si>
  <si>
    <t>不涉及</t>
    <phoneticPr fontId="3" type="noConversion"/>
  </si>
  <si>
    <t>N</t>
    <phoneticPr fontId="3" type="noConversion"/>
  </si>
  <si>
    <t>19Q1</t>
    <phoneticPr fontId="3" type="noConversion"/>
  </si>
  <si>
    <t>大连银保监局自查自纠专项工作</t>
    <phoneticPr fontId="3" type="noConversion"/>
  </si>
  <si>
    <t>展业操作风险</t>
    <phoneticPr fontId="3" type="noConversion"/>
  </si>
  <si>
    <t>通过本次自查自纠工作发现，分公司存在代签字、销售误导、违规自制宣传材料等情况，分公司已将工作报告报送至大连银保监局，后续待整改完毕后再次向大连局报送整改报告。</t>
    <phoneticPr fontId="3" type="noConversion"/>
  </si>
  <si>
    <t>大连</t>
    <phoneticPr fontId="3" type="noConversion"/>
  </si>
  <si>
    <t>个险</t>
    <phoneticPr fontId="3" type="noConversion"/>
  </si>
  <si>
    <t>19Q1</t>
    <phoneticPr fontId="3" type="noConversion"/>
  </si>
  <si>
    <t>已离职销售人员管雪花现金收取客户保费</t>
    <phoneticPr fontId="3" type="noConversion"/>
  </si>
  <si>
    <t>销售人员管理操作风险</t>
    <phoneticPr fontId="3" type="noConversion"/>
  </si>
  <si>
    <t>销售人员管理操作风险事件</t>
    <phoneticPr fontId="3" type="noConversion"/>
  </si>
  <si>
    <t>18Q4</t>
    <phoneticPr fontId="3" type="noConversion"/>
  </si>
  <si>
    <t>四川客服年度投诉报告</t>
    <phoneticPr fontId="3" type="noConversion"/>
  </si>
  <si>
    <t>四川达州销售人员鲁媛代签名遭投诉</t>
    <phoneticPr fontId="3" type="noConversion"/>
  </si>
  <si>
    <t>四川</t>
    <phoneticPr fontId="3" type="noConversion"/>
  </si>
  <si>
    <t>展业操作风险事件</t>
    <phoneticPr fontId="3" type="noConversion"/>
  </si>
  <si>
    <t>不涉及</t>
    <phoneticPr fontId="3" type="noConversion"/>
  </si>
  <si>
    <t>18Q3</t>
    <phoneticPr fontId="3" type="noConversion"/>
  </si>
  <si>
    <t>山东加强自媒体保险营销宣传行为管控</t>
    <phoneticPr fontId="3" type="noConversion"/>
  </si>
  <si>
    <t>2018年3季度开展的加强自媒体保险营销行为管控工作中，发现销售人员在朋友圈发布违规信息</t>
    <phoneticPr fontId="3" type="noConversion"/>
  </si>
  <si>
    <t>山东</t>
    <phoneticPr fontId="3" type="noConversion"/>
  </si>
  <si>
    <t>2018年三季度发现以下问题：a、在“销售过程中存在夸大保险责任或保险产品利益”方面，通过投诉清单等排查，发现个别经代公司在2007年销售的领创未来累积式分红保险D款产品时可能存在夸大收益的行为。针对该问题，公司已经通过完善的内部处置流程在发现问题的第一时间进行跟进并妥善处理。（涉及报告及报送时间：20180730-年度风险排查）；b、个别销售人员存在通过微信朋友圈私自发布未经公司审核的保险营销宣传信息的行为。（涉及报告及报告时间：20180730-关于加强自媒体保险营销宣传行为管控的自查报告）</t>
    <phoneticPr fontId="3" type="noConversion"/>
  </si>
  <si>
    <t>江苏</t>
    <phoneticPr fontId="3" type="noConversion"/>
  </si>
  <si>
    <t>大连银保监局现场检查发现问题</t>
    <phoneticPr fontId="3" type="noConversion"/>
  </si>
  <si>
    <t>展业操作风险（监管）</t>
    <phoneticPr fontId="3" type="noConversion"/>
  </si>
  <si>
    <t>3季度大连保监局现场检查发现如下问题：一是内容表述不严谨。“新产品发布20170423”，推介产品为恒安标准臻爱健终身重大疾病保险，在介绍公司基本情况时，在缺少限定条件下，表述“公司治理评分是第一最高的分数”；在缺少准确数据来源的情况下，表述“行业重大疾病理赔过程中，重大疾病的理赔额度也不过刚刚上5 万保额，而我们这一款零件化、超有价值、保费低保障高的产品平均我们就16 万的理赔”。</t>
    <phoneticPr fontId="3" type="noConversion"/>
  </si>
  <si>
    <t>二是产说会课件存在不当同业比较。产说会课件“金州20180117-卓越C”，推介产品为恒安标准幸福金生卓越版两全保险C 款（分红型），课件存在以下说法，“许多公司成立时间不足30年，各个方面均处于摸索阶段；没有真正意义上经历过‘大量理赔’的过程，对于未来属于未知状态！恒安标准借鉴股东192 年沉淀了足够的经验甚至教训，有成熟的产品设计及公司运营理念；192 年至少是七八代人的‘生老病死’，经历过、赔付过、见证过！”</t>
    <phoneticPr fontId="3" type="noConversion"/>
  </si>
  <si>
    <t>费用管理操作风险（监管）监管</t>
    <phoneticPr fontId="3" type="noConversion"/>
  </si>
  <si>
    <t>银保</t>
    <phoneticPr fontId="3" type="noConversion"/>
  </si>
  <si>
    <t>费用管理操作风险事件</t>
    <phoneticPr fontId="3" type="noConversion"/>
  </si>
  <si>
    <t>保险风险排查报告、深化保险乱象整治报告</t>
    <phoneticPr fontId="3" type="noConversion"/>
  </si>
  <si>
    <t>1、销售误导问题，如个别销售人员微信朋友圈出现“停售”等违规销售宣传、部分银邮代理网点存在隐瞒风险、夸大或承诺收益问题、个别保险销售人员承诺保障收益；</t>
    <phoneticPr fontId="3" type="noConversion"/>
  </si>
  <si>
    <t>天津</t>
    <phoneticPr fontId="3" type="noConversion"/>
  </si>
  <si>
    <t>2、部分销售人员未充分说明并深入了解客户既往病史（客户未履行如实告知义务）；</t>
    <phoneticPr fontId="3" type="noConversion"/>
  </si>
  <si>
    <t>3、 销售人员未尽职致使保单出现代签情况（代签名或代抄风险提示语句）。</t>
    <phoneticPr fontId="3" type="noConversion"/>
  </si>
  <si>
    <t>18Q2</t>
    <phoneticPr fontId="3" type="noConversion"/>
  </si>
  <si>
    <t>治乱打非报告</t>
    <phoneticPr fontId="3" type="noConversion"/>
  </si>
  <si>
    <t>治乱打非期间，公司自查发现个险渠道代理人庄树红私自印发宣传折页，当场予以销毁，并已于5月8日完成问责。</t>
    <phoneticPr fontId="3" type="noConversion"/>
  </si>
  <si>
    <t>2018年二季度发现以下问题：a、部分机构销售人员存在通过微信朋友圈私自发布“理财”、“返本”、“停售”等违规字眼的信息。（涉及报告及报告时间：20180428-“重塑监管 保险监管大巡查大整治防风险”行动的总结报告）；b、南京、扬州、盐城机构个别内部培训课件中存在“存”、“理财”、“返本”等违规的销售误导字眼。（涉及报告及报告时间：20180428-“重塑监管 保险监管大巡查大整治防风险”行动的总结报告）</t>
    <phoneticPr fontId="3" type="noConversion"/>
  </si>
  <si>
    <t>2018年1季度治理销售乱象打击非法经营专项行动中，发现1 名销售人员销售非保险金融产品</t>
    <phoneticPr fontId="3" type="noConversion"/>
  </si>
  <si>
    <t>违规销售非保险金融产品事件</t>
    <phoneticPr fontId="3" type="noConversion"/>
  </si>
  <si>
    <t>Y</t>
    <phoneticPr fontId="3" type="noConversion"/>
  </si>
  <si>
    <t>18Q1</t>
    <phoneticPr fontId="3" type="noConversion"/>
  </si>
  <si>
    <t>产品市场部1季度IRR数据反馈</t>
    <phoneticPr fontId="3" type="noConversion"/>
  </si>
  <si>
    <t>声誉风险</t>
    <phoneticPr fontId="3" type="noConversion"/>
  </si>
  <si>
    <t>2018年1月30日，河南分公司接到监管部门反馈称有4名客户投诉，客户诉称通过中介机构购买了我公司个人综合意外伤害保险产品，申请退保时不接受退保损失，公司当时未予办理。随后个别客户向当地媒体《大河报》反馈， 2月1日，《大河报》发布了一篇新闻报道，对公司带来了不利影响。</t>
    <phoneticPr fontId="3" type="noConversion"/>
  </si>
  <si>
    <t>河南</t>
    <phoneticPr fontId="3" type="noConversion"/>
  </si>
  <si>
    <t>团险</t>
    <phoneticPr fontId="3" type="noConversion"/>
  </si>
  <si>
    <t>北京</t>
    <phoneticPr fontId="3" type="noConversion"/>
  </si>
  <si>
    <t>辽宁</t>
    <phoneticPr fontId="3" type="noConversion"/>
  </si>
  <si>
    <r>
      <t>3)、2018年一季度发现以下问题：a、部分机构销售人员存在通过微信朋友圈私自发布“理财”、“返本”、“停售”等违规字眼的信息。（涉及报告及报送时间：20180325--治乱打非报告）</t>
    </r>
    <r>
      <rPr>
        <sz val="11"/>
        <color theme="1"/>
        <rFont val="宋体"/>
        <family val="3"/>
        <charset val="134"/>
        <scheme val="minor"/>
      </rPr>
      <t>b、个别人员存在私自印制展业宣传资料的违规行为；（涉及报告及报送时间：20180325--治乱打非报告）c、苏州、徐州、泰州机构个别培训课件中存在“存”、“理财”、“返本”等违规的销售误导字眼；（涉及报告及报送时间：20180325--治乱打非报告）d、个别经代公司在2007年销售的领创未来累积式分红保险D款产品时可能存在夸大收益的行为；（涉及报告及报送时间：20170630关于开展销售管理情况自查自纠的报告、20180325--治乱打非报告）e、个别销售人员在销售过程中存在夸大收益等销售误导行为；（涉及报告及报送时间：20180325--治乱打非报告）</t>
    </r>
    <phoneticPr fontId="3" type="noConversion"/>
  </si>
  <si>
    <t>私印宣传、培训材料</t>
    <phoneticPr fontId="3" type="noConversion"/>
  </si>
  <si>
    <t>2018年1季度治理销售乱象打击非法经营专项行动中，发现销售人员私自制作宣传材料1项</t>
    <phoneticPr fontId="3" type="noConversion"/>
  </si>
  <si>
    <t>财务对账时发现</t>
    <phoneticPr fontId="3" type="noConversion"/>
  </si>
  <si>
    <t>资金管理操作风险</t>
    <phoneticPr fontId="3" type="noConversion"/>
  </si>
  <si>
    <t>天分银保有一笔招商银行银保通业务，保单号为10025279，投保人为王卓，保费金额为1万元，系统显示正常投保，后该投保人申请CFI，公司又向其支付1万元退保费用，财务人员通过对账发现这笔保费资金实际并未划入公司账户，经查投保人个人账户流水，发现当日有1万元的流出和流入。</t>
    <phoneticPr fontId="3" type="noConversion"/>
  </si>
  <si>
    <t>财务、银保</t>
    <phoneticPr fontId="3" type="noConversion"/>
  </si>
  <si>
    <t>财务人员对账发现，总公司2015年2月有一笔银行结算费（1000元）重复记录，但后续未发现，直到今年1季度财务对账发现。根据公司制度，超过3个月的未达账项应上报风险事件。</t>
    <phoneticPr fontId="3" type="noConversion"/>
  </si>
  <si>
    <t>总公司</t>
    <phoneticPr fontId="3" type="noConversion"/>
  </si>
  <si>
    <t>财务</t>
    <phoneticPr fontId="3" type="noConversion"/>
  </si>
  <si>
    <t>费用管理操作风险</t>
    <phoneticPr fontId="3" type="noConversion"/>
  </si>
  <si>
    <t>山东分公司银保渠道存在不合规费用问题，金额161904元。</t>
    <phoneticPr fontId="3" type="noConversion"/>
  </si>
  <si>
    <t>17Q4</t>
    <phoneticPr fontId="3" type="noConversion"/>
  </si>
  <si>
    <t>2017年4季度再次开展保险产品销售管理情况自查自纠工作</t>
    <phoneticPr fontId="3" type="noConversion"/>
  </si>
  <si>
    <t>2017年4季度再次开展保险产品销售管理情况自查自纠工作中，发现代签名、代抄录1项风险事件</t>
    <phoneticPr fontId="3" type="noConversion"/>
  </si>
  <si>
    <t>17Q3</t>
    <phoneticPr fontId="3" type="noConversion"/>
  </si>
  <si>
    <t>2017年度风险排查报告-20170731</t>
    <phoneticPr fontId="3" type="noConversion"/>
  </si>
  <si>
    <t>2017年三季度发现以下问题：a、在“销售过程中存在夸大保险责任或保险产品利益”方面，通过排查回访和投诉记录，发现个别业务员在展业过程中未能如实向投保人讲解收益不确定性的风险，未能详细讲解所有保险条款。针对该问题，公司已经通过完善的内部处置流程在发现问题的第一时间进行跟进并妥善处理。（涉及报告及报送时间：20170731--2017年度风险排查报告）。</t>
    <phoneticPr fontId="3" type="noConversion"/>
  </si>
  <si>
    <t>年度风险排查和非法集资广告资讯排查</t>
    <phoneticPr fontId="3" type="noConversion"/>
  </si>
  <si>
    <t>2017年3季度开展的年度风险排查和非法集资广告资讯排查中，发现销售人员不合规宣传材料、课件1项风险事件（不涉及私印宣传材料）</t>
    <phoneticPr fontId="3" type="noConversion"/>
  </si>
  <si>
    <t>N/A</t>
    <phoneticPr fontId="3" type="noConversion"/>
  </si>
  <si>
    <t>反洗钱操作风险</t>
    <phoneticPr fontId="3" type="noConversion"/>
  </si>
  <si>
    <t>17Q2</t>
    <phoneticPr fontId="3" type="noConversion"/>
  </si>
  <si>
    <t>关于开展保险产品销售管理情况自查自纠工作的报告201706</t>
    <phoneticPr fontId="3" type="noConversion"/>
  </si>
  <si>
    <t>检查发现部分机构销售人员展业资料，发现存在私自打印带有公司产品宣传内容的纸张，其中对产品的保险责任介绍并无夸大或隐瞒，但其中涉及的利益演示，只有中档红利演示，并无高中低三档演示，也没有明确说明“该利益演示基于公司的精算及其他假设，不代表公司的历史经营业绩，也不代表对公司未来经营业绩的预期，保单的红利分配是不确定的。”</t>
    <phoneticPr fontId="3" type="noConversion"/>
  </si>
  <si>
    <t>20170630-关于开展销售管理情况自查自纠的报告</t>
    <phoneticPr fontId="3" type="noConversion"/>
  </si>
  <si>
    <t>3)、2017年二季度发现以下问题：a、盐城和南通机构个别培训课件中存在销售误导的情况，主要体现在课件中出现“存”的字眼。（涉及报告及报送时间：20170630-关于开展销售管理情况自查自纠的报告、20170531根据34、35、40号文开展风险防控自查报告—上报总公司）；b、部分保单存在电子投保确认书、回执、照会上投保人签名存在前后风格不一致的情况，或投、被保人签字风格相似，疑似代签名的情况。（涉及报告及报送时间：20170630-关于开展销售管理情况自查自纠的报告、20170531根据34、35、40号文开展风险防控自查报告—上报总公司）；c、个别经代公司在2007年销售的领创未来累积式分红保险D款产品时可能存在夸大收益的行为。（涉及报告及报送时间：20170630关于开展销售管理情况自查自纠的报告、20161107两两回头看、20170531根据34、35、40号文开展风险防控自查报告—上报总公司）；d、个别销售人员在销售过程中存在夸大收益、代签名的行为。（涉及报告及报送时间：20170630-关于开展销售管理情况自查自纠的报告）</t>
    <phoneticPr fontId="3" type="noConversion"/>
  </si>
  <si>
    <t>个险、多元</t>
    <phoneticPr fontId="3" type="noConversion"/>
  </si>
  <si>
    <t>销售管理情况自查自纠</t>
    <phoneticPr fontId="3" type="noConversion"/>
  </si>
  <si>
    <t>2017年2季度开展的销售管理情况自查自纠工作中，发现销售人员销售误导、代抄录、私自制作宣传材料1项风险事件</t>
    <phoneticPr fontId="3" type="noConversion"/>
  </si>
  <si>
    <t>四川分公司关于开展销售管理自查自纠专项自查报告
-201706</t>
    <phoneticPr fontId="3" type="noConversion"/>
  </si>
  <si>
    <t>在2017年6月销售管理自查自纠中，发现达州中支20207271,20207272两张保单接听电话者不是同一人，存在代访。此问题反映在《销售管理自查自纠工作底稿》及《四川分公司关于开展销售管理自查自纠专项自查报告》中。</t>
    <phoneticPr fontId="3" type="noConversion"/>
  </si>
  <si>
    <t>保全管理操作风险</t>
    <phoneticPr fontId="3" type="noConversion"/>
  </si>
  <si>
    <t>2017年6月开展的销售管理情况自查自纠工作中，发现有销售人员在客户不知情代办退保情况，已查明并解决。</t>
    <phoneticPr fontId="3" type="noConversion"/>
  </si>
  <si>
    <t>客服</t>
    <phoneticPr fontId="3" type="noConversion"/>
  </si>
  <si>
    <t>2017年销售管理自查自纠发现，个险渠道在日常管理中，偶尔会发现销售人员的微信推送中会体现“XX产品停售”“年存X万”、“存X年”等不合规字样的宣传，但渠道一经发现及时会对销售人员进行提示和清理，进行批评教育。</t>
    <phoneticPr fontId="3" type="noConversion"/>
  </si>
  <si>
    <t>内审报告</t>
    <phoneticPr fontId="3" type="noConversion"/>
  </si>
  <si>
    <t>内审提供：河南银保未经审批印刷宣传产品彩页</t>
    <phoneticPr fontId="3" type="noConversion"/>
  </si>
  <si>
    <t>16Q3</t>
    <phoneticPr fontId="3" type="noConversion"/>
  </si>
  <si>
    <t>“两两”回头看报告201610</t>
    <phoneticPr fontId="3" type="noConversion"/>
  </si>
  <si>
    <t>两两回头看发现：私印宣传材料</t>
    <phoneticPr fontId="3" type="noConversion"/>
  </si>
  <si>
    <t>20160730-2016年度风险排查报告</t>
    <phoneticPr fontId="3" type="noConversion"/>
  </si>
  <si>
    <t>1）、2016年三季度发现以下问题：在“销售过程中存在夸大保险责任或保险产品收益”方面，通过排查投诉记录发现个别机构业务员在展业时未能如实向投保人讲解收益的不确定性的风险，未能详细讲解所有保险条款。（涉及报告及报送时间：20160730-2016年度风险排查报告。）</t>
    <phoneticPr fontId="3" type="noConversion"/>
  </si>
  <si>
    <t>20170630关于开展销售管理情况自查自纠的报告、20161107两两回头看、20170531根据34、35、40号文开展风险防控自查报告—上报总公司</t>
    <phoneticPr fontId="3" type="noConversion"/>
  </si>
  <si>
    <t>2)、2016年四季度发现以下问题：a、银保渠道既往业务存在客户因不满收益而投诉的情况。（有销售人员夸大收益的情况）（涉及报告及报送时间：20161107-两两回头看）；b、个别经代公司在2007年销售的领创未来累积式分红保险D款产品时可能存在夸大收益的行为。（涉及报告及报送时间：20170630关于开展销售管理情况自查自纠的报告、20161107两两回头看、20170531根据34、35、40号文开展风险防控自查报告—上报总公司）</t>
    <phoneticPr fontId="3" type="noConversion"/>
  </si>
  <si>
    <t>银保、多元、个险</t>
    <phoneticPr fontId="3" type="noConversion"/>
  </si>
  <si>
    <t>2016年度风险排查报告-20160730</t>
    <phoneticPr fontId="3" type="noConversion"/>
  </si>
  <si>
    <t>中介业务操作风险</t>
    <phoneticPr fontId="3" type="noConversion"/>
  </si>
  <si>
    <t>在“保险销售从业人员及保险代理机构不具备销售资格”方面，通过排查销售人员、与公司合作的中介机构、代理机构的销售资格，发现江苏华鹏保险代理有限公司无锡分公司2015年5月7日受到江苏省保监局处罚（〔2015〕21号），吊销经营保险代理业务许可证。但该公司未及时通知我公司该处罚结果，导致我公司在不知情的情况下，在2015年5月7日后，承保保单6件（承保日期2015年5月21日-7月31日）,合计保费约52930元。我公司发现此情况后，不再向其支付以上业务的中介手续费，并终止与该公司的合作。（涉及报告及报送时间：20160730-2016年度风险排查报告、20161107-两两回头看）</t>
    <phoneticPr fontId="3" type="noConversion"/>
  </si>
  <si>
    <t>多元</t>
    <phoneticPr fontId="3" type="noConversion"/>
  </si>
  <si>
    <t>2016年度风险排查、2016年涉嫌非法集资广告资讯信息排查清理活动</t>
    <phoneticPr fontId="3" type="noConversion"/>
  </si>
  <si>
    <t>2016年3季度开展的2016年度风险排查、2016年涉嫌非法集资广告资讯信息排查清理活动中，发现销售人员不合规宣传材料、课件1项风险事件；</t>
    <phoneticPr fontId="3" type="noConversion"/>
  </si>
  <si>
    <t>“两个加强、两个遏制”回头看</t>
    <phoneticPr fontId="3" type="noConversion"/>
  </si>
  <si>
    <t>2016年4季度开展的保险机构 “两个加强、两个遏制”回头看工作中，发现销售人员存在销售误导1项风险事件；</t>
    <phoneticPr fontId="3" type="noConversion"/>
  </si>
  <si>
    <t>两两回头看</t>
    <phoneticPr fontId="3" type="noConversion"/>
  </si>
  <si>
    <t>两两回头看发现：银保1名客户投诉，涉及销售误导问题</t>
    <phoneticPr fontId="3" type="noConversion"/>
  </si>
  <si>
    <t>最近4个季度公司自查发现中介业务操作风险事件次数</t>
    <phoneticPr fontId="3" type="noConversion"/>
  </si>
  <si>
    <t>单证回销率＝最近4个季度内已回销的有价单证数量÷最近4个季度内按公司规定时限内应回销的有价单证数量×100％。
有价单证是指公司的保单、发票、收据等有价单证。</t>
    <phoneticPr fontId="3" type="noConversion"/>
  </si>
  <si>
    <t>单证印章管理操作风险事件包括大量有价单证遗失，基层机构未经审批擅自印制、购买有价单证，印章遗失、未经审批使用印章、已停用印章未及时收回销毁等情形。（有价单证是指公司的保单、发票、支票等有价单证。印章包括公司印章、财务印章等重要印章）</t>
    <phoneticPr fontId="3" type="noConversion"/>
  </si>
  <si>
    <t>投研人员JD（王向宇、王宇恒、康赛、张宇、斯华景、赵一璇、汪涵）截止至6月30日</t>
    <phoneticPr fontId="3" type="noConversion"/>
  </si>
  <si>
    <t>刘总6次、贾总4次、王总4次、陈总2次</t>
    <phoneticPr fontId="3" type="noConversion"/>
  </si>
  <si>
    <t>资产配置培训17人次,O32/OA投资系统介绍17人次，中台系统20人次，固收体系21人次，信评体系16人次，股票股权投资策略22人次，财务舞弊案例分享21，估值模型介绍16人次，可转债投资介绍22人次，资管新规24人次，非标制度及指引24人次。</t>
    <phoneticPr fontId="3" type="noConversion"/>
  </si>
  <si>
    <t>行业水平确定可得</t>
    <phoneticPr fontId="12" type="noConversion"/>
  </si>
  <si>
    <t>行业水平得分</t>
    <phoneticPr fontId="12" type="noConversion"/>
  </si>
  <si>
    <t>精算提供</t>
    <phoneticPr fontId="3" type="noConversion"/>
  </si>
  <si>
    <t>N</t>
    <phoneticPr fontId="3" type="noConversion"/>
  </si>
  <si>
    <t>19Q2</t>
    <phoneticPr fontId="3" type="noConversion"/>
  </si>
  <si>
    <t>18Q3、19Q2</t>
    <phoneticPr fontId="3" type="noConversion"/>
  </si>
  <si>
    <t>18Q3、19Q2</t>
    <phoneticPr fontId="3" type="noConversion"/>
  </si>
  <si>
    <t>19Q2在对营销员展业资料检查中发现，丹东中心支公司营销员展业柜中存放有自行印制的空白《奖品签收确认函》，本溪中心支公司营销员展业柜中发现“每份保单送智能机器人一台”的自制宣传资料，涉嫌给予投保人保险合同以外的利益</t>
  </si>
  <si>
    <t>辽宁</t>
    <phoneticPr fontId="3" type="noConversion"/>
  </si>
  <si>
    <t>治理乱象报告</t>
    <phoneticPr fontId="3" type="noConversion"/>
  </si>
  <si>
    <t>个险</t>
    <phoneticPr fontId="3" type="noConversion"/>
  </si>
  <si>
    <t>19Q2开展乱象整治自查自纠专项工作，通过自查自纠工作发现，分公司存在代签字、销售误导、违规自制宣传材料等情况，分公司已将工作报告报送至大连银保监局，后续待整改完毕后再次向大连局报送整改报告。</t>
    <phoneticPr fontId="3" type="noConversion"/>
  </si>
  <si>
    <t>大连</t>
    <phoneticPr fontId="3" type="noConversion"/>
  </si>
  <si>
    <t>2019年二季度发现以下问题：a、盐城、南通机构个别培训课件中存在同业产品对比的情况；（涉及报告及报告时间：20190620-“关于开展巩固治乱象成果 促进合规建设工作的报告”）；b、个别经代公司在2007年销售的领创未来累积式分红保险D款产品时可能存在夸大收益的行为。（涉及报告及报告时间：20190620-“关于开展巩固治乱象成果 促进合规建设工作的报告”）；个别机构销售人员存在通过微信朋友圈私自发布“存”、“返本”等违规字眼的信息。（涉及报告及报告时间：20190620-“关于开展巩固治乱象成果 促进合规建设工作的报告”；20190625--关于开展2019年保险中介市场乱象整治自查自纠工作的报告）</t>
    <phoneticPr fontId="3" type="noConversion"/>
  </si>
  <si>
    <t xml:space="preserve">江苏加强自媒体保险营销宣传行为管控
</t>
    <phoneticPr fontId="3" type="noConversion"/>
  </si>
  <si>
    <t>山东</t>
    <phoneticPr fontId="3" type="noConversion"/>
  </si>
  <si>
    <t>2019Q2开展“巩固治乱象成果 促进合规建设”自查，现场检查机构发现不合规课件及宣传材料。</t>
    <phoneticPr fontId="3" type="noConversion"/>
  </si>
  <si>
    <t>19Q2在品质管理过程中发现销售误导问题：
1.郑州本部康歌在办理810-20182120保单时，仅告知客户是一款理财产品，未明确告知是保险产品；濮阳鲁彦霞（工号67300213）在办理保单840-20106096时、郑州本部冯莉娟（工号67002765）在办理保单810-20189904时，未如实引导客户告知既往病史。
2.郑州本部孙贺（工号67002433），在办理810-20200210保单时，代抄风险提示语。</t>
    <phoneticPr fontId="3" type="noConversion"/>
  </si>
  <si>
    <t>2019Q2在课件检查中发现，辽阳中心支公司、鞍山中心支公司存在使用未经合规审核的课件，自行制作的课件缺少免除责任、犹豫期、期外退保损失介绍、红利无三档红利演示、缺少红利演示说明文字等元素。
辽阳、鞍山机构各一次，合计扣1分</t>
    <phoneticPr fontId="3" type="noConversion"/>
  </si>
  <si>
    <t>课件检查</t>
    <phoneticPr fontId="3" type="noConversion"/>
  </si>
  <si>
    <t>达州</t>
    <phoneticPr fontId="3" type="noConversion"/>
  </si>
  <si>
    <t>A类评级标准（初始得分）</t>
    <phoneticPr fontId="3" type="noConversion"/>
  </si>
  <si>
    <t>≥40</t>
  </si>
  <si>
    <t>≥40</t>
    <phoneticPr fontId="3" type="noConversion"/>
  </si>
  <si>
    <t>可资本化风险</t>
    <phoneticPr fontId="3" type="noConversion"/>
  </si>
  <si>
    <t>难以资本化风险</t>
    <phoneticPr fontId="3" type="noConversion"/>
  </si>
  <si>
    <t>1.操作风险、战略风险、声誉风险、流动性风险初始得分标准化加权计算难以资本化风险；
2.难以资本化风险+可资本化风险加权计算风险综合评级</t>
    <phoneticPr fontId="3" type="noConversion"/>
  </si>
  <si>
    <t>19Q2结果</t>
    <phoneticPr fontId="3" type="noConversion"/>
  </si>
  <si>
    <t>19Q2评分</t>
    <phoneticPr fontId="3" type="noConversion"/>
  </si>
  <si>
    <t>占难以资本化</t>
    <phoneticPr fontId="3" type="noConversion"/>
  </si>
  <si>
    <t>占难以资本化</t>
    <phoneticPr fontId="12" type="noConversion"/>
  </si>
  <si>
    <t>占难以资本化</t>
    <phoneticPr fontId="3" type="noConversion"/>
  </si>
  <si>
    <t>评估期保险公司关于理赔、保全业务线的投诉次数</t>
    <phoneticPr fontId="12" type="noConversion"/>
  </si>
  <si>
    <t>评估期评估公司规模保费</t>
    <phoneticPr fontId="12" type="noConversion"/>
  </si>
  <si>
    <t>泰康回复：风险管理、监察稽核人员关键绩效指标与重点工作任务结合，监控指标是重点：除量化的关键绩效指标外，按照公司绩效管理办法，两类人员还需承担岗位重点工作任务，重点工作任务需明确制定任务完成的时间、成果、数量、质量要求，确定衡量标准。同时，两类人员需承担一些确保风险、合规的监控指标，这些监控指标基于制度要求和岗位要求，对于其绩效成绩有较大影响，严重时其绩效成绩为零。这些指标的设置，有效保证了其工作的效果。</t>
    <phoneticPr fontId="3" type="noConversion"/>
  </si>
  <si>
    <t>评估期期末省级分公司和中心支公司销售、承保、保全部门负责人具有5年以上保险相关从业经验人数</t>
    <phoneticPr fontId="3" type="noConversion"/>
  </si>
  <si>
    <t>最近4个季度，省公司销售、承保、保全部门负责人接受监管部门或公司组织的风险管理方面培训不少于3次，得3分；接受了培训但次数少于3次，得1.5分；未接受培训，得0分。</t>
    <phoneticPr fontId="3" type="noConversion"/>
  </si>
  <si>
    <t>培训次数指最近4个季度省级分公司销售、承保、保全部门负责人接受监管部门或公司组织的风险管理方面培训次数。</t>
    <phoneticPr fontId="3" type="noConversion"/>
  </si>
  <si>
    <t>最近4个季度保户投资款本年新增交费</t>
    <phoneticPr fontId="3" type="noConversion"/>
  </si>
  <si>
    <t>评估期末，核保人员中具有三年以上核保工作经验的人员占比。</t>
    <phoneticPr fontId="12" type="noConversion"/>
  </si>
  <si>
    <t>设行业平均水平为θ，评分为：
x&lt;0.85∙θ，0分；
0.85∙θ≤x&lt;1.25∙θ，2分；
1.25∙θ≤x&lt;1.5∙θ，4分；
1.5∙θ≤x，6分。</t>
    <phoneticPr fontId="12" type="noConversion"/>
  </si>
  <si>
    <t>评估时点之前12个月保险公司接到的关于理赔、保全业务线的诉讼发生（不含当期败诉）件数</t>
    <phoneticPr fontId="3" type="noConversion"/>
  </si>
  <si>
    <t>核保人员工作年限</t>
    <phoneticPr fontId="12" type="noConversion"/>
  </si>
  <si>
    <t>评估期末，销售人员中大专以上学历人员数量</t>
    <phoneticPr fontId="12" type="noConversion"/>
  </si>
  <si>
    <t>评估期末，销售人员中大专以上学历人员占比。</t>
    <phoneticPr fontId="12" type="noConversion"/>
  </si>
  <si>
    <t>评估期内离职的销售人员数量</t>
    <phoneticPr fontId="12" type="noConversion"/>
  </si>
  <si>
    <t>评估期初销售人员数量</t>
    <phoneticPr fontId="3" type="noConversion"/>
  </si>
  <si>
    <t>评估期末销售人员数量</t>
    <phoneticPr fontId="12" type="noConversion"/>
  </si>
  <si>
    <t>前4个季度初省级分公司及以下分支机构销售、承保、保全部门员工人数</t>
    <phoneticPr fontId="3" type="noConversion"/>
  </si>
  <si>
    <t>行业水平评分</t>
    <phoneticPr fontId="3" type="noConversion"/>
  </si>
  <si>
    <t>评估期期末省级分公司总经理室成员及中心支公司主要负责人在职人数</t>
    <phoneticPr fontId="3" type="noConversion"/>
  </si>
  <si>
    <t>评估时点之前12个月发现私印宣传、培训材料事件的次数</t>
    <phoneticPr fontId="12" type="noConversion"/>
  </si>
  <si>
    <t>退（撤）保率≤5%,得3分；5%&lt;退（撤）保率≤10%,得1.5分;退（撤）保率&gt;10%,得0分。</t>
    <phoneticPr fontId="3" type="noConversion"/>
  </si>
  <si>
    <t>评估期期末省级分公司及中心支公司理赔部门负责人具有保险理赔工作5年以上相关从业经验的占比高于（或等于）80%，得5分；占比高于（或等于）50%低于80%，得2分；占比低于50%，得0分。</t>
    <phoneticPr fontId="3" type="noConversion"/>
  </si>
  <si>
    <t>员工流失率≤15%，得3分；15%＜员工流失率≤30%，得1.5分；员工流失率&gt;30%，得0分。</t>
    <phoneticPr fontId="3" type="noConversion"/>
  </si>
  <si>
    <t>财会部门人员流失率小于或等于20%，得2分；超过20％的，得0分。</t>
    <phoneticPr fontId="3" type="noConversion"/>
  </si>
  <si>
    <t xml:space="preserve"> </t>
    <phoneticPr fontId="3" type="noConversion"/>
  </si>
  <si>
    <t>行业水平评分</t>
    <phoneticPr fontId="3" type="noConversion"/>
  </si>
  <si>
    <t>最近4个季度监管发现费用管理操作风险事件次数</t>
    <phoneticPr fontId="3" type="noConversion"/>
  </si>
  <si>
    <r>
      <rPr>
        <b/>
        <sz val="10"/>
        <color theme="0"/>
        <rFont val="宋体"/>
        <family val="3"/>
        <charset val="134"/>
      </rPr>
      <t>最近</t>
    </r>
    <r>
      <rPr>
        <b/>
        <sz val="10"/>
        <color theme="0"/>
        <rFont val="Arial"/>
        <family val="2"/>
      </rPr>
      <t>4</t>
    </r>
    <r>
      <rPr>
        <b/>
        <sz val="10"/>
        <color theme="0"/>
        <rFont val="宋体"/>
        <family val="3"/>
        <charset val="134"/>
      </rPr>
      <t>个季度省级分公司及以下分支机构销售、承保、保全部门增加员工人数</t>
    </r>
    <phoneticPr fontId="12" type="noConversion"/>
  </si>
  <si>
    <t>90%&lt;x≤100%，70*X-63；
x≤90%，0。</t>
    <phoneticPr fontId="12" type="noConversion"/>
  </si>
  <si>
    <t>青岛</t>
    <phoneticPr fontId="3" type="noConversion"/>
  </si>
  <si>
    <t xml:space="preserve">&gt;95% </t>
    <phoneticPr fontId="3" type="noConversion"/>
  </si>
</sst>
</file>

<file path=xl/styles.xml><?xml version="1.0" encoding="utf-8"?>
<styleSheet xmlns="http://schemas.openxmlformats.org/spreadsheetml/2006/main">
  <numFmts count="10">
    <numFmt numFmtId="43" formatCode="_ * #,##0.00_ ;_ * \-#,##0.00_ ;_ * &quot;-&quot;??_ ;_ @_ "/>
    <numFmt numFmtId="176" formatCode="0.00_ "/>
    <numFmt numFmtId="177" formatCode="_ * #,##0.000000_ ;_ * \-#,##0.000000_ ;_ * &quot;-&quot;??????_ ;_ @_ "/>
    <numFmt numFmtId="178" formatCode="_(* #,##0.00_);_(* \(#,##0.00\);_(* &quot;-&quot;??_);_(@_)"/>
    <numFmt numFmtId="179" formatCode="#,##0.0000_);\(#,##0.0000\)"/>
    <numFmt numFmtId="180" formatCode="0.000_);[Red]\(0.000\)"/>
    <numFmt numFmtId="181" formatCode="0.00_);[Red]\(0.00\)"/>
    <numFmt numFmtId="182" formatCode="0.000%"/>
    <numFmt numFmtId="183" formatCode="#,##0.00_ "/>
    <numFmt numFmtId="184" formatCode="0.000_ "/>
  </numFmts>
  <fonts count="101">
    <font>
      <sz val="11"/>
      <color theme="1"/>
      <name val="宋体"/>
      <family val="2"/>
      <charset val="134"/>
      <scheme val="minor"/>
    </font>
    <font>
      <sz val="10"/>
      <color theme="1"/>
      <name val="Arial"/>
      <family val="2"/>
      <charset val="134"/>
    </font>
    <font>
      <b/>
      <sz val="11"/>
      <color theme="1"/>
      <name val="微软雅黑"/>
      <family val="2"/>
      <charset val="134"/>
    </font>
    <font>
      <sz val="9"/>
      <name val="宋体"/>
      <family val="2"/>
      <charset val="134"/>
      <scheme val="minor"/>
    </font>
    <font>
      <sz val="9"/>
      <color theme="1"/>
      <name val="微软雅黑"/>
      <family val="2"/>
      <charset val="134"/>
    </font>
    <font>
      <sz val="11"/>
      <color theme="1"/>
      <name val="微软雅黑"/>
      <family val="2"/>
      <charset val="134"/>
    </font>
    <font>
      <b/>
      <sz val="9"/>
      <color theme="1"/>
      <name val="微软雅黑"/>
      <family val="2"/>
      <charset val="134"/>
    </font>
    <font>
      <b/>
      <sz val="11"/>
      <color theme="0"/>
      <name val="微软雅黑"/>
      <family val="2"/>
      <charset val="134"/>
    </font>
    <font>
      <b/>
      <sz val="11"/>
      <name val="微软雅黑"/>
      <family val="2"/>
      <charset val="134"/>
    </font>
    <font>
      <u/>
      <sz val="11"/>
      <color theme="10"/>
      <name val="宋体"/>
      <family val="2"/>
      <charset val="134"/>
      <scheme val="minor"/>
    </font>
    <font>
      <u/>
      <sz val="11"/>
      <color theme="10"/>
      <name val="微软雅黑"/>
      <family val="2"/>
      <charset val="134"/>
    </font>
    <font>
      <b/>
      <sz val="8"/>
      <name val="微软雅黑"/>
      <family val="2"/>
      <charset val="134"/>
    </font>
    <font>
      <sz val="9"/>
      <name val="宋体"/>
      <family val="3"/>
      <charset val="134"/>
    </font>
    <font>
      <sz val="11"/>
      <color theme="1"/>
      <name val="宋体"/>
      <family val="2"/>
      <charset val="134"/>
      <scheme val="minor"/>
    </font>
    <font>
      <sz val="9"/>
      <color indexed="81"/>
      <name val="Tahoma"/>
      <family val="2"/>
    </font>
    <font>
      <sz val="9"/>
      <color indexed="81"/>
      <name val="宋体"/>
      <family val="3"/>
      <charset val="134"/>
    </font>
    <font>
      <sz val="14"/>
      <color theme="1"/>
      <name val="宋体"/>
      <family val="3"/>
      <charset val="134"/>
    </font>
    <font>
      <sz val="14"/>
      <color theme="1"/>
      <name val="Arial"/>
      <family val="2"/>
      <charset val="134"/>
    </font>
    <font>
      <sz val="14"/>
      <color theme="1"/>
      <name val="宋体"/>
      <family val="2"/>
      <charset val="134"/>
      <scheme val="minor"/>
    </font>
    <font>
      <sz val="11"/>
      <color theme="1"/>
      <name val="宋体"/>
      <family val="3"/>
      <charset val="134"/>
      <scheme val="minor"/>
    </font>
    <font>
      <sz val="8"/>
      <color theme="1"/>
      <name val="微软雅黑"/>
      <family val="2"/>
      <charset val="134"/>
    </font>
    <font>
      <b/>
      <sz val="18"/>
      <color theme="1"/>
      <name val="微软雅黑"/>
      <family val="2"/>
      <charset val="134"/>
    </font>
    <font>
      <b/>
      <sz val="8"/>
      <color rgb="FF000000"/>
      <name val="微软雅黑"/>
      <family val="2"/>
      <charset val="134"/>
    </font>
    <font>
      <sz val="9"/>
      <name val="Tahoma"/>
      <family val="2"/>
      <charset val="134"/>
    </font>
    <font>
      <sz val="8"/>
      <color rgb="FF000000"/>
      <name val="微软雅黑"/>
      <family val="2"/>
      <charset val="134"/>
    </font>
    <font>
      <b/>
      <sz val="9"/>
      <name val="微软雅黑"/>
      <family val="2"/>
      <charset val="134"/>
    </font>
    <font>
      <b/>
      <sz val="8"/>
      <color theme="1"/>
      <name val="微软雅黑"/>
      <family val="2"/>
      <charset val="134"/>
    </font>
    <font>
      <sz val="16"/>
      <name val="黑体"/>
      <family val="3"/>
      <charset val="134"/>
    </font>
    <font>
      <sz val="11"/>
      <name val="宋体"/>
      <family val="3"/>
      <charset val="134"/>
      <scheme val="minor"/>
    </font>
    <font>
      <sz val="22"/>
      <name val="长城小标宋体"/>
      <family val="3"/>
      <charset val="134"/>
    </font>
    <font>
      <b/>
      <sz val="12"/>
      <name val="仿宋_GB2312"/>
      <family val="3"/>
      <charset val="134"/>
    </font>
    <font>
      <sz val="11"/>
      <name val="仿宋_GB2312"/>
      <family val="3"/>
      <charset val="134"/>
    </font>
    <font>
      <b/>
      <sz val="11"/>
      <name val="仿宋_GB2312"/>
      <family val="3"/>
      <charset val="134"/>
    </font>
    <font>
      <sz val="10.5"/>
      <name val="仿宋_GB2312"/>
      <family val="3"/>
      <charset val="134"/>
    </font>
    <font>
      <b/>
      <sz val="18"/>
      <name val="微软雅黑"/>
      <family val="2"/>
      <charset val="134"/>
    </font>
    <font>
      <sz val="10"/>
      <name val="宋体"/>
      <family val="2"/>
      <charset val="134"/>
      <scheme val="minor"/>
    </font>
    <font>
      <sz val="8"/>
      <name val="微软雅黑"/>
      <family val="2"/>
      <charset val="134"/>
    </font>
    <font>
      <sz val="11"/>
      <color indexed="8"/>
      <name val="宋体"/>
      <family val="3"/>
      <charset val="134"/>
    </font>
    <font>
      <b/>
      <sz val="9"/>
      <color theme="0" tint="-0.14999847407452621"/>
      <name val="微软雅黑"/>
      <family val="2"/>
      <charset val="134"/>
    </font>
    <font>
      <sz val="9"/>
      <color theme="0" tint="-0.249977111117893"/>
      <name val="微软雅黑"/>
      <family val="2"/>
      <charset val="134"/>
    </font>
    <font>
      <b/>
      <sz val="9"/>
      <color indexed="81"/>
      <name val="宋体"/>
      <family val="3"/>
      <charset val="134"/>
    </font>
    <font>
      <b/>
      <sz val="18"/>
      <color indexed="8"/>
      <name val="微软雅黑"/>
      <family val="2"/>
      <charset val="134"/>
    </font>
    <font>
      <b/>
      <sz val="8"/>
      <color indexed="8"/>
      <name val="微软雅黑"/>
      <family val="2"/>
      <charset val="134"/>
    </font>
    <font>
      <sz val="8"/>
      <color theme="1"/>
      <name val="宋体"/>
      <family val="2"/>
      <charset val="134"/>
      <scheme val="minor"/>
    </font>
    <font>
      <sz val="9"/>
      <color theme="1"/>
      <name val="宋体"/>
      <family val="3"/>
      <charset val="134"/>
      <scheme val="minor"/>
    </font>
    <font>
      <sz val="8"/>
      <color theme="0" tint="-0.34998626667073579"/>
      <name val="微软雅黑"/>
      <family val="2"/>
      <charset val="134"/>
    </font>
    <font>
      <sz val="9"/>
      <name val="微软雅黑"/>
      <family val="2"/>
      <charset val="134"/>
    </font>
    <font>
      <b/>
      <sz val="9"/>
      <color indexed="81"/>
      <name val="Tahoma"/>
      <family val="2"/>
    </font>
    <font>
      <sz val="10"/>
      <color theme="1"/>
      <name val="微软雅黑"/>
      <family val="2"/>
      <charset val="134"/>
    </font>
    <font>
      <sz val="9"/>
      <name val="Tahoma"/>
      <family val="2"/>
    </font>
    <font>
      <sz val="9"/>
      <color rgb="FF000000"/>
      <name val="微软雅黑"/>
      <family val="2"/>
      <charset val="134"/>
    </font>
    <font>
      <sz val="9"/>
      <color theme="0" tint="-0.14999847407452621"/>
      <name val="微软雅黑"/>
      <family val="2"/>
      <charset val="134"/>
    </font>
    <font>
      <sz val="9"/>
      <color rgb="FFFF0000"/>
      <name val="微软雅黑"/>
      <family val="2"/>
      <charset val="134"/>
    </font>
    <font>
      <sz val="9"/>
      <name val="宋体"/>
      <family val="3"/>
      <charset val="134"/>
      <scheme val="minor"/>
    </font>
    <font>
      <sz val="9"/>
      <color theme="1"/>
      <name val="Arial Unicode MS"/>
      <family val="2"/>
      <charset val="134"/>
    </font>
    <font>
      <sz val="9"/>
      <color indexed="8"/>
      <name val="微软雅黑"/>
      <family val="2"/>
      <charset val="134"/>
    </font>
    <font>
      <sz val="10.5"/>
      <color theme="1"/>
      <name val="Calibri"/>
      <family val="2"/>
    </font>
    <font>
      <sz val="10"/>
      <color rgb="FF000000"/>
      <name val="宋体"/>
      <family val="3"/>
      <charset val="134"/>
    </font>
    <font>
      <sz val="10.5"/>
      <color theme="1"/>
      <name val="宋体"/>
      <family val="3"/>
      <charset val="134"/>
    </font>
    <font>
      <sz val="10.5"/>
      <color rgb="FF1F497D"/>
      <name val="Arial Unicode MS"/>
      <family val="2"/>
      <charset val="134"/>
    </font>
    <font>
      <sz val="9"/>
      <color theme="0" tint="-0.34998626667073579"/>
      <name val="微软雅黑"/>
      <family val="2"/>
      <charset val="134"/>
    </font>
    <font>
      <sz val="8"/>
      <color rgb="FFFF0000"/>
      <name val="微软雅黑"/>
      <family val="2"/>
      <charset val="134"/>
    </font>
    <font>
      <sz val="10"/>
      <name val="宋体"/>
      <family val="2"/>
      <charset val="134"/>
    </font>
    <font>
      <sz val="9"/>
      <color theme="3" tint="0.39997558519241921"/>
      <name val="微软雅黑"/>
      <family val="2"/>
      <charset val="134"/>
    </font>
    <font>
      <sz val="11"/>
      <color theme="3" tint="0.39997558519241921"/>
      <name val="微软雅黑"/>
      <family val="2"/>
      <charset val="134"/>
    </font>
    <font>
      <sz val="9"/>
      <color rgb="FF00B050"/>
      <name val="微软雅黑"/>
      <family val="2"/>
      <charset val="134"/>
    </font>
    <font>
      <sz val="11"/>
      <color rgb="FF000000"/>
      <name val="微软雅黑"/>
      <family val="2"/>
      <charset val="134"/>
    </font>
    <font>
      <sz val="11"/>
      <name val="微软雅黑"/>
      <family val="2"/>
      <charset val="134"/>
    </font>
    <font>
      <b/>
      <sz val="11"/>
      <color theme="9"/>
      <name val="微软雅黑"/>
      <family val="2"/>
      <charset val="134"/>
    </font>
    <font>
      <b/>
      <sz val="9"/>
      <color theme="0" tint="-0.34998626667073579"/>
      <name val="微软雅黑"/>
      <family val="2"/>
      <charset val="134"/>
    </font>
    <font>
      <b/>
      <sz val="9"/>
      <color theme="0"/>
      <name val="微软雅黑"/>
      <family val="2"/>
      <charset val="134"/>
    </font>
    <font>
      <b/>
      <sz val="9"/>
      <color theme="9"/>
      <name val="微软雅黑"/>
      <family val="2"/>
      <charset val="134"/>
    </font>
    <font>
      <b/>
      <sz val="11"/>
      <color rgb="FF00B050"/>
      <name val="微软雅黑"/>
      <family val="2"/>
      <charset val="134"/>
    </font>
    <font>
      <b/>
      <sz val="11"/>
      <color rgb="FFFF0000"/>
      <name val="微软雅黑"/>
      <family val="2"/>
      <charset val="134"/>
    </font>
    <font>
      <b/>
      <sz val="11"/>
      <color theme="1"/>
      <name val="宋体"/>
      <family val="3"/>
      <charset val="134"/>
      <scheme val="minor"/>
    </font>
    <font>
      <b/>
      <sz val="11"/>
      <color rgb="FF00B050"/>
      <name val="宋体"/>
      <family val="3"/>
      <charset val="134"/>
      <scheme val="minor"/>
    </font>
    <font>
      <b/>
      <sz val="12"/>
      <color theme="1"/>
      <name val="宋体"/>
      <family val="2"/>
      <charset val="134"/>
      <scheme val="minor"/>
    </font>
    <font>
      <b/>
      <sz val="12"/>
      <color rgb="FF002060"/>
      <name val="宋体"/>
      <family val="2"/>
      <charset val="134"/>
      <scheme val="minor"/>
    </font>
    <font>
      <b/>
      <sz val="12"/>
      <color theme="0" tint="-0.14999847407452621"/>
      <name val="宋体"/>
      <family val="3"/>
      <charset val="134"/>
      <scheme val="minor"/>
    </font>
    <font>
      <b/>
      <sz val="12"/>
      <color rgb="FFFF0000"/>
      <name val="宋体"/>
      <family val="3"/>
      <charset val="134"/>
      <scheme val="minor"/>
    </font>
    <font>
      <b/>
      <sz val="12"/>
      <color rgb="FF00B050"/>
      <name val="宋体"/>
      <family val="3"/>
      <charset val="134"/>
      <scheme val="minor"/>
    </font>
    <font>
      <sz val="12"/>
      <color theme="0"/>
      <name val="宋体"/>
      <family val="2"/>
      <charset val="134"/>
      <scheme val="minor"/>
    </font>
    <font>
      <b/>
      <sz val="11"/>
      <color theme="0"/>
      <name val="宋体"/>
      <family val="3"/>
      <charset val="134"/>
      <scheme val="minor"/>
    </font>
    <font>
      <b/>
      <sz val="10"/>
      <color theme="1"/>
      <name val="微软雅黑"/>
      <family val="2"/>
      <charset val="134"/>
    </font>
    <font>
      <b/>
      <sz val="10"/>
      <color rgb="FFFF0000"/>
      <name val="微软雅黑"/>
      <family val="2"/>
      <charset val="134"/>
    </font>
    <font>
      <b/>
      <sz val="11"/>
      <color theme="9"/>
      <name val="宋体"/>
      <family val="3"/>
      <charset val="134"/>
      <scheme val="minor"/>
    </font>
    <font>
      <b/>
      <sz val="11"/>
      <color theme="9" tint="-0.249977111117893"/>
      <name val="宋体"/>
      <family val="3"/>
      <charset val="134"/>
      <scheme val="minor"/>
    </font>
    <font>
      <b/>
      <sz val="10"/>
      <color rgb="FF000000"/>
      <name val="宋体"/>
      <family val="3"/>
      <charset val="134"/>
    </font>
    <font>
      <sz val="11"/>
      <name val="宋体"/>
      <family val="2"/>
      <charset val="134"/>
      <scheme val="minor"/>
    </font>
    <font>
      <sz val="10"/>
      <name val="Arial"/>
      <family val="2"/>
    </font>
    <font>
      <b/>
      <sz val="8"/>
      <color theme="9"/>
      <name val="微软雅黑"/>
      <family val="2"/>
      <charset val="134"/>
    </font>
    <font>
      <b/>
      <sz val="10"/>
      <color theme="0"/>
      <name val="Arial"/>
      <family val="2"/>
    </font>
    <font>
      <b/>
      <sz val="10"/>
      <color theme="0"/>
      <name val="宋体"/>
      <family val="2"/>
      <charset val="134"/>
    </font>
    <font>
      <sz val="11"/>
      <name val="Arial"/>
      <family val="2"/>
    </font>
    <font>
      <sz val="14"/>
      <color theme="1"/>
      <name val="宋体"/>
      <family val="3"/>
      <charset val="134"/>
      <scheme val="minor"/>
    </font>
    <font>
      <sz val="8"/>
      <color indexed="8"/>
      <name val="SimSun"/>
      <charset val="134"/>
    </font>
    <font>
      <sz val="8"/>
      <color indexed="8"/>
      <name val="Arial"/>
      <family val="2"/>
    </font>
    <font>
      <sz val="9"/>
      <color indexed="81"/>
      <name val="Tahoma"/>
      <family val="2"/>
      <charset val="134"/>
    </font>
    <font>
      <b/>
      <sz val="9"/>
      <color indexed="81"/>
      <name val="Tahoma"/>
      <family val="2"/>
      <charset val="134"/>
    </font>
    <font>
      <sz val="10"/>
      <color theme="1"/>
      <name val="Times New Roman"/>
      <family val="1"/>
    </font>
    <font>
      <b/>
      <sz val="10"/>
      <color theme="0"/>
      <name val="宋体"/>
      <family val="3"/>
      <charset val="134"/>
    </font>
  </fonts>
  <fills count="59">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rgb="FFD8D8D8"/>
        <bgColor rgb="FF000000"/>
      </patternFill>
    </fill>
    <fill>
      <patternFill patternType="solid">
        <fgColor rgb="FFFFFF00"/>
        <bgColor indexed="64"/>
      </patternFill>
    </fill>
    <fill>
      <patternFill patternType="solid">
        <fgColor theme="5" tint="0.39997558519241921"/>
        <bgColor indexed="64"/>
      </patternFill>
    </fill>
    <fill>
      <patternFill patternType="solid">
        <fgColor rgb="FFD8D8D8"/>
        <bgColor indexed="64"/>
      </patternFill>
    </fill>
    <fill>
      <patternFill patternType="solid">
        <fgColor theme="6" tint="0.79998168889431442"/>
        <bgColor indexed="64"/>
      </patternFill>
    </fill>
    <fill>
      <patternFill patternType="solid">
        <fgColor rgb="FF92D050"/>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0"/>
        <bgColor rgb="FF000000"/>
      </patternFill>
    </fill>
    <fill>
      <patternFill patternType="solid">
        <fgColor theme="8" tint="0.79998168889431442"/>
        <bgColor indexed="64"/>
      </patternFill>
    </fill>
    <fill>
      <patternFill patternType="solid">
        <fgColor theme="3" tint="0.39997558519241921"/>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mediumGray">
        <bgColor theme="6" tint="0.39994506668294322"/>
      </patternFill>
    </fill>
    <fill>
      <patternFill patternType="solid">
        <fgColor theme="8"/>
        <bgColor indexed="64"/>
      </patternFill>
    </fill>
    <fill>
      <patternFill patternType="lightGray">
        <bgColor theme="4" tint="-0.249977111117893"/>
      </patternFill>
    </fill>
    <fill>
      <patternFill patternType="solid">
        <fgColor theme="5" tint="0.79998168889431442"/>
        <bgColor indexed="64"/>
      </patternFill>
    </fill>
    <fill>
      <patternFill patternType="solid">
        <fgColor theme="3" tint="0.79998168889431442"/>
        <bgColor indexed="64"/>
      </patternFill>
    </fill>
    <fill>
      <patternFill patternType="darkUp">
        <bgColor auto="1"/>
      </patternFill>
    </fill>
    <fill>
      <patternFill patternType="solid">
        <fgColor theme="4" tint="-0.499984740745262"/>
        <bgColor indexed="64"/>
      </patternFill>
    </fill>
    <fill>
      <patternFill patternType="solid">
        <fgColor theme="3" tint="-0.499984740745262"/>
        <bgColor indexed="64"/>
      </patternFill>
    </fill>
    <fill>
      <patternFill patternType="solid">
        <fgColor theme="3" tint="-0.249977111117893"/>
        <bgColor indexed="64"/>
      </patternFill>
    </fill>
    <fill>
      <patternFill patternType="solid">
        <fgColor theme="4"/>
        <bgColor indexed="64"/>
      </patternFill>
    </fill>
    <fill>
      <patternFill patternType="solid">
        <fgColor rgb="FFFFC000"/>
        <bgColor indexed="64"/>
      </patternFill>
    </fill>
    <fill>
      <patternFill patternType="lightGray"/>
    </fill>
    <fill>
      <patternFill patternType="solid">
        <fgColor theme="0" tint="-4.9989318521683403E-2"/>
        <bgColor indexed="64"/>
      </patternFill>
    </fill>
    <fill>
      <patternFill patternType="gray125">
        <bgColor theme="4" tint="-0.499984740745262"/>
      </patternFill>
    </fill>
    <fill>
      <patternFill patternType="gray125">
        <bgColor rgb="FF92D050"/>
      </patternFill>
    </fill>
    <fill>
      <patternFill patternType="solid">
        <fgColor rgb="FF002060"/>
        <bgColor indexed="64"/>
      </patternFill>
    </fill>
    <fill>
      <patternFill patternType="solid">
        <fgColor theme="9"/>
        <bgColor indexed="64"/>
      </patternFill>
    </fill>
    <fill>
      <patternFill patternType="gray125">
        <bgColor theme="9"/>
      </patternFill>
    </fill>
    <fill>
      <patternFill patternType="solid">
        <fgColor theme="9" tint="0.79998168889431442"/>
        <bgColor indexed="64"/>
      </patternFill>
    </fill>
    <fill>
      <patternFill patternType="gray0625">
        <bgColor theme="9" tint="0.79998168889431442"/>
      </patternFill>
    </fill>
    <fill>
      <patternFill patternType="gray0625">
        <bgColor theme="7" tint="0.79998168889431442"/>
      </patternFill>
    </fill>
    <fill>
      <patternFill patternType="solid">
        <fgColor theme="9" tint="0.59999389629810485"/>
        <bgColor indexed="64"/>
      </patternFill>
    </fill>
    <fill>
      <patternFill patternType="gray0625">
        <bgColor theme="8" tint="0.79998168889431442"/>
      </patternFill>
    </fill>
    <fill>
      <patternFill patternType="solid">
        <fgColor theme="2"/>
        <bgColor indexed="64"/>
      </patternFill>
    </fill>
    <fill>
      <patternFill patternType="gray0625"/>
    </fill>
    <fill>
      <patternFill patternType="solid">
        <fgColor rgb="FFFFFF99"/>
        <bgColor indexed="64"/>
      </patternFill>
    </fill>
    <fill>
      <patternFill patternType="gray0625">
        <bgColor theme="2"/>
      </patternFill>
    </fill>
    <fill>
      <patternFill patternType="gray0625">
        <bgColor theme="6" tint="0.79998168889431442"/>
      </patternFill>
    </fill>
    <fill>
      <patternFill patternType="gray0625">
        <bgColor rgb="FFFFFF99"/>
      </patternFill>
    </fill>
    <fill>
      <patternFill patternType="lightGrid">
        <bgColor auto="1"/>
      </patternFill>
    </fill>
    <fill>
      <patternFill patternType="lightGrid">
        <bgColor theme="9" tint="0.79995117038483843"/>
      </patternFill>
    </fill>
    <fill>
      <patternFill patternType="lightGrid">
        <bgColor theme="7" tint="0.79995117038483843"/>
      </patternFill>
    </fill>
    <fill>
      <patternFill patternType="solid">
        <fgColor theme="4"/>
        <bgColor theme="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5" tint="0.59996337778862885"/>
        <bgColor indexed="64"/>
      </patternFill>
    </fill>
    <fill>
      <patternFill patternType="solid">
        <fgColor indexed="65"/>
        <bgColor indexed="64"/>
      </patternFill>
    </fill>
    <fill>
      <patternFill patternType="gray0625">
        <bgColor rgb="FFFFFF00"/>
      </patternFill>
    </fill>
  </fills>
  <borders count="67">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thin">
        <color indexed="64"/>
      </top>
      <bottom/>
      <diagonal/>
    </border>
    <border>
      <left style="thin">
        <color indexed="64"/>
      </left>
      <right/>
      <top style="medium">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diagonal/>
    </border>
    <border>
      <left/>
      <right style="medium">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thin">
        <color indexed="64"/>
      </right>
      <top/>
      <bottom/>
      <diagonal/>
    </border>
    <border>
      <left style="thin">
        <color theme="0"/>
      </left>
      <right style="thin">
        <color theme="0"/>
      </right>
      <top style="thin">
        <color theme="0"/>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thin">
        <color indexed="64"/>
      </top>
      <bottom style="thin">
        <color indexed="64"/>
      </bottom>
      <diagonal/>
    </border>
    <border>
      <left/>
      <right style="thin">
        <color theme="0"/>
      </right>
      <top/>
      <bottom/>
      <diagonal/>
    </border>
    <border>
      <left/>
      <right style="medium">
        <color indexed="64"/>
      </right>
      <top style="thin">
        <color indexed="64"/>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s>
  <cellStyleXfs count="13">
    <xf numFmtId="0" fontId="0" fillId="0" borderId="0">
      <alignment vertical="center"/>
    </xf>
    <xf numFmtId="0" fontId="1" fillId="0" borderId="0">
      <alignment vertical="center"/>
    </xf>
    <xf numFmtId="0" fontId="9" fillId="0" borderId="0" applyNumberFormat="0" applyFill="0" applyBorder="0" applyAlignment="0" applyProtection="0">
      <alignment vertical="center"/>
    </xf>
    <xf numFmtId="9" fontId="13" fillId="0" borderId="0" applyFont="0" applyFill="0" applyBorder="0" applyAlignment="0" applyProtection="0">
      <alignment vertical="center"/>
    </xf>
    <xf numFmtId="43" fontId="13" fillId="0" borderId="0" applyFont="0" applyFill="0" applyBorder="0" applyAlignment="0" applyProtection="0">
      <alignment vertical="center"/>
    </xf>
    <xf numFmtId="0" fontId="19" fillId="0" borderId="0">
      <alignment vertical="center"/>
    </xf>
    <xf numFmtId="0" fontId="13" fillId="0" borderId="0">
      <alignment vertical="center"/>
    </xf>
    <xf numFmtId="9" fontId="19" fillId="0" borderId="0" applyFont="0" applyFill="0" applyBorder="0" applyAlignment="0" applyProtection="0">
      <alignment vertical="center"/>
    </xf>
    <xf numFmtId="9" fontId="37" fillId="0" borderId="0" applyFont="0" applyFill="0" applyBorder="0" applyAlignment="0" applyProtection="0">
      <alignment vertical="center"/>
    </xf>
    <xf numFmtId="0" fontId="19" fillId="0" borderId="0"/>
    <xf numFmtId="0" fontId="13" fillId="0" borderId="0">
      <alignment vertical="center"/>
    </xf>
    <xf numFmtId="0" fontId="19" fillId="0" borderId="0">
      <alignment vertical="center"/>
    </xf>
    <xf numFmtId="0" fontId="19" fillId="0" borderId="0">
      <alignment vertical="center"/>
    </xf>
  </cellStyleXfs>
  <cellXfs count="1831">
    <xf numFmtId="0" fontId="0" fillId="0" borderId="0" xfId="0">
      <alignment vertical="center"/>
    </xf>
    <xf numFmtId="0" fontId="5" fillId="0" borderId="0" xfId="0" applyFont="1">
      <alignment vertical="center"/>
    </xf>
    <xf numFmtId="0" fontId="4" fillId="0" borderId="0" xfId="0" applyFont="1">
      <alignment vertical="center"/>
    </xf>
    <xf numFmtId="0" fontId="4" fillId="0" borderId="5" xfId="0" applyFont="1" applyBorder="1">
      <alignment vertical="center"/>
    </xf>
    <xf numFmtId="0" fontId="4" fillId="0" borderId="0" xfId="0" applyFont="1" applyAlignment="1">
      <alignment horizontal="left" vertical="center"/>
    </xf>
    <xf numFmtId="0" fontId="6" fillId="0" borderId="6" xfId="0" applyFont="1" applyBorder="1" applyAlignment="1">
      <alignment horizontal="left" vertical="center"/>
    </xf>
    <xf numFmtId="0" fontId="6" fillId="0" borderId="5" xfId="0" applyFont="1" applyBorder="1" applyAlignment="1">
      <alignment horizontal="left" vertical="center"/>
    </xf>
    <xf numFmtId="0" fontId="4" fillId="0" borderId="0" xfId="0" applyFont="1" applyFill="1">
      <alignment vertical="center"/>
    </xf>
    <xf numFmtId="0" fontId="5" fillId="0" borderId="0" xfId="0" applyFont="1" applyFill="1">
      <alignment vertical="center"/>
    </xf>
    <xf numFmtId="0" fontId="6" fillId="0" borderId="5" xfId="0" applyFont="1" applyFill="1" applyBorder="1">
      <alignment vertical="center"/>
    </xf>
    <xf numFmtId="0" fontId="4" fillId="0" borderId="0" xfId="0" applyFont="1" applyAlignment="1">
      <alignment horizontal="right" vertical="center"/>
    </xf>
    <xf numFmtId="0" fontId="5" fillId="0" borderId="0" xfId="0" applyFont="1" applyAlignment="1">
      <alignment horizontal="right" vertical="center"/>
    </xf>
    <xf numFmtId="0" fontId="5" fillId="0" borderId="1" xfId="0" applyFont="1" applyBorder="1" applyAlignment="1">
      <alignment horizontal="center" vertical="center"/>
    </xf>
    <xf numFmtId="0" fontId="5" fillId="0" borderId="3" xfId="0" applyFont="1" applyBorder="1" applyAlignment="1">
      <alignment horizontal="center" vertical="center"/>
    </xf>
    <xf numFmtId="0" fontId="0" fillId="0" borderId="0" xfId="0" applyAlignment="1">
      <alignment horizontal="center" vertical="center"/>
    </xf>
    <xf numFmtId="0" fontId="10" fillId="0" borderId="2" xfId="2" applyFont="1" applyBorder="1">
      <alignment vertical="center"/>
    </xf>
    <xf numFmtId="0" fontId="10" fillId="0" borderId="4" xfId="2" applyFont="1" applyBorder="1">
      <alignment vertical="center"/>
    </xf>
    <xf numFmtId="0" fontId="11" fillId="4" borderId="5" xfId="0" applyFont="1" applyFill="1" applyBorder="1" applyAlignment="1">
      <alignment horizontal="center" vertical="center" wrapText="1"/>
    </xf>
    <xf numFmtId="0" fontId="4" fillId="0" borderId="5" xfId="0" applyFont="1" applyBorder="1" applyAlignment="1">
      <alignment horizontal="left" vertical="center" wrapText="1"/>
    </xf>
    <xf numFmtId="0" fontId="4" fillId="0" borderId="5" xfId="0" applyFont="1" applyBorder="1" applyAlignment="1">
      <alignment horizontal="left" vertical="center"/>
    </xf>
    <xf numFmtId="0" fontId="4" fillId="0" borderId="21" xfId="0" applyFont="1" applyFill="1" applyBorder="1" applyAlignment="1">
      <alignment horizontal="left" vertical="center"/>
    </xf>
    <xf numFmtId="0" fontId="7" fillId="2" borderId="5" xfId="0" applyFont="1" applyFill="1" applyBorder="1" applyAlignment="1">
      <alignment horizontal="center" vertical="center"/>
    </xf>
    <xf numFmtId="10" fontId="4" fillId="0" borderId="5" xfId="0" applyNumberFormat="1" applyFont="1" applyFill="1" applyBorder="1" applyAlignment="1">
      <alignment horizontal="right" vertical="center"/>
    </xf>
    <xf numFmtId="0" fontId="6" fillId="0" borderId="5" xfId="0" applyFont="1" applyBorder="1" applyAlignment="1">
      <alignment horizontal="right" vertical="center"/>
    </xf>
    <xf numFmtId="0" fontId="6" fillId="0" borderId="5" xfId="0" applyFont="1" applyBorder="1" applyAlignment="1">
      <alignment horizontal="center" vertical="center"/>
    </xf>
    <xf numFmtId="0" fontId="4" fillId="0" borderId="5" xfId="0" applyFont="1" applyFill="1" applyBorder="1" applyAlignment="1">
      <alignment horizontal="center" vertical="center"/>
    </xf>
    <xf numFmtId="10" fontId="4" fillId="0" borderId="0" xfId="0" applyNumberFormat="1" applyFont="1">
      <alignment vertical="center"/>
    </xf>
    <xf numFmtId="0" fontId="4" fillId="0" borderId="0" xfId="0" applyFont="1" applyAlignment="1">
      <alignment horizontal="center" vertical="center"/>
    </xf>
    <xf numFmtId="0" fontId="7" fillId="2" borderId="27" xfId="0" applyFont="1" applyFill="1" applyBorder="1" applyAlignment="1">
      <alignment horizontal="center" vertical="center"/>
    </xf>
    <xf numFmtId="0" fontId="20" fillId="0" borderId="5" xfId="0" applyFont="1" applyFill="1" applyBorder="1" applyAlignment="1">
      <alignment horizontal="center" vertical="center" wrapText="1"/>
    </xf>
    <xf numFmtId="0" fontId="20" fillId="0" borderId="5" xfId="0" applyFont="1" applyBorder="1" applyAlignment="1">
      <alignment horizontal="center" vertical="center" wrapText="1"/>
    </xf>
    <xf numFmtId="0" fontId="22" fillId="7" borderId="5" xfId="6" applyFont="1" applyFill="1" applyBorder="1" applyAlignment="1">
      <alignment horizontal="center" vertical="center" wrapText="1"/>
    </xf>
    <xf numFmtId="0" fontId="22" fillId="0" borderId="5" xfId="6" applyFont="1" applyBorder="1" applyAlignment="1">
      <alignment horizontal="center" vertical="center" wrapText="1"/>
    </xf>
    <xf numFmtId="0" fontId="24" fillId="0" borderId="5" xfId="6" applyFont="1" applyBorder="1" applyAlignment="1">
      <alignment horizontal="center" vertical="center" wrapText="1"/>
    </xf>
    <xf numFmtId="0" fontId="24" fillId="0" borderId="5" xfId="6" applyFont="1" applyBorder="1" applyAlignment="1">
      <alignment horizontal="left" vertical="center" wrapText="1"/>
    </xf>
    <xf numFmtId="0" fontId="24" fillId="0" borderId="5" xfId="6" applyFont="1" applyFill="1" applyBorder="1" applyAlignment="1">
      <alignment horizontal="left" vertical="center" wrapText="1"/>
    </xf>
    <xf numFmtId="0" fontId="24" fillId="0" borderId="0" xfId="6" applyFont="1" applyBorder="1" applyAlignment="1">
      <alignment horizontal="left" vertical="center" wrapText="1"/>
    </xf>
    <xf numFmtId="0" fontId="0" fillId="0" borderId="0" xfId="0" applyBorder="1">
      <alignment vertical="center"/>
    </xf>
    <xf numFmtId="0" fontId="22" fillId="0" borderId="5" xfId="6" applyFont="1" applyBorder="1" applyAlignment="1">
      <alignment horizontal="center" vertical="center"/>
    </xf>
    <xf numFmtId="3" fontId="24" fillId="0" borderId="5" xfId="4" applyNumberFormat="1" applyFont="1" applyBorder="1" applyAlignment="1">
      <alignment horizontal="center" vertical="center" wrapText="1"/>
    </xf>
    <xf numFmtId="0" fontId="24" fillId="8" borderId="5" xfId="6" applyFont="1" applyFill="1" applyBorder="1" applyAlignment="1">
      <alignment horizontal="center" vertical="center" wrapText="1"/>
    </xf>
    <xf numFmtId="0" fontId="24" fillId="0" borderId="5" xfId="6" applyFont="1" applyFill="1" applyBorder="1" applyAlignment="1">
      <alignment horizontal="center" vertical="center" wrapText="1"/>
    </xf>
    <xf numFmtId="0" fontId="20" fillId="0" borderId="0" xfId="0" applyFont="1">
      <alignment vertical="center"/>
    </xf>
    <xf numFmtId="0" fontId="26" fillId="0" borderId="0" xfId="0" applyFont="1" applyAlignment="1">
      <alignment horizontal="center" vertical="center"/>
    </xf>
    <xf numFmtId="176" fontId="26" fillId="0" borderId="0" xfId="0" applyNumberFormat="1" applyFont="1" applyAlignment="1">
      <alignment horizontal="center" vertical="center"/>
    </xf>
    <xf numFmtId="43" fontId="4" fillId="0" borderId="0" xfId="4" applyFont="1">
      <alignment vertical="center"/>
    </xf>
    <xf numFmtId="43" fontId="0" fillId="0" borderId="0" xfId="0" applyNumberFormat="1">
      <alignment vertical="center"/>
    </xf>
    <xf numFmtId="177" fontId="0" fillId="0" borderId="0" xfId="0" applyNumberFormat="1">
      <alignment vertical="center"/>
    </xf>
    <xf numFmtId="0" fontId="27" fillId="0" borderId="0" xfId="0" applyFont="1">
      <alignment vertical="center"/>
    </xf>
    <xf numFmtId="0" fontId="28" fillId="0" borderId="0" xfId="0" applyFont="1">
      <alignment vertical="center"/>
    </xf>
    <xf numFmtId="0" fontId="28" fillId="0" borderId="0" xfId="0" applyFont="1" applyBorder="1">
      <alignment vertical="center"/>
    </xf>
    <xf numFmtId="0" fontId="30" fillId="0" borderId="5" xfId="0" applyFont="1" applyBorder="1" applyAlignment="1">
      <alignment horizontal="center" vertical="center" wrapText="1"/>
    </xf>
    <xf numFmtId="0" fontId="31" fillId="0" borderId="5" xfId="0" applyFont="1" applyBorder="1" applyAlignment="1">
      <alignment horizontal="left" vertical="center" wrapText="1"/>
    </xf>
    <xf numFmtId="0" fontId="31" fillId="0" borderId="5" xfId="0" applyFont="1" applyBorder="1" applyAlignment="1">
      <alignment horizontal="center" vertical="center" wrapText="1"/>
    </xf>
    <xf numFmtId="0" fontId="31" fillId="0" borderId="5" xfId="0" applyFont="1" applyBorder="1" applyAlignment="1">
      <alignment horizontal="center" vertical="center" wrapText="1"/>
    </xf>
    <xf numFmtId="0" fontId="31" fillId="0" borderId="5" xfId="0" applyFont="1" applyFill="1" applyBorder="1" applyAlignment="1">
      <alignment horizontal="center" vertical="center" wrapText="1"/>
    </xf>
    <xf numFmtId="0" fontId="31" fillId="0" borderId="5" xfId="0" applyFont="1" applyFill="1" applyBorder="1" applyAlignment="1">
      <alignment horizontal="center" vertical="center" wrapText="1"/>
    </xf>
    <xf numFmtId="0" fontId="31" fillId="0" borderId="5" xfId="0" applyFont="1" applyFill="1" applyBorder="1" applyAlignment="1">
      <alignment horizontal="left" vertical="center" wrapText="1"/>
    </xf>
    <xf numFmtId="0" fontId="31" fillId="0" borderId="5" xfId="0" applyFont="1" applyBorder="1" applyAlignment="1">
      <alignment vertical="center" wrapText="1"/>
    </xf>
    <xf numFmtId="0" fontId="32" fillId="9" borderId="5" xfId="0" applyFont="1" applyFill="1" applyBorder="1" applyAlignment="1">
      <alignment horizontal="center" vertical="center" wrapText="1"/>
    </xf>
    <xf numFmtId="0" fontId="35" fillId="0" borderId="0" xfId="0" applyFont="1" applyBorder="1" applyAlignment="1">
      <alignment vertical="center"/>
    </xf>
    <xf numFmtId="0" fontId="31" fillId="0" borderId="0" xfId="0" applyFont="1" applyBorder="1" applyAlignment="1">
      <alignment vertical="center"/>
    </xf>
    <xf numFmtId="0" fontId="36" fillId="0" borderId="5" xfId="0" applyFont="1" applyFill="1" applyBorder="1" applyAlignment="1">
      <alignment horizontal="left" vertical="center" wrapText="1"/>
    </xf>
    <xf numFmtId="0" fontId="36" fillId="0" borderId="5" xfId="0" applyFont="1" applyFill="1" applyBorder="1" applyAlignment="1">
      <alignment horizontal="center" vertical="center" wrapText="1"/>
    </xf>
    <xf numFmtId="0" fontId="36" fillId="0" borderId="5" xfId="0" applyFont="1" applyFill="1" applyBorder="1" applyAlignment="1">
      <alignment vertical="center" wrapText="1"/>
    </xf>
    <xf numFmtId="0" fontId="36" fillId="0" borderId="5" xfId="0" applyFont="1" applyFill="1" applyBorder="1" applyAlignment="1">
      <alignment vertical="center"/>
    </xf>
    <xf numFmtId="0" fontId="36" fillId="0" borderId="5" xfId="0" applyFont="1" applyFill="1" applyBorder="1" applyAlignment="1">
      <alignment horizontal="left" vertical="center"/>
    </xf>
    <xf numFmtId="0" fontId="36" fillId="0" borderId="5" xfId="0" applyFont="1" applyFill="1" applyBorder="1" applyAlignment="1">
      <alignment horizontal="center" vertical="center"/>
    </xf>
    <xf numFmtId="0" fontId="11" fillId="0" borderId="22" xfId="0" applyFont="1" applyFill="1" applyBorder="1" applyAlignment="1">
      <alignment vertical="center" wrapText="1"/>
    </xf>
    <xf numFmtId="0" fontId="36" fillId="0" borderId="22" xfId="0" applyFont="1" applyFill="1" applyBorder="1" applyAlignment="1">
      <alignment horizontal="left" vertical="center"/>
    </xf>
    <xf numFmtId="0" fontId="36" fillId="0" borderId="22" xfId="0" applyFont="1" applyFill="1" applyBorder="1" applyAlignment="1">
      <alignment horizontal="center" vertical="center"/>
    </xf>
    <xf numFmtId="0" fontId="36" fillId="0" borderId="22" xfId="0" applyFont="1" applyFill="1" applyBorder="1" applyAlignment="1">
      <alignment vertical="center" wrapText="1"/>
    </xf>
    <xf numFmtId="0" fontId="36" fillId="0" borderId="22" xfId="0" applyFont="1" applyFill="1" applyBorder="1" applyAlignment="1">
      <alignment horizontal="left" vertical="center" wrapText="1"/>
    </xf>
    <xf numFmtId="0" fontId="11" fillId="0" borderId="5" xfId="0" applyFont="1" applyFill="1" applyBorder="1" applyAlignment="1">
      <alignment horizontal="center" vertical="center" wrapText="1"/>
    </xf>
    <xf numFmtId="0" fontId="35" fillId="0" borderId="5" xfId="0" applyFont="1" applyFill="1" applyBorder="1" applyAlignment="1">
      <alignment vertical="center"/>
    </xf>
    <xf numFmtId="0" fontId="35" fillId="0" borderId="0" xfId="0" applyFont="1" applyBorder="1" applyAlignment="1">
      <alignment horizontal="center" vertical="center" wrapText="1"/>
    </xf>
    <xf numFmtId="0" fontId="35" fillId="0" borderId="0" xfId="0" applyFont="1" applyBorder="1" applyAlignment="1">
      <alignment horizontal="left" vertical="center"/>
    </xf>
    <xf numFmtId="0" fontId="35" fillId="0" borderId="0" xfId="0" applyFont="1" applyBorder="1" applyAlignment="1">
      <alignment horizontal="center" vertical="center"/>
    </xf>
    <xf numFmtId="0" fontId="20" fillId="0" borderId="5" xfId="0" applyFont="1" applyFill="1" applyBorder="1" applyAlignment="1">
      <alignment horizontal="left" vertical="center" wrapText="1"/>
    </xf>
    <xf numFmtId="0" fontId="20" fillId="0" borderId="5" xfId="0" applyFont="1" applyBorder="1" applyAlignment="1">
      <alignment horizontal="left" vertical="center" wrapText="1"/>
    </xf>
    <xf numFmtId="0" fontId="36" fillId="0" borderId="5" xfId="0" applyFont="1" applyFill="1" applyBorder="1" applyAlignment="1">
      <alignment horizontal="left" vertical="center" wrapText="1"/>
    </xf>
    <xf numFmtId="0" fontId="4" fillId="9" borderId="5" xfId="0" applyFont="1" applyFill="1" applyBorder="1" applyAlignment="1">
      <alignment horizontal="center" vertical="center"/>
    </xf>
    <xf numFmtId="0" fontId="24" fillId="9" borderId="5" xfId="6" applyFont="1" applyFill="1" applyBorder="1" applyAlignment="1">
      <alignment horizontal="center" vertical="center" wrapText="1"/>
    </xf>
    <xf numFmtId="0" fontId="42" fillId="10" borderId="5" xfId="0" applyFont="1" applyFill="1" applyBorder="1" applyAlignment="1">
      <alignment horizontal="center" vertical="center" wrapText="1"/>
    </xf>
    <xf numFmtId="0" fontId="43" fillId="0" borderId="0" xfId="0" applyFont="1">
      <alignment vertical="center"/>
    </xf>
    <xf numFmtId="0" fontId="20" fillId="0" borderId="5" xfId="0" applyFont="1" applyBorder="1" applyAlignment="1">
      <alignment horizontal="center" vertical="center"/>
    </xf>
    <xf numFmtId="0" fontId="0" fillId="0" borderId="0" xfId="0" applyAlignment="1">
      <alignment horizontal="left" vertical="center"/>
    </xf>
    <xf numFmtId="0" fontId="21" fillId="0" borderId="0" xfId="0" applyFont="1" applyBorder="1" applyAlignment="1">
      <alignment vertical="center"/>
    </xf>
    <xf numFmtId="0" fontId="26" fillId="0" borderId="5" xfId="0" applyFont="1" applyFill="1" applyBorder="1" applyAlignment="1">
      <alignment horizontal="center" vertical="center" wrapText="1"/>
    </xf>
    <xf numFmtId="0" fontId="44" fillId="0" borderId="0" xfId="0" applyFont="1" applyAlignment="1">
      <alignment horizontal="center" vertical="center" wrapText="1"/>
    </xf>
    <xf numFmtId="0" fontId="26" fillId="0" borderId="5" xfId="0" applyFont="1" applyFill="1" applyBorder="1" applyAlignment="1">
      <alignment horizontal="left" vertical="center" wrapText="1"/>
    </xf>
    <xf numFmtId="0" fontId="26" fillId="0" borderId="5" xfId="0" applyFont="1" applyBorder="1" applyAlignment="1">
      <alignment vertical="center" wrapText="1"/>
    </xf>
    <xf numFmtId="0" fontId="36" fillId="0" borderId="5" xfId="0" applyFont="1" applyBorder="1" applyAlignment="1">
      <alignment horizontal="center" vertical="center" wrapText="1"/>
    </xf>
    <xf numFmtId="0" fontId="36" fillId="0" borderId="5" xfId="0" applyFont="1" applyBorder="1" applyAlignment="1">
      <alignment horizontal="left" vertical="center" wrapText="1"/>
    </xf>
    <xf numFmtId="0" fontId="26" fillId="0" borderId="5" xfId="0" applyFont="1" applyBorder="1">
      <alignment vertical="center"/>
    </xf>
    <xf numFmtId="0" fontId="20" fillId="0" borderId="5" xfId="0" applyFont="1" applyBorder="1" applyAlignment="1">
      <alignment vertical="center" wrapText="1"/>
    </xf>
    <xf numFmtId="0" fontId="20" fillId="0" borderId="5" xfId="0" applyFont="1" applyFill="1" applyBorder="1" applyAlignment="1">
      <alignment horizontal="center" vertical="center"/>
    </xf>
    <xf numFmtId="0" fontId="44" fillId="0" borderId="0" xfId="0" applyFont="1">
      <alignment vertical="center"/>
    </xf>
    <xf numFmtId="0" fontId="26" fillId="0" borderId="5" xfId="0" applyFont="1" applyBorder="1" applyAlignment="1">
      <alignment horizontal="left" vertical="center" wrapText="1"/>
    </xf>
    <xf numFmtId="0" fontId="11" fillId="0" borderId="5" xfId="0" applyFont="1" applyBorder="1" applyAlignment="1">
      <alignment vertical="center" wrapText="1"/>
    </xf>
    <xf numFmtId="0" fontId="41" fillId="0" borderId="0" xfId="0" applyFont="1" applyBorder="1" applyAlignment="1">
      <alignment horizontal="center" vertical="center"/>
    </xf>
    <xf numFmtId="0" fontId="43" fillId="0" borderId="5" xfId="0" applyFont="1" applyBorder="1" applyAlignment="1">
      <alignment horizontal="center" vertical="center"/>
    </xf>
    <xf numFmtId="0" fontId="43" fillId="5" borderId="5" xfId="0" applyFont="1" applyFill="1" applyBorder="1" applyAlignment="1">
      <alignment horizontal="center" vertical="center"/>
    </xf>
    <xf numFmtId="0" fontId="26" fillId="0" borderId="31" xfId="0" applyFont="1" applyFill="1" applyBorder="1" applyAlignment="1">
      <alignment horizontal="center" vertical="center" wrapText="1"/>
    </xf>
    <xf numFmtId="0" fontId="20" fillId="0" borderId="31" xfId="0" applyFont="1" applyFill="1" applyBorder="1" applyAlignment="1">
      <alignment horizontal="center" vertical="center" wrapText="1"/>
    </xf>
    <xf numFmtId="0" fontId="36" fillId="0" borderId="31" xfId="0" applyFont="1" applyBorder="1" applyAlignment="1">
      <alignment horizontal="center" vertical="center" wrapText="1"/>
    </xf>
    <xf numFmtId="0" fontId="11" fillId="5" borderId="5" xfId="0" applyFont="1" applyFill="1" applyBorder="1" applyAlignment="1">
      <alignment vertical="center" wrapText="1"/>
    </xf>
    <xf numFmtId="0" fontId="20" fillId="0" borderId="5" xfId="0" applyFont="1" applyBorder="1">
      <alignment vertical="center"/>
    </xf>
    <xf numFmtId="43" fontId="20" fillId="0" borderId="5" xfId="4" applyFont="1" applyBorder="1">
      <alignment vertical="center"/>
    </xf>
    <xf numFmtId="43" fontId="20" fillId="0" borderId="0" xfId="4" applyFont="1">
      <alignment vertical="center"/>
    </xf>
    <xf numFmtId="43" fontId="45" fillId="0" borderId="0" xfId="4" applyFont="1">
      <alignment vertical="center"/>
    </xf>
    <xf numFmtId="43" fontId="20" fillId="0" borderId="0" xfId="4" applyFont="1" applyAlignment="1">
      <alignment horizontal="center" vertical="center"/>
    </xf>
    <xf numFmtId="0" fontId="11" fillId="10" borderId="5" xfId="0" applyFont="1" applyFill="1" applyBorder="1" applyAlignment="1">
      <alignment horizontal="center" vertical="center"/>
    </xf>
    <xf numFmtId="0" fontId="11" fillId="10" borderId="5" xfId="0" applyFont="1" applyFill="1" applyBorder="1" applyAlignment="1">
      <alignment horizontal="center" vertical="center" wrapText="1"/>
    </xf>
    <xf numFmtId="0" fontId="11" fillId="10" borderId="22" xfId="0" applyFont="1" applyFill="1" applyBorder="1" applyAlignment="1">
      <alignment horizontal="center" vertical="center" wrapText="1"/>
    </xf>
    <xf numFmtId="43" fontId="35" fillId="0" borderId="0" xfId="4" applyFont="1" applyBorder="1" applyAlignment="1">
      <alignment vertical="center"/>
    </xf>
    <xf numFmtId="43" fontId="35" fillId="0" borderId="0" xfId="0" applyNumberFormat="1" applyFont="1" applyBorder="1" applyAlignment="1">
      <alignment vertical="center"/>
    </xf>
    <xf numFmtId="0" fontId="4" fillId="0" borderId="5" xfId="0" applyFont="1" applyFill="1" applyBorder="1" applyAlignment="1">
      <alignment horizontal="center" vertical="center"/>
    </xf>
    <xf numFmtId="0" fontId="4" fillId="0" borderId="5" xfId="0" applyFont="1" applyFill="1" applyBorder="1" applyAlignment="1">
      <alignment horizontal="center" vertical="center"/>
    </xf>
    <xf numFmtId="0" fontId="20" fillId="0" borderId="5" xfId="0" applyFont="1" applyFill="1" applyBorder="1" applyAlignment="1">
      <alignment horizontal="center" vertical="center" wrapText="1"/>
    </xf>
    <xf numFmtId="0" fontId="20" fillId="0" borderId="5" xfId="0" applyFont="1" applyBorder="1" applyAlignment="1">
      <alignment horizontal="center" vertical="center"/>
    </xf>
    <xf numFmtId="3" fontId="24" fillId="0" borderId="5" xfId="6" applyNumberFormat="1" applyFont="1" applyFill="1" applyBorder="1" applyAlignment="1">
      <alignment horizontal="center" vertical="center" wrapText="1"/>
    </xf>
    <xf numFmtId="4" fontId="24" fillId="0" borderId="5" xfId="4" applyNumberFormat="1" applyFont="1" applyFill="1" applyBorder="1" applyAlignment="1">
      <alignment horizontal="center" vertical="center" wrapText="1"/>
    </xf>
    <xf numFmtId="0" fontId="21" fillId="0" borderId="0" xfId="0" applyFont="1" applyBorder="1" applyAlignment="1">
      <alignment horizontal="center" vertical="center"/>
    </xf>
    <xf numFmtId="0" fontId="20" fillId="11" borderId="5" xfId="0" applyFont="1" applyFill="1" applyBorder="1" applyAlignment="1">
      <alignment horizontal="center" vertical="center"/>
    </xf>
    <xf numFmtId="43" fontId="43" fillId="0" borderId="0" xfId="4" applyFont="1">
      <alignment vertical="center"/>
    </xf>
    <xf numFmtId="0" fontId="0" fillId="5" borderId="5" xfId="0" applyFill="1" applyBorder="1" applyAlignment="1">
      <alignment horizontal="center" vertical="center"/>
    </xf>
    <xf numFmtId="0" fontId="44" fillId="0" borderId="5" xfId="0" applyFont="1" applyFill="1" applyBorder="1" applyAlignment="1">
      <alignment horizontal="center" vertical="center"/>
    </xf>
    <xf numFmtId="0" fontId="0" fillId="0" borderId="5" xfId="0" applyFill="1" applyBorder="1" applyAlignment="1">
      <alignment horizontal="center" vertical="center"/>
    </xf>
    <xf numFmtId="43" fontId="4" fillId="0" borderId="0" xfId="4" applyFont="1" applyFill="1" applyBorder="1">
      <alignment vertical="center"/>
    </xf>
    <xf numFmtId="10" fontId="24" fillId="0" borderId="5" xfId="6" applyNumberFormat="1" applyFont="1" applyFill="1" applyBorder="1" applyAlignment="1">
      <alignment horizontal="center" vertical="center" wrapText="1"/>
    </xf>
    <xf numFmtId="0" fontId="4" fillId="0" borderId="0" xfId="1" applyFont="1">
      <alignment vertical="center"/>
    </xf>
    <xf numFmtId="0" fontId="1" fillId="0" borderId="0" xfId="1">
      <alignment vertical="center"/>
    </xf>
    <xf numFmtId="0" fontId="4" fillId="3" borderId="3" xfId="1" applyFont="1" applyFill="1" applyBorder="1" applyAlignment="1"/>
    <xf numFmtId="0" fontId="54" fillId="0" borderId="0" xfId="1" applyFont="1" applyAlignment="1"/>
    <xf numFmtId="0" fontId="4" fillId="3" borderId="1" xfId="1" applyFont="1" applyFill="1" applyBorder="1" applyAlignment="1">
      <alignment wrapText="1"/>
    </xf>
    <xf numFmtId="0" fontId="4" fillId="16" borderId="2" xfId="1" applyFont="1" applyFill="1" applyBorder="1" applyAlignment="1">
      <alignment wrapText="1"/>
    </xf>
    <xf numFmtId="0" fontId="55" fillId="16" borderId="2" xfId="1" applyFont="1" applyFill="1" applyBorder="1" applyAlignment="1">
      <alignment horizontal="left" vertical="center" wrapText="1"/>
    </xf>
    <xf numFmtId="0" fontId="4" fillId="16" borderId="2" xfId="1" quotePrefix="1" applyFont="1" applyFill="1" applyBorder="1" applyAlignment="1">
      <alignment horizontal="left" vertical="center" wrapText="1"/>
    </xf>
    <xf numFmtId="31" fontId="55" fillId="16" borderId="2" xfId="1" applyNumberFormat="1" applyFont="1" applyFill="1" applyBorder="1" applyAlignment="1">
      <alignment horizontal="left" vertical="center" wrapText="1"/>
    </xf>
    <xf numFmtId="0" fontId="4" fillId="16" borderId="4" xfId="1" applyFont="1" applyFill="1" applyBorder="1" applyAlignment="1">
      <alignment wrapText="1"/>
    </xf>
    <xf numFmtId="0" fontId="4" fillId="16" borderId="2" xfId="1" applyFont="1" applyFill="1" applyBorder="1" applyAlignment="1">
      <alignment horizontal="left" wrapText="1"/>
    </xf>
    <xf numFmtId="31" fontId="4" fillId="16" borderId="2" xfId="1" applyNumberFormat="1" applyFont="1" applyFill="1" applyBorder="1" applyAlignment="1">
      <alignment horizontal="left" wrapText="1"/>
    </xf>
    <xf numFmtId="0" fontId="4" fillId="16" borderId="4" xfId="1" applyFont="1" applyFill="1" applyBorder="1" applyAlignment="1">
      <alignment horizontal="left" wrapText="1"/>
    </xf>
    <xf numFmtId="0" fontId="8" fillId="0" borderId="0" xfId="0" applyFont="1" applyFill="1" applyBorder="1" applyAlignment="1">
      <alignment horizontal="center" vertical="top"/>
    </xf>
    <xf numFmtId="0" fontId="5" fillId="0" borderId="0" xfId="0" applyFont="1" applyAlignment="1">
      <alignment vertical="top"/>
    </xf>
    <xf numFmtId="0" fontId="4" fillId="0" borderId="0" xfId="0" applyFont="1" applyAlignment="1">
      <alignment horizontal="right" vertical="top"/>
    </xf>
    <xf numFmtId="0" fontId="2" fillId="0" borderId="7" xfId="0" applyFont="1" applyBorder="1" applyAlignment="1">
      <alignment horizontal="center" vertical="top"/>
    </xf>
    <xf numFmtId="0" fontId="20" fillId="0" borderId="21" xfId="0" applyFont="1" applyBorder="1" applyAlignment="1">
      <alignment horizontal="left" vertical="top" wrapText="1"/>
    </xf>
    <xf numFmtId="0" fontId="20" fillId="0" borderId="21" xfId="0" applyFont="1" applyFill="1" applyBorder="1" applyAlignment="1">
      <alignment horizontal="left" vertical="top" wrapText="1"/>
    </xf>
    <xf numFmtId="0" fontId="20" fillId="0" borderId="23" xfId="0" applyFont="1" applyBorder="1" applyAlignment="1">
      <alignment horizontal="left" vertical="top" wrapText="1"/>
    </xf>
    <xf numFmtId="0" fontId="4" fillId="0" borderId="5" xfId="0" applyFont="1" applyBorder="1" applyAlignment="1">
      <alignment horizontal="left" vertical="top" wrapText="1"/>
    </xf>
    <xf numFmtId="0" fontId="0" fillId="0" borderId="0" xfId="0" applyAlignment="1">
      <alignment vertical="top"/>
    </xf>
    <xf numFmtId="0" fontId="57" fillId="0" borderId="38" xfId="0" applyFont="1" applyBorder="1" applyAlignment="1">
      <alignment horizontal="left" vertical="center"/>
    </xf>
    <xf numFmtId="0" fontId="57" fillId="0" borderId="39" xfId="0" applyFont="1" applyBorder="1" applyAlignment="1">
      <alignment horizontal="left" vertical="center"/>
    </xf>
    <xf numFmtId="0" fontId="57" fillId="0" borderId="40" xfId="0" applyFont="1" applyBorder="1" applyAlignment="1">
      <alignment horizontal="left" vertical="center"/>
    </xf>
    <xf numFmtId="0" fontId="57" fillId="0" borderId="41" xfId="0" applyFont="1" applyBorder="1" applyAlignment="1">
      <alignment horizontal="left" vertical="center"/>
    </xf>
    <xf numFmtId="0" fontId="57" fillId="0" borderId="40" xfId="0" applyFont="1" applyBorder="1" applyAlignment="1">
      <alignment horizontal="center" vertical="center"/>
    </xf>
    <xf numFmtId="0" fontId="56" fillId="0" borderId="0" xfId="0" applyFont="1" applyAlignment="1">
      <alignment horizontal="justify" vertical="center"/>
    </xf>
    <xf numFmtId="0" fontId="59" fillId="0" borderId="0" xfId="0" applyFont="1" applyAlignment="1">
      <alignment horizontal="justify" vertical="center"/>
    </xf>
    <xf numFmtId="10" fontId="4" fillId="0" borderId="5" xfId="0" applyNumberFormat="1" applyFont="1" applyFill="1" applyBorder="1" applyAlignment="1">
      <alignment horizontal="right" vertical="top"/>
    </xf>
    <xf numFmtId="0" fontId="0" fillId="0" borderId="5" xfId="0" applyBorder="1">
      <alignment vertical="center"/>
    </xf>
    <xf numFmtId="0" fontId="0" fillId="12" borderId="5" xfId="0" applyFill="1" applyBorder="1">
      <alignment vertical="center"/>
    </xf>
    <xf numFmtId="0" fontId="0" fillId="17" borderId="5" xfId="0" applyFill="1" applyBorder="1" applyAlignment="1">
      <alignment horizontal="center" vertical="center"/>
    </xf>
    <xf numFmtId="0" fontId="0" fillId="17" borderId="5" xfId="0" applyFill="1" applyBorder="1">
      <alignment vertical="center"/>
    </xf>
    <xf numFmtId="0" fontId="0" fillId="12" borderId="5" xfId="0" applyFill="1" applyBorder="1" applyAlignment="1">
      <alignment horizontal="center" vertical="center"/>
    </xf>
    <xf numFmtId="0" fontId="0" fillId="18" borderId="5" xfId="0" applyFill="1" applyBorder="1">
      <alignment vertical="center"/>
    </xf>
    <xf numFmtId="43" fontId="0" fillId="18" borderId="5" xfId="4" applyFont="1" applyFill="1" applyBorder="1">
      <alignment vertical="center"/>
    </xf>
    <xf numFmtId="43" fontId="0" fillId="12" borderId="5" xfId="4" applyFont="1" applyFill="1" applyBorder="1">
      <alignment vertical="center"/>
    </xf>
    <xf numFmtId="43" fontId="11" fillId="0" borderId="5" xfId="4" applyFont="1" applyFill="1" applyBorder="1" applyAlignment="1">
      <alignment horizontal="center" vertical="center"/>
    </xf>
    <xf numFmtId="43" fontId="11" fillId="0" borderId="12" xfId="4" applyFont="1" applyFill="1" applyBorder="1" applyAlignment="1">
      <alignment horizontal="center" vertical="center"/>
    </xf>
    <xf numFmtId="43" fontId="11" fillId="0" borderId="26" xfId="4" applyFont="1" applyFill="1" applyBorder="1" applyAlignment="1">
      <alignment horizontal="center" vertical="center"/>
    </xf>
    <xf numFmtId="43" fontId="11" fillId="0" borderId="5" xfId="4" applyFont="1" applyBorder="1" applyAlignment="1">
      <alignment horizontal="center" vertical="center"/>
    </xf>
    <xf numFmtId="43" fontId="11" fillId="0" borderId="5" xfId="4" applyFont="1" applyBorder="1" applyAlignment="1">
      <alignment vertical="center"/>
    </xf>
    <xf numFmtId="43" fontId="11" fillId="0" borderId="12" xfId="4" applyFont="1" applyBorder="1" applyAlignment="1">
      <alignment horizontal="center" vertical="center"/>
    </xf>
    <xf numFmtId="0" fontId="34" fillId="0" borderId="0" xfId="0" applyFont="1" applyBorder="1" applyAlignment="1">
      <alignment horizontal="center" wrapText="1"/>
    </xf>
    <xf numFmtId="43" fontId="0" fillId="17" borderId="5" xfId="4" applyFont="1" applyFill="1" applyBorder="1">
      <alignment vertical="center"/>
    </xf>
    <xf numFmtId="9" fontId="0" fillId="0" borderId="0" xfId="0" applyNumberFormat="1">
      <alignment vertical="center"/>
    </xf>
    <xf numFmtId="43" fontId="0" fillId="18" borderId="5" xfId="4" applyFont="1" applyFill="1" applyBorder="1" applyAlignment="1">
      <alignment horizontal="center" vertical="center"/>
    </xf>
    <xf numFmtId="43" fontId="4" fillId="0" borderId="5" xfId="4" applyFont="1" applyFill="1" applyBorder="1" applyAlignment="1">
      <alignment horizontal="center" vertical="center"/>
    </xf>
    <xf numFmtId="0" fontId="62" fillId="0" borderId="5" xfId="0" applyFont="1" applyFill="1" applyBorder="1" applyAlignment="1">
      <alignment vertical="center"/>
    </xf>
    <xf numFmtId="0" fontId="61" fillId="0" borderId="5" xfId="0" applyFont="1" applyFill="1" applyBorder="1" applyAlignment="1">
      <alignment vertical="center" wrapText="1"/>
    </xf>
    <xf numFmtId="43" fontId="31" fillId="0" borderId="0" xfId="4" applyNumberFormat="1" applyFont="1" applyBorder="1" applyAlignment="1">
      <alignment vertical="center"/>
    </xf>
    <xf numFmtId="0" fontId="35" fillId="16" borderId="0" xfId="0" applyFont="1" applyFill="1" applyBorder="1" applyAlignment="1">
      <alignment horizontal="center" vertical="center"/>
    </xf>
    <xf numFmtId="0" fontId="36" fillId="0" borderId="0" xfId="0" applyFont="1" applyFill="1" applyBorder="1" applyAlignment="1">
      <alignment horizontal="center" vertical="center" wrapText="1"/>
    </xf>
    <xf numFmtId="0" fontId="36" fillId="6" borderId="5" xfId="0" applyFont="1" applyFill="1" applyBorder="1" applyAlignment="1">
      <alignment horizontal="center" vertical="center" wrapText="1"/>
    </xf>
    <xf numFmtId="0" fontId="29" fillId="0" borderId="7" xfId="0" applyFont="1" applyBorder="1" applyAlignment="1">
      <alignment vertical="center"/>
    </xf>
    <xf numFmtId="0" fontId="4" fillId="0" borderId="5" xfId="0" applyFont="1" applyFill="1" applyBorder="1" applyAlignment="1">
      <alignment horizontal="center" vertical="center"/>
    </xf>
    <xf numFmtId="0" fontId="4" fillId="0" borderId="5" xfId="0" applyFont="1" applyFill="1" applyBorder="1" applyAlignment="1">
      <alignment horizontal="center" vertical="center"/>
    </xf>
    <xf numFmtId="0" fontId="20" fillId="0" borderId="5" xfId="0" applyFont="1" applyBorder="1" applyAlignment="1">
      <alignment horizontal="center" vertical="center"/>
    </xf>
    <xf numFmtId="0" fontId="20" fillId="5" borderId="5" xfId="0" applyFont="1" applyFill="1" applyBorder="1" applyAlignment="1">
      <alignment horizontal="center" vertical="center"/>
    </xf>
    <xf numFmtId="0" fontId="20" fillId="0" borderId="0" xfId="0" applyFont="1" applyFill="1" applyBorder="1" applyAlignment="1">
      <alignment horizontal="center" vertical="center"/>
    </xf>
    <xf numFmtId="0" fontId="57" fillId="9" borderId="40" xfId="0" applyFont="1" applyFill="1" applyBorder="1" applyAlignment="1">
      <alignment horizontal="left" vertical="center"/>
    </xf>
    <xf numFmtId="0" fontId="57" fillId="9" borderId="41" xfId="0" applyFont="1" applyFill="1" applyBorder="1" applyAlignment="1">
      <alignment horizontal="left" vertical="center"/>
    </xf>
    <xf numFmtId="0" fontId="0" fillId="9" borderId="0" xfId="0" applyFill="1">
      <alignment vertical="center"/>
    </xf>
    <xf numFmtId="0" fontId="46" fillId="0" borderId="5" xfId="0" applyFont="1" applyBorder="1">
      <alignment vertical="center"/>
    </xf>
    <xf numFmtId="0" fontId="46" fillId="0" borderId="0" xfId="0" applyFont="1" applyAlignment="1">
      <alignment horizontal="right" vertical="center"/>
    </xf>
    <xf numFmtId="43" fontId="4" fillId="0" borderId="5" xfId="4" applyFont="1" applyFill="1" applyBorder="1" applyAlignment="1">
      <alignment vertical="top"/>
    </xf>
    <xf numFmtId="0" fontId="4" fillId="8" borderId="5" xfId="0" applyFont="1" applyFill="1" applyBorder="1">
      <alignment vertical="center"/>
    </xf>
    <xf numFmtId="43" fontId="4" fillId="0" borderId="5" xfId="4" applyFont="1" applyBorder="1">
      <alignment vertical="center"/>
    </xf>
    <xf numFmtId="0" fontId="6" fillId="8" borderId="5" xfId="0" applyFont="1" applyFill="1" applyBorder="1">
      <alignment vertical="center"/>
    </xf>
    <xf numFmtId="0" fontId="2" fillId="0" borderId="0" xfId="0" applyFont="1" applyBorder="1" applyAlignment="1">
      <alignment horizontal="center" vertical="center"/>
    </xf>
    <xf numFmtId="0" fontId="4" fillId="0" borderId="5" xfId="0" applyFont="1" applyBorder="1" applyAlignment="1">
      <alignment horizontal="center" vertical="center" wrapText="1"/>
    </xf>
    <xf numFmtId="9" fontId="4" fillId="3" borderId="5" xfId="0" applyNumberFormat="1" applyFont="1" applyFill="1" applyBorder="1" applyAlignment="1">
      <alignment horizontal="right" vertical="center"/>
    </xf>
    <xf numFmtId="0" fontId="6" fillId="0" borderId="21" xfId="0" applyFont="1" applyBorder="1" applyAlignment="1">
      <alignment horizontal="left" vertical="center"/>
    </xf>
    <xf numFmtId="43" fontId="4" fillId="21" borderId="5" xfId="4" applyFont="1" applyFill="1" applyBorder="1">
      <alignment vertical="center"/>
    </xf>
    <xf numFmtId="9" fontId="4" fillId="0" borderId="21" xfId="0" applyNumberFormat="1" applyFont="1" applyFill="1" applyBorder="1" applyAlignment="1">
      <alignment horizontal="left" vertical="center"/>
    </xf>
    <xf numFmtId="10" fontId="4" fillId="0" borderId="21" xfId="0" applyNumberFormat="1" applyFont="1" applyFill="1" applyBorder="1" applyAlignment="1">
      <alignment horizontal="left" vertical="center"/>
    </xf>
    <xf numFmtId="0" fontId="25" fillId="0" borderId="31" xfId="0" applyFont="1" applyBorder="1" applyAlignment="1">
      <alignment horizontal="right" vertical="center"/>
    </xf>
    <xf numFmtId="0" fontId="6" fillId="9" borderId="5" xfId="0" applyFont="1" applyFill="1" applyBorder="1" applyAlignment="1">
      <alignment horizontal="center" vertical="center"/>
    </xf>
    <xf numFmtId="0" fontId="4" fillId="9" borderId="5" xfId="0" applyFont="1" applyFill="1" applyBorder="1" applyAlignment="1">
      <alignment horizontal="right" vertical="center"/>
    </xf>
    <xf numFmtId="43" fontId="4" fillId="0" borderId="0" xfId="4" applyFont="1" applyBorder="1">
      <alignment vertical="center"/>
    </xf>
    <xf numFmtId="43" fontId="4" fillId="0" borderId="0" xfId="0" applyNumberFormat="1" applyFont="1" applyBorder="1">
      <alignment vertical="center"/>
    </xf>
    <xf numFmtId="0" fontId="7" fillId="0" borderId="0" xfId="0" applyFont="1" applyFill="1" applyBorder="1" applyAlignment="1">
      <alignment horizontal="center" vertical="center"/>
    </xf>
    <xf numFmtId="0" fontId="6" fillId="21" borderId="5" xfId="0" applyFont="1" applyFill="1" applyBorder="1" applyAlignment="1">
      <alignment horizontal="center" vertical="center"/>
    </xf>
    <xf numFmtId="0" fontId="6" fillId="0" borderId="31" xfId="0" applyFont="1" applyBorder="1" applyAlignment="1">
      <alignment horizontal="right" vertical="center"/>
    </xf>
    <xf numFmtId="43" fontId="4" fillId="21" borderId="5" xfId="4" applyFont="1" applyFill="1" applyBorder="1" applyAlignment="1">
      <alignment horizontal="center" vertical="center"/>
    </xf>
    <xf numFmtId="43" fontId="4" fillId="21" borderId="5" xfId="4" applyFont="1" applyFill="1" applyBorder="1" applyAlignment="1">
      <alignment horizontal="right" vertical="center"/>
    </xf>
    <xf numFmtId="0" fontId="16" fillId="0" borderId="0" xfId="1" applyFont="1" applyFill="1">
      <alignment vertical="center"/>
    </xf>
    <xf numFmtId="0" fontId="17" fillId="0" borderId="0" xfId="1" applyFont="1" applyFill="1">
      <alignment vertical="center"/>
    </xf>
    <xf numFmtId="0" fontId="18" fillId="0" borderId="0" xfId="0" applyFont="1" applyFill="1">
      <alignment vertical="center"/>
    </xf>
    <xf numFmtId="0" fontId="0" fillId="0" borderId="0" xfId="0" applyFill="1">
      <alignment vertical="center"/>
    </xf>
    <xf numFmtId="0" fontId="7" fillId="2" borderId="0" xfId="0" applyFont="1" applyFill="1" applyBorder="1" applyAlignment="1">
      <alignment horizontal="center" vertical="center"/>
    </xf>
    <xf numFmtId="0" fontId="8" fillId="0" borderId="5" xfId="0" applyFont="1" applyFill="1" applyBorder="1" applyAlignment="1">
      <alignment horizontal="center" vertical="center"/>
    </xf>
    <xf numFmtId="0" fontId="4" fillId="9" borderId="5" xfId="0" applyFont="1" applyFill="1" applyBorder="1" applyAlignment="1">
      <alignment horizontal="center" vertical="center"/>
    </xf>
    <xf numFmtId="0" fontId="32" fillId="0" borderId="0" xfId="0" applyFont="1" applyBorder="1" applyAlignment="1">
      <alignment horizontal="left" vertical="center" wrapText="1"/>
    </xf>
    <xf numFmtId="0" fontId="33" fillId="0" borderId="0" xfId="0" applyFont="1" applyBorder="1" applyAlignment="1">
      <alignment horizontal="left" vertical="center" wrapText="1"/>
    </xf>
    <xf numFmtId="0" fontId="31" fillId="0" borderId="0" xfId="0" applyFont="1" applyBorder="1" applyAlignment="1">
      <alignment horizontal="left" vertical="center"/>
    </xf>
    <xf numFmtId="0" fontId="31" fillId="0" borderId="0" xfId="0" applyFont="1" applyBorder="1" applyAlignment="1">
      <alignment vertical="center" wrapText="1"/>
    </xf>
    <xf numFmtId="0" fontId="31" fillId="8" borderId="5" xfId="0" applyFont="1" applyFill="1" applyBorder="1" applyAlignment="1">
      <alignment horizontal="center" vertical="center" wrapText="1"/>
    </xf>
    <xf numFmtId="0" fontId="31" fillId="23" borderId="5" xfId="0" applyFont="1" applyFill="1" applyBorder="1" applyAlignment="1">
      <alignment horizontal="center" vertical="center" wrapText="1"/>
    </xf>
    <xf numFmtId="0" fontId="31" fillId="0" borderId="5" xfId="0" applyFont="1" applyBorder="1" applyAlignment="1">
      <alignment horizontal="center" vertical="center"/>
    </xf>
    <xf numFmtId="0" fontId="31" fillId="8" borderId="5" xfId="0" applyFont="1" applyFill="1" applyBorder="1" applyAlignment="1">
      <alignment horizontal="center" vertical="center"/>
    </xf>
    <xf numFmtId="0" fontId="31" fillId="23" borderId="5" xfId="0" applyFont="1" applyFill="1" applyBorder="1" applyAlignment="1">
      <alignment horizontal="center" vertical="center"/>
    </xf>
    <xf numFmtId="0" fontId="31" fillId="23" borderId="5" xfId="0" applyFont="1" applyFill="1" applyBorder="1" applyAlignment="1">
      <alignment horizontal="left" vertical="center" wrapText="1"/>
    </xf>
    <xf numFmtId="0" fontId="31" fillId="8" borderId="5" xfId="0" applyFont="1" applyFill="1" applyBorder="1" applyAlignment="1">
      <alignment horizontal="left" vertical="center" wrapText="1"/>
    </xf>
    <xf numFmtId="0" fontId="32" fillId="0" borderId="5" xfId="0" applyFont="1" applyBorder="1" applyAlignment="1">
      <alignment horizontal="center" vertical="center" wrapText="1"/>
    </xf>
    <xf numFmtId="43" fontId="5" fillId="24" borderId="5" xfId="4" applyFont="1" applyFill="1" applyBorder="1" applyAlignment="1">
      <alignment horizontal="center" vertical="center"/>
    </xf>
    <xf numFmtId="43" fontId="5" fillId="0" borderId="5" xfId="4" applyFont="1" applyFill="1" applyBorder="1" applyAlignment="1">
      <alignment horizontal="center" vertical="center"/>
    </xf>
    <xf numFmtId="9" fontId="5" fillId="0" borderId="5" xfId="0" applyNumberFormat="1" applyFont="1" applyFill="1" applyBorder="1" applyAlignment="1">
      <alignment horizontal="center" vertical="center"/>
    </xf>
    <xf numFmtId="49" fontId="5" fillId="0" borderId="5" xfId="0" applyNumberFormat="1" applyFont="1" applyFill="1" applyBorder="1" applyAlignment="1">
      <alignment horizontal="center" vertical="center"/>
    </xf>
    <xf numFmtId="0" fontId="5" fillId="25" borderId="5" xfId="0" applyFont="1" applyFill="1" applyBorder="1" applyAlignment="1">
      <alignment horizontal="center" vertical="center"/>
    </xf>
    <xf numFmtId="0" fontId="5" fillId="0" borderId="5" xfId="0" applyFont="1" applyFill="1" applyBorder="1" applyAlignment="1">
      <alignment horizontal="center" vertical="center"/>
    </xf>
    <xf numFmtId="10" fontId="5" fillId="0" borderId="5" xfId="0" applyNumberFormat="1" applyFont="1" applyFill="1" applyBorder="1" applyAlignment="1">
      <alignment horizontal="center" vertical="center"/>
    </xf>
    <xf numFmtId="0" fontId="0" fillId="0" borderId="0" xfId="0" applyFill="1" applyAlignment="1">
      <alignment horizontal="center" vertical="center"/>
    </xf>
    <xf numFmtId="0" fontId="2" fillId="0" borderId="5" xfId="0" applyFont="1" applyFill="1" applyBorder="1" applyAlignment="1">
      <alignment horizontal="center" vertical="center"/>
    </xf>
    <xf numFmtId="0" fontId="2" fillId="0" borderId="12" xfId="0" applyFont="1" applyFill="1" applyBorder="1" applyAlignment="1">
      <alignment horizontal="center" vertical="center"/>
    </xf>
    <xf numFmtId="0" fontId="31" fillId="0" borderId="0" xfId="0" applyFont="1" applyBorder="1" applyAlignment="1">
      <alignment horizontal="center" vertical="center" wrapText="1"/>
    </xf>
    <xf numFmtId="0" fontId="32" fillId="21" borderId="5" xfId="0" applyFont="1" applyFill="1" applyBorder="1" applyAlignment="1">
      <alignment horizontal="center" vertical="center" wrapText="1"/>
    </xf>
    <xf numFmtId="0" fontId="9" fillId="0" borderId="0" xfId="2">
      <alignment vertical="center"/>
    </xf>
    <xf numFmtId="43" fontId="35" fillId="21" borderId="5" xfId="0" applyNumberFormat="1" applyFont="1" applyFill="1" applyBorder="1" applyAlignment="1">
      <alignment vertical="center"/>
    </xf>
    <xf numFmtId="43" fontId="35" fillId="16" borderId="5" xfId="4" applyFont="1" applyFill="1" applyBorder="1" applyAlignment="1">
      <alignment vertical="center"/>
    </xf>
    <xf numFmtId="0" fontId="35" fillId="21" borderId="5" xfId="0" applyFont="1" applyFill="1" applyBorder="1" applyAlignment="1">
      <alignment horizontal="center" vertical="center" wrapText="1"/>
    </xf>
    <xf numFmtId="0" fontId="26" fillId="0" borderId="0" xfId="0" applyFont="1" applyFill="1" applyBorder="1" applyAlignment="1">
      <alignment horizontal="center" vertical="center" wrapText="1"/>
    </xf>
    <xf numFmtId="0" fontId="20" fillId="0" borderId="0" xfId="0" applyFont="1" applyFill="1" applyBorder="1" applyAlignment="1">
      <alignment horizontal="center" vertical="center" wrapText="1"/>
    </xf>
    <xf numFmtId="0" fontId="44" fillId="0" borderId="0" xfId="0" applyFont="1" applyFill="1" applyBorder="1" applyAlignment="1">
      <alignment horizontal="center" vertical="center"/>
    </xf>
    <xf numFmtId="0" fontId="0" fillId="0" borderId="0" xfId="0" applyFill="1" applyBorder="1" applyAlignment="1">
      <alignment horizontal="center" vertical="center"/>
    </xf>
    <xf numFmtId="43" fontId="20" fillId="0" borderId="0" xfId="4" applyFont="1" applyBorder="1">
      <alignment vertical="center"/>
    </xf>
    <xf numFmtId="43" fontId="5" fillId="24" borderId="12" xfId="4" applyFont="1" applyFill="1" applyBorder="1" applyAlignment="1">
      <alignment horizontal="center" vertical="center"/>
    </xf>
    <xf numFmtId="43" fontId="5" fillId="0" borderId="12" xfId="4" applyFont="1" applyFill="1" applyBorder="1" applyAlignment="1">
      <alignment horizontal="center" vertical="center"/>
    </xf>
    <xf numFmtId="9" fontId="5" fillId="0" borderId="12" xfId="0" applyNumberFormat="1" applyFont="1" applyFill="1" applyBorder="1" applyAlignment="1">
      <alignment horizontal="center" vertical="center"/>
    </xf>
    <xf numFmtId="49" fontId="5" fillId="0" borderId="12" xfId="0" applyNumberFormat="1" applyFont="1" applyFill="1" applyBorder="1" applyAlignment="1">
      <alignment horizontal="center" vertical="center"/>
    </xf>
    <xf numFmtId="0" fontId="7" fillId="28" borderId="45" xfId="0" applyFont="1" applyFill="1" applyBorder="1" applyAlignment="1">
      <alignment horizontal="center" vertical="center"/>
    </xf>
    <xf numFmtId="0" fontId="7" fillId="2" borderId="12" xfId="0" applyFont="1" applyFill="1" applyBorder="1">
      <alignment vertical="center"/>
    </xf>
    <xf numFmtId="0" fontId="7" fillId="2" borderId="5" xfId="0" applyFont="1" applyFill="1" applyBorder="1">
      <alignment vertical="center"/>
    </xf>
    <xf numFmtId="49" fontId="5" fillId="14" borderId="5" xfId="0" applyNumberFormat="1" applyFont="1" applyFill="1" applyBorder="1" applyAlignment="1">
      <alignment horizontal="center" vertical="center"/>
    </xf>
    <xf numFmtId="0" fontId="7" fillId="29" borderId="5" xfId="0" applyFont="1" applyFill="1" applyBorder="1">
      <alignment vertical="center"/>
    </xf>
    <xf numFmtId="0" fontId="9" fillId="0" borderId="0" xfId="2" applyBorder="1" applyAlignment="1">
      <alignment vertical="center"/>
    </xf>
    <xf numFmtId="43" fontId="20" fillId="21" borderId="5" xfId="4" applyFont="1" applyFill="1" applyBorder="1">
      <alignment vertical="center"/>
    </xf>
    <xf numFmtId="0" fontId="21" fillId="0" borderId="7" xfId="0" applyFont="1" applyBorder="1" applyAlignment="1">
      <alignment vertical="center"/>
    </xf>
    <xf numFmtId="0" fontId="0" fillId="0" borderId="0" xfId="0" applyFill="1" applyBorder="1" applyAlignment="1">
      <alignment vertical="center"/>
    </xf>
    <xf numFmtId="176" fontId="0" fillId="0" borderId="5" xfId="0" applyNumberFormat="1" applyFill="1" applyBorder="1" applyAlignment="1">
      <alignment horizontal="center" vertical="center"/>
    </xf>
    <xf numFmtId="0" fontId="74" fillId="0" borderId="0" xfId="0" applyFont="1" applyFill="1" applyAlignment="1">
      <alignment horizontal="center" vertical="center"/>
    </xf>
    <xf numFmtId="0" fontId="1" fillId="14" borderId="0" xfId="1" applyFill="1">
      <alignment vertical="center"/>
    </xf>
    <xf numFmtId="0" fontId="4" fillId="16" borderId="2" xfId="1" applyFont="1" applyFill="1" applyBorder="1" applyAlignment="1">
      <alignment horizontal="left" wrapText="1"/>
    </xf>
    <xf numFmtId="0" fontId="4" fillId="16" borderId="2" xfId="1" applyFont="1" applyFill="1" applyBorder="1" applyAlignment="1">
      <alignment vertical="top" wrapText="1"/>
    </xf>
    <xf numFmtId="0" fontId="4" fillId="3" borderId="1" xfId="1" applyFont="1" applyFill="1" applyBorder="1" applyAlignment="1">
      <alignment vertical="top" wrapText="1"/>
    </xf>
    <xf numFmtId="0" fontId="9" fillId="0" borderId="0" xfId="2" applyFill="1" applyAlignment="1">
      <alignment vertical="top" wrapText="1"/>
    </xf>
    <xf numFmtId="43" fontId="0" fillId="30" borderId="22" xfId="0" applyNumberFormat="1" applyFill="1" applyBorder="1" applyAlignment="1">
      <alignment horizontal="center" vertical="center"/>
    </xf>
    <xf numFmtId="43" fontId="4" fillId="0" borderId="12" xfId="4" applyFont="1" applyFill="1" applyBorder="1" applyAlignment="1">
      <alignment vertical="top"/>
    </xf>
    <xf numFmtId="0" fontId="44" fillId="0" borderId="5" xfId="0" applyFont="1" applyBorder="1" applyAlignment="1">
      <alignment horizontal="center" vertical="center" wrapText="1"/>
    </xf>
    <xf numFmtId="0" fontId="7" fillId="28" borderId="45" xfId="0" applyFont="1" applyFill="1" applyBorder="1" applyAlignment="1">
      <alignment horizontal="center" vertical="center"/>
    </xf>
    <xf numFmtId="0" fontId="0" fillId="0" borderId="0" xfId="0" applyAlignment="1"/>
    <xf numFmtId="0" fontId="0" fillId="0" borderId="0" xfId="0" applyAlignment="1">
      <alignment horizontal="center"/>
    </xf>
    <xf numFmtId="0" fontId="0" fillId="0" borderId="0" xfId="0" applyBorder="1" applyAlignment="1">
      <alignment horizontal="center"/>
    </xf>
    <xf numFmtId="178" fontId="78" fillId="32" borderId="5" xfId="0" applyNumberFormat="1" applyFont="1" applyFill="1" applyBorder="1" applyAlignment="1">
      <alignment horizontal="right"/>
    </xf>
    <xf numFmtId="0" fontId="0" fillId="0" borderId="0" xfId="0" applyFill="1" applyBorder="1" applyAlignment="1">
      <alignment horizontal="center"/>
    </xf>
    <xf numFmtId="0" fontId="0" fillId="0" borderId="0" xfId="0" applyFill="1" applyBorder="1" applyAlignment="1"/>
    <xf numFmtId="176" fontId="0" fillId="31" borderId="5" xfId="0" applyNumberFormat="1" applyFill="1" applyBorder="1" applyAlignment="1">
      <alignment horizontal="center" vertical="center"/>
    </xf>
    <xf numFmtId="0" fontId="81" fillId="33" borderId="5" xfId="0" applyFont="1" applyFill="1" applyBorder="1" applyAlignment="1"/>
    <xf numFmtId="0" fontId="80" fillId="33" borderId="5" xfId="0" applyFont="1" applyFill="1" applyBorder="1" applyAlignment="1">
      <alignment horizontal="center"/>
    </xf>
    <xf numFmtId="0" fontId="79" fillId="33" borderId="5" xfId="0" applyFont="1" applyFill="1" applyBorder="1" applyAlignment="1">
      <alignment horizontal="center"/>
    </xf>
    <xf numFmtId="0" fontId="82" fillId="33" borderId="5" xfId="0" applyFont="1" applyFill="1" applyBorder="1" applyAlignment="1">
      <alignment horizontal="center"/>
    </xf>
    <xf numFmtId="179" fontId="76" fillId="34" borderId="5" xfId="0" applyNumberFormat="1" applyFont="1" applyFill="1" applyBorder="1" applyAlignment="1">
      <alignment horizontal="center"/>
    </xf>
    <xf numFmtId="179" fontId="76" fillId="9" borderId="5" xfId="0" applyNumberFormat="1" applyFont="1" applyFill="1" applyBorder="1" applyAlignment="1">
      <alignment horizontal="center"/>
    </xf>
    <xf numFmtId="179" fontId="76" fillId="36" borderId="5" xfId="0" applyNumberFormat="1" applyFont="1" applyFill="1" applyBorder="1" applyAlignment="1">
      <alignment horizontal="center"/>
    </xf>
    <xf numFmtId="179" fontId="76" fillId="37" borderId="5" xfId="0" applyNumberFormat="1" applyFont="1" applyFill="1" applyBorder="1" applyAlignment="1">
      <alignment horizontal="center"/>
    </xf>
    <xf numFmtId="43" fontId="0" fillId="8" borderId="5" xfId="0" applyNumberFormat="1" applyFill="1" applyBorder="1">
      <alignment vertical="center"/>
    </xf>
    <xf numFmtId="0" fontId="0" fillId="8" borderId="5" xfId="0" applyFill="1" applyBorder="1" applyAlignment="1">
      <alignment horizontal="left" vertical="center"/>
    </xf>
    <xf numFmtId="43" fontId="0" fillId="30" borderId="5" xfId="0" applyNumberFormat="1" applyFill="1" applyBorder="1" applyAlignment="1">
      <alignment horizontal="center" vertical="center"/>
    </xf>
    <xf numFmtId="0" fontId="0" fillId="0" borderId="22" xfId="0" applyFill="1" applyBorder="1">
      <alignment vertical="center"/>
    </xf>
    <xf numFmtId="0" fontId="36" fillId="0" borderId="5" xfId="0" applyFont="1" applyFill="1" applyBorder="1" applyAlignment="1">
      <alignment horizontal="left" vertical="center" wrapText="1"/>
    </xf>
    <xf numFmtId="0" fontId="34" fillId="0" borderId="27" xfId="0" applyFont="1" applyBorder="1" applyAlignment="1">
      <alignment wrapText="1"/>
    </xf>
    <xf numFmtId="0" fontId="34" fillId="0" borderId="7" xfId="0" applyFont="1" applyBorder="1" applyAlignment="1">
      <alignment wrapText="1"/>
    </xf>
    <xf numFmtId="43" fontId="31" fillId="0" borderId="0" xfId="0" applyNumberFormat="1" applyFont="1" applyBorder="1" applyAlignment="1">
      <alignment vertical="center"/>
    </xf>
    <xf numFmtId="0" fontId="21" fillId="0" borderId="7" xfId="6" applyFont="1" applyBorder="1" applyAlignment="1">
      <alignment vertical="center"/>
    </xf>
    <xf numFmtId="0" fontId="21" fillId="0" borderId="29" xfId="6" applyFont="1" applyBorder="1" applyAlignment="1">
      <alignment vertical="center"/>
    </xf>
    <xf numFmtId="0" fontId="83" fillId="0" borderId="7" xfId="6" applyFont="1" applyBorder="1" applyAlignment="1">
      <alignment vertical="center"/>
    </xf>
    <xf numFmtId="0" fontId="84" fillId="5" borderId="7" xfId="6" applyFont="1" applyFill="1" applyBorder="1" applyAlignment="1">
      <alignment vertical="center"/>
    </xf>
    <xf numFmtId="0" fontId="4" fillId="16" borderId="2" xfId="1" applyFont="1" applyFill="1" applyBorder="1" applyAlignment="1">
      <alignment vertical="center" wrapText="1"/>
    </xf>
    <xf numFmtId="0" fontId="4" fillId="16" borderId="2" xfId="1" applyFont="1" applyFill="1" applyBorder="1" applyAlignment="1">
      <alignment horizontal="left" vertical="top" wrapText="1"/>
    </xf>
    <xf numFmtId="0" fontId="55" fillId="16" borderId="2" xfId="1" applyFont="1" applyFill="1" applyBorder="1" applyAlignment="1">
      <alignment horizontal="left" vertical="top" wrapText="1"/>
    </xf>
    <xf numFmtId="49" fontId="4" fillId="16" borderId="2" xfId="1" applyNumberFormat="1" applyFont="1" applyFill="1" applyBorder="1" applyAlignment="1">
      <alignment horizontal="left" vertical="center" wrapText="1"/>
    </xf>
    <xf numFmtId="49" fontId="4" fillId="16" borderId="2" xfId="1" quotePrefix="1" applyNumberFormat="1" applyFont="1" applyFill="1" applyBorder="1" applyAlignment="1">
      <alignment horizontal="left" vertical="center" wrapText="1"/>
    </xf>
    <xf numFmtId="49" fontId="4" fillId="16" borderId="2" xfId="1" quotePrefix="1" applyNumberFormat="1" applyFont="1" applyFill="1" applyBorder="1" applyAlignment="1">
      <alignment vertical="center" wrapText="1"/>
    </xf>
    <xf numFmtId="49" fontId="4" fillId="16" borderId="2" xfId="1" applyNumberFormat="1" applyFont="1" applyFill="1" applyBorder="1" applyAlignment="1">
      <alignment vertical="center" wrapText="1"/>
    </xf>
    <xf numFmtId="0" fontId="4" fillId="16" borderId="2" xfId="1" quotePrefix="1" applyFont="1" applyFill="1" applyBorder="1" applyAlignment="1">
      <alignment vertical="center" wrapText="1"/>
    </xf>
    <xf numFmtId="0" fontId="77" fillId="0" borderId="5" xfId="0" applyFont="1" applyFill="1" applyBorder="1" applyAlignment="1">
      <alignment horizontal="center"/>
    </xf>
    <xf numFmtId="43" fontId="5" fillId="24" borderId="5" xfId="4" applyFont="1" applyFill="1" applyBorder="1" applyAlignment="1">
      <alignment horizontal="center" vertical="center"/>
    </xf>
    <xf numFmtId="43" fontId="4" fillId="14" borderId="5" xfId="4" applyFont="1" applyFill="1" applyBorder="1" applyAlignment="1">
      <alignment horizontal="center" vertical="center"/>
    </xf>
    <xf numFmtId="10" fontId="0" fillId="0" borderId="0" xfId="0" applyNumberFormat="1">
      <alignment vertical="center"/>
    </xf>
    <xf numFmtId="0" fontId="7" fillId="15" borderId="14" xfId="0" applyFont="1" applyFill="1" applyBorder="1" applyAlignment="1">
      <alignment vertical="center"/>
    </xf>
    <xf numFmtId="0" fontId="68" fillId="15" borderId="56" xfId="0" applyFont="1" applyFill="1" applyBorder="1" applyAlignment="1">
      <alignment vertical="center"/>
    </xf>
    <xf numFmtId="0" fontId="0" fillId="0" borderId="5" xfId="0" applyFill="1" applyBorder="1">
      <alignment vertical="center"/>
    </xf>
    <xf numFmtId="0" fontId="0" fillId="14" borderId="5" xfId="0" applyFill="1" applyBorder="1" applyAlignment="1">
      <alignment horizontal="center" vertical="center"/>
    </xf>
    <xf numFmtId="0" fontId="0" fillId="0" borderId="0" xfId="0">
      <alignment vertical="center"/>
    </xf>
    <xf numFmtId="0" fontId="7" fillId="2" borderId="48" xfId="0" applyFont="1" applyFill="1" applyBorder="1" applyAlignment="1">
      <alignment horizontal="center" vertical="center"/>
    </xf>
    <xf numFmtId="0" fontId="7" fillId="2" borderId="50" xfId="0" applyFont="1" applyFill="1" applyBorder="1" applyAlignment="1">
      <alignment horizontal="center" vertical="center"/>
    </xf>
    <xf numFmtId="0" fontId="5" fillId="0" borderId="9" xfId="0" applyFont="1" applyBorder="1" applyAlignment="1">
      <alignment horizontal="center" vertical="center"/>
    </xf>
    <xf numFmtId="0" fontId="10" fillId="0" borderId="47" xfId="2" applyFont="1" applyBorder="1">
      <alignment vertical="center"/>
    </xf>
    <xf numFmtId="0" fontId="90" fillId="10" borderId="5" xfId="0" applyFont="1" applyFill="1" applyBorder="1" applyAlignment="1">
      <alignment horizontal="center" vertical="center"/>
    </xf>
    <xf numFmtId="176" fontId="0" fillId="0" borderId="12" xfId="0" applyNumberFormat="1" applyFill="1" applyBorder="1" applyAlignment="1">
      <alignment horizontal="center" vertical="center"/>
    </xf>
    <xf numFmtId="43" fontId="5" fillId="24" borderId="5" xfId="4" applyFont="1" applyFill="1" applyBorder="1" applyAlignment="1">
      <alignment horizontal="center" vertical="center" wrapText="1"/>
    </xf>
    <xf numFmtId="43" fontId="0" fillId="0" borderId="47" xfId="4" applyFont="1" applyFill="1" applyBorder="1">
      <alignment vertical="center"/>
    </xf>
    <xf numFmtId="0" fontId="20" fillId="0" borderId="5" xfId="0" applyFont="1" applyFill="1" applyBorder="1" applyAlignment="1">
      <alignment horizontal="left" vertical="center" wrapText="1"/>
    </xf>
    <xf numFmtId="176" fontId="0" fillId="55" borderId="5" xfId="0" applyNumberFormat="1" applyFill="1" applyBorder="1" applyAlignment="1">
      <alignment horizontal="center" vertical="center"/>
    </xf>
    <xf numFmtId="0" fontId="21" fillId="0" borderId="7" xfId="6" applyFont="1" applyBorder="1" applyAlignment="1">
      <alignment horizontal="center" vertical="center"/>
    </xf>
    <xf numFmtId="0" fontId="78" fillId="35" borderId="5" xfId="0" applyFont="1" applyFill="1" applyBorder="1" applyAlignment="1">
      <alignment horizontal="right"/>
    </xf>
    <xf numFmtId="43" fontId="0" fillId="0" borderId="2" xfId="4" applyFont="1" applyFill="1" applyBorder="1">
      <alignment vertical="center"/>
    </xf>
    <xf numFmtId="43" fontId="0" fillId="0" borderId="4" xfId="4" applyFont="1" applyFill="1" applyBorder="1">
      <alignment vertical="center"/>
    </xf>
    <xf numFmtId="43" fontId="0" fillId="0" borderId="13" xfId="4" applyFont="1" applyFill="1" applyBorder="1">
      <alignment vertical="center"/>
    </xf>
    <xf numFmtId="0" fontId="30" fillId="0" borderId="12" xfId="0" applyFont="1" applyBorder="1" applyAlignment="1">
      <alignment horizontal="center" vertical="center" wrapText="1"/>
    </xf>
    <xf numFmtId="0" fontId="28" fillId="0" borderId="5" xfId="0" applyFont="1" applyBorder="1">
      <alignment vertical="center"/>
    </xf>
    <xf numFmtId="3" fontId="24" fillId="30" borderId="5" xfId="6" applyNumberFormat="1" applyFont="1" applyFill="1" applyBorder="1" applyAlignment="1">
      <alignment horizontal="center" vertical="center" wrapText="1"/>
    </xf>
    <xf numFmtId="3" fontId="24" fillId="30" borderId="5" xfId="4" applyNumberFormat="1" applyFont="1" applyFill="1" applyBorder="1" applyAlignment="1">
      <alignment horizontal="center" vertical="center" wrapText="1"/>
    </xf>
    <xf numFmtId="4" fontId="24" fillId="30" borderId="5" xfId="4" applyNumberFormat="1" applyFont="1" applyFill="1" applyBorder="1" applyAlignment="1">
      <alignment horizontal="center" vertical="center" wrapText="1"/>
    </xf>
    <xf numFmtId="0" fontId="20" fillId="0" borderId="5" xfId="0" applyFont="1" applyBorder="1" applyAlignment="1">
      <alignment horizontal="left" vertical="center" wrapText="1"/>
    </xf>
    <xf numFmtId="43" fontId="5" fillId="53" borderId="5" xfId="4" applyFont="1" applyFill="1" applyBorder="1" applyAlignment="1">
      <alignment horizontal="center" vertical="center" wrapText="1"/>
    </xf>
    <xf numFmtId="0" fontId="7" fillId="35" borderId="5" xfId="0" applyFont="1" applyFill="1" applyBorder="1">
      <alignment vertical="center"/>
    </xf>
    <xf numFmtId="0" fontId="78" fillId="32" borderId="5" xfId="0" applyFont="1" applyFill="1" applyBorder="1" applyAlignment="1">
      <alignment horizontal="right"/>
    </xf>
    <xf numFmtId="0" fontId="0" fillId="5" borderId="5" xfId="0" applyFill="1" applyBorder="1" applyAlignment="1">
      <alignment horizontal="center" vertical="center"/>
    </xf>
    <xf numFmtId="0" fontId="46" fillId="16" borderId="2" xfId="1" applyFont="1" applyFill="1" applyBorder="1" applyAlignment="1">
      <alignment horizontal="left" wrapText="1"/>
    </xf>
    <xf numFmtId="180" fontId="77" fillId="0" borderId="5" xfId="0" applyNumberFormat="1" applyFont="1" applyFill="1" applyBorder="1" applyAlignment="1">
      <alignment horizontal="center"/>
    </xf>
    <xf numFmtId="180" fontId="78" fillId="35" borderId="5" xfId="0" applyNumberFormat="1" applyFont="1" applyFill="1" applyBorder="1" applyAlignment="1">
      <alignment horizontal="right"/>
    </xf>
    <xf numFmtId="176" fontId="0" fillId="21" borderId="5" xfId="0" applyNumberFormat="1" applyFill="1" applyBorder="1" applyAlignment="1">
      <alignment horizontal="center" vertical="center"/>
    </xf>
    <xf numFmtId="0" fontId="0" fillId="21" borderId="12" xfId="0" applyFill="1" applyBorder="1" applyAlignment="1">
      <alignment horizontal="center" vertical="center"/>
    </xf>
    <xf numFmtId="10" fontId="24" fillId="30" borderId="5" xfId="4" applyNumberFormat="1" applyFont="1" applyFill="1" applyBorder="1" applyAlignment="1">
      <alignment horizontal="center" vertical="center" wrapText="1"/>
    </xf>
    <xf numFmtId="43" fontId="4" fillId="0" borderId="21" xfId="4" applyFont="1" applyFill="1" applyBorder="1" applyAlignment="1">
      <alignment vertical="center"/>
    </xf>
    <xf numFmtId="0" fontId="8" fillId="0" borderId="33" xfId="0" applyFont="1" applyFill="1" applyBorder="1" applyAlignment="1">
      <alignment vertical="center"/>
    </xf>
    <xf numFmtId="0" fontId="7" fillId="2" borderId="5" xfId="0" applyFont="1" applyFill="1" applyBorder="1" applyAlignment="1">
      <alignment horizontal="center" vertical="center"/>
    </xf>
    <xf numFmtId="0" fontId="4" fillId="0" borderId="5" xfId="0" applyFont="1" applyFill="1" applyBorder="1" applyAlignment="1">
      <alignment horizontal="left" vertical="center"/>
    </xf>
    <xf numFmtId="0" fontId="6" fillId="0" borderId="5" xfId="0" applyFont="1" applyFill="1" applyBorder="1" applyAlignment="1">
      <alignment horizontal="left" vertical="center"/>
    </xf>
    <xf numFmtId="0" fontId="4" fillId="0" borderId="0" xfId="0" applyFont="1" applyBorder="1" applyAlignment="1">
      <alignment horizontal="left" vertical="center"/>
    </xf>
    <xf numFmtId="0" fontId="8" fillId="0" borderId="34" xfId="0" applyFont="1" applyFill="1" applyBorder="1" applyAlignment="1">
      <alignment vertical="center"/>
    </xf>
    <xf numFmtId="0" fontId="8" fillId="0" borderId="0" xfId="0" applyFont="1" applyFill="1" applyBorder="1" applyAlignment="1">
      <alignment horizontal="center" vertical="top"/>
    </xf>
    <xf numFmtId="0" fontId="7" fillId="2" borderId="5" xfId="0" applyFont="1" applyFill="1" applyBorder="1" applyAlignment="1">
      <alignment horizontal="center" vertical="center" wrapText="1"/>
    </xf>
    <xf numFmtId="0" fontId="48" fillId="0" borderId="0" xfId="0" applyFont="1" applyAlignment="1">
      <alignment vertical="top"/>
    </xf>
    <xf numFmtId="0" fontId="7" fillId="2" borderId="0" xfId="0" applyFont="1" applyFill="1" applyBorder="1" applyAlignment="1">
      <alignment horizontal="center" vertical="center" wrapText="1"/>
    </xf>
    <xf numFmtId="0" fontId="7" fillId="2" borderId="19" xfId="0" applyFont="1" applyFill="1" applyBorder="1" applyAlignment="1">
      <alignment horizontal="center" vertical="center"/>
    </xf>
    <xf numFmtId="0" fontId="4" fillId="0" borderId="0" xfId="0" applyFont="1" applyAlignment="1">
      <alignment vertical="top"/>
    </xf>
    <xf numFmtId="0" fontId="5" fillId="0" borderId="0" xfId="0" applyFont="1" applyAlignment="1">
      <alignment vertical="top"/>
    </xf>
    <xf numFmtId="0" fontId="5" fillId="0" borderId="0" xfId="0" applyFont="1">
      <alignment vertical="center"/>
    </xf>
    <xf numFmtId="43" fontId="4" fillId="0" borderId="5" xfId="4" applyFont="1" applyBorder="1" applyAlignment="1">
      <alignment vertical="top"/>
    </xf>
    <xf numFmtId="0" fontId="4" fillId="20" borderId="5" xfId="0" applyFont="1" applyFill="1" applyBorder="1" applyAlignment="1">
      <alignment vertical="top"/>
    </xf>
    <xf numFmtId="0" fontId="4" fillId="0" borderId="0" xfId="0" applyFont="1">
      <alignment vertical="center"/>
    </xf>
    <xf numFmtId="0" fontId="9" fillId="0" borderId="0" xfId="2" applyFill="1" applyAlignment="1">
      <alignment vertical="top" wrapText="1"/>
    </xf>
    <xf numFmtId="0" fontId="4" fillId="0" borderId="0" xfId="0" applyFont="1" applyAlignment="1">
      <alignment horizontal="left" vertical="center"/>
    </xf>
    <xf numFmtId="0" fontId="4" fillId="0" borderId="0" xfId="0" applyFont="1" applyFill="1" applyBorder="1" applyAlignment="1">
      <alignment horizontal="left" vertical="top"/>
    </xf>
    <xf numFmtId="0" fontId="4" fillId="0" borderId="5" xfId="0" quotePrefix="1" applyFont="1" applyFill="1" applyBorder="1" applyAlignment="1">
      <alignment horizontal="center" vertical="center"/>
    </xf>
    <xf numFmtId="0" fontId="4" fillId="0" borderId="5" xfId="0" applyFont="1" applyFill="1" applyBorder="1">
      <alignment vertical="center"/>
    </xf>
    <xf numFmtId="0" fontId="4" fillId="0" borderId="5" xfId="0" applyFont="1" applyFill="1" applyBorder="1" applyAlignment="1">
      <alignment horizontal="center" vertical="center"/>
    </xf>
    <xf numFmtId="0" fontId="8" fillId="0" borderId="42" xfId="0" applyFont="1" applyFill="1" applyBorder="1" applyAlignment="1">
      <alignment vertical="center"/>
    </xf>
    <xf numFmtId="0" fontId="8" fillId="0" borderId="0" xfId="0" applyFont="1" applyFill="1" applyBorder="1" applyAlignment="1">
      <alignment horizontal="center" vertical="center"/>
    </xf>
    <xf numFmtId="0" fontId="25" fillId="0" borderId="0" xfId="0" applyFont="1" applyFill="1" applyBorder="1" applyAlignment="1">
      <alignment horizontal="center" vertical="center"/>
    </xf>
    <xf numFmtId="0" fontId="5" fillId="0" borderId="0" xfId="0" applyFont="1" applyFill="1">
      <alignment vertical="center"/>
    </xf>
    <xf numFmtId="0" fontId="4" fillId="0" borderId="0" xfId="0" applyFont="1" applyFill="1">
      <alignment vertical="center"/>
    </xf>
    <xf numFmtId="0" fontId="5" fillId="14" borderId="0" xfId="0" applyFont="1" applyFill="1">
      <alignment vertical="center"/>
    </xf>
    <xf numFmtId="0" fontId="8" fillId="0" borderId="8" xfId="0" applyFont="1" applyFill="1" applyBorder="1" applyAlignment="1">
      <alignment horizontal="center" vertical="center"/>
    </xf>
    <xf numFmtId="0" fontId="7" fillId="2" borderId="5" xfId="0" applyFont="1" applyFill="1" applyBorder="1" applyAlignment="1">
      <alignment vertical="center" wrapText="1"/>
    </xf>
    <xf numFmtId="0" fontId="7" fillId="2" borderId="35" xfId="0" applyFont="1" applyFill="1" applyBorder="1" applyAlignment="1">
      <alignment horizontal="center" vertical="center"/>
    </xf>
    <xf numFmtId="0" fontId="7" fillId="2" borderId="13" xfId="0" applyFont="1" applyFill="1" applyBorder="1" applyAlignment="1">
      <alignment horizontal="center" vertical="center"/>
    </xf>
    <xf numFmtId="0" fontId="7" fillId="2" borderId="27" xfId="0" applyFont="1" applyFill="1" applyBorder="1" applyAlignment="1">
      <alignment horizontal="center" vertical="center"/>
    </xf>
    <xf numFmtId="0" fontId="7" fillId="2" borderId="24" xfId="0" applyFont="1" applyFill="1" applyBorder="1" applyAlignment="1">
      <alignment horizontal="center" vertical="center"/>
    </xf>
    <xf numFmtId="0" fontId="68" fillId="2" borderId="5" xfId="0" applyFont="1" applyFill="1" applyBorder="1" applyAlignment="1">
      <alignment horizontal="center" vertical="center"/>
    </xf>
    <xf numFmtId="0" fontId="7" fillId="2" borderId="21" xfId="0" applyFont="1" applyFill="1" applyBorder="1" applyAlignment="1">
      <alignment horizontal="center" vertical="center"/>
    </xf>
    <xf numFmtId="0" fontId="7" fillId="22" borderId="5" xfId="0" applyFont="1" applyFill="1" applyBorder="1" applyAlignment="1">
      <alignment horizontal="center" vertical="center"/>
    </xf>
    <xf numFmtId="0" fontId="4" fillId="14" borderId="5" xfId="0" applyFont="1" applyFill="1" applyBorder="1">
      <alignment vertical="center"/>
    </xf>
    <xf numFmtId="0" fontId="6" fillId="0" borderId="5" xfId="0" applyFont="1" applyBorder="1" applyAlignment="1">
      <alignment horizontal="left" vertical="center"/>
    </xf>
    <xf numFmtId="0" fontId="67" fillId="0" borderId="5" xfId="0" applyFont="1" applyBorder="1">
      <alignment vertical="center"/>
    </xf>
    <xf numFmtId="0" fontId="4" fillId="9" borderId="5" xfId="0" applyFont="1" applyFill="1" applyBorder="1" applyAlignment="1">
      <alignment horizontal="center" vertical="center"/>
    </xf>
    <xf numFmtId="43" fontId="52" fillId="0" borderId="5" xfId="4" applyFont="1" applyFill="1" applyBorder="1" applyAlignment="1">
      <alignment horizontal="center" vertical="center"/>
    </xf>
    <xf numFmtId="43" fontId="4" fillId="14" borderId="5" xfId="4" applyFont="1" applyFill="1" applyBorder="1" applyAlignment="1">
      <alignment vertical="top"/>
    </xf>
    <xf numFmtId="0" fontId="4" fillId="0" borderId="5" xfId="0" applyFont="1" applyFill="1" applyBorder="1" applyAlignment="1">
      <alignment horizontal="right" vertical="center"/>
    </xf>
    <xf numFmtId="43" fontId="4" fillId="14" borderId="5" xfId="4" applyFont="1" applyFill="1" applyBorder="1">
      <alignment vertical="center"/>
    </xf>
    <xf numFmtId="0" fontId="4" fillId="0" borderId="5" xfId="0" applyFont="1" applyBorder="1" applyAlignment="1">
      <alignment horizontal="left" vertical="center"/>
    </xf>
    <xf numFmtId="0" fontId="4" fillId="0" borderId="5" xfId="0" applyFont="1" applyFill="1" applyBorder="1" applyAlignment="1">
      <alignment horizontal="left" vertical="center" indent="1"/>
    </xf>
    <xf numFmtId="0" fontId="4" fillId="0" borderId="5" xfId="0" applyFont="1" applyBorder="1" applyAlignment="1">
      <alignment horizontal="center" vertical="center"/>
    </xf>
    <xf numFmtId="43" fontId="4" fillId="0" borderId="5" xfId="4" applyFont="1" applyFill="1" applyBorder="1" applyAlignment="1">
      <alignment horizontal="center" vertical="center"/>
    </xf>
    <xf numFmtId="43" fontId="4" fillId="0" borderId="5" xfId="4" applyFont="1" applyFill="1" applyBorder="1" applyAlignment="1">
      <alignment vertical="top"/>
    </xf>
    <xf numFmtId="0" fontId="20" fillId="0" borderId="21" xfId="0" applyFont="1" applyBorder="1" applyAlignment="1">
      <alignment horizontal="right" vertical="center"/>
    </xf>
    <xf numFmtId="0" fontId="6" fillId="0" borderId="5" xfId="0" applyFont="1" applyFill="1" applyBorder="1">
      <alignment vertical="center"/>
    </xf>
    <xf numFmtId="0" fontId="20" fillId="0" borderId="21" xfId="0" applyFont="1" applyBorder="1" applyAlignment="1">
      <alignment vertical="center"/>
    </xf>
    <xf numFmtId="0" fontId="4" fillId="0" borderId="5" xfId="0" applyFont="1" applyBorder="1" applyAlignment="1">
      <alignment horizontal="right" vertical="center"/>
    </xf>
    <xf numFmtId="0" fontId="46" fillId="0" borderId="5" xfId="0" applyFont="1" applyBorder="1" applyAlignment="1">
      <alignment horizontal="right" vertical="center"/>
    </xf>
    <xf numFmtId="0" fontId="4" fillId="0" borderId="5" xfId="0" applyFont="1" applyBorder="1" applyAlignment="1">
      <alignment vertical="center"/>
    </xf>
    <xf numFmtId="0" fontId="0" fillId="0" borderId="5" xfId="0" applyBorder="1" applyAlignment="1">
      <alignment vertical="center"/>
    </xf>
    <xf numFmtId="43" fontId="4" fillId="0" borderId="5" xfId="4" applyFont="1" applyFill="1" applyBorder="1">
      <alignment vertical="center"/>
    </xf>
    <xf numFmtId="0" fontId="4" fillId="20" borderId="5" xfId="0" applyFont="1" applyFill="1" applyBorder="1" applyAlignment="1">
      <alignment horizontal="center" vertical="top"/>
    </xf>
    <xf numFmtId="0" fontId="66" fillId="0" borderId="5" xfId="0" applyFont="1" applyFill="1" applyBorder="1" applyAlignment="1">
      <alignment horizontal="left" vertical="center"/>
    </xf>
    <xf numFmtId="0" fontId="6" fillId="0" borderId="5" xfId="0" applyFont="1" applyFill="1" applyBorder="1" applyAlignment="1">
      <alignment vertical="center" wrapText="1"/>
    </xf>
    <xf numFmtId="0" fontId="6" fillId="0" borderId="21" xfId="0" applyFont="1" applyFill="1" applyBorder="1" applyAlignment="1">
      <alignment vertical="center" wrapText="1"/>
    </xf>
    <xf numFmtId="0" fontId="6" fillId="0" borderId="21" xfId="0" applyFont="1" applyFill="1" applyBorder="1" applyAlignment="1">
      <alignment horizontal="left" vertical="center"/>
    </xf>
    <xf numFmtId="0" fontId="6" fillId="8" borderId="5" xfId="0" applyFont="1" applyFill="1" applyBorder="1" applyAlignment="1">
      <alignment vertical="center" wrapText="1"/>
    </xf>
    <xf numFmtId="0" fontId="2" fillId="0" borderId="31" xfId="0" applyFont="1" applyFill="1" applyBorder="1">
      <alignment vertical="center"/>
    </xf>
    <xf numFmtId="0" fontId="6" fillId="0" borderId="5" xfId="0" applyFont="1" applyFill="1" applyBorder="1" applyAlignment="1">
      <alignment horizontal="center" vertical="center"/>
    </xf>
    <xf numFmtId="0" fontId="6" fillId="9" borderId="22" xfId="0" quotePrefix="1" applyFont="1" applyFill="1" applyBorder="1" applyAlignment="1">
      <alignment horizontal="center" vertical="center"/>
    </xf>
    <xf numFmtId="43" fontId="4" fillId="21" borderId="22" xfId="4" applyFont="1" applyFill="1" applyBorder="1" applyAlignment="1">
      <alignment horizontal="center" vertical="center"/>
    </xf>
    <xf numFmtId="43" fontId="4" fillId="21" borderId="5" xfId="4" applyFont="1" applyFill="1" applyBorder="1">
      <alignment vertical="center"/>
    </xf>
    <xf numFmtId="0" fontId="6" fillId="21" borderId="5" xfId="0" applyFont="1" applyFill="1" applyBorder="1" applyAlignment="1">
      <alignment horizontal="center" vertical="center"/>
    </xf>
    <xf numFmtId="43" fontId="6" fillId="21" borderId="5" xfId="4" applyFont="1" applyFill="1" applyBorder="1" applyAlignment="1">
      <alignment vertical="top"/>
    </xf>
    <xf numFmtId="0" fontId="6" fillId="0" borderId="0" xfId="0" applyFont="1" applyFill="1" applyBorder="1">
      <alignment vertical="center"/>
    </xf>
    <xf numFmtId="0" fontId="6" fillId="0" borderId="0" xfId="0" applyFont="1" applyFill="1">
      <alignment vertical="center"/>
    </xf>
    <xf numFmtId="0" fontId="4" fillId="0" borderId="0" xfId="0" applyFont="1" applyFill="1" applyAlignment="1">
      <alignment horizontal="right" vertical="center"/>
    </xf>
    <xf numFmtId="0" fontId="4" fillId="0" borderId="0" xfId="0" applyFont="1" applyFill="1" applyAlignment="1">
      <alignment horizontal="left" vertical="center"/>
    </xf>
    <xf numFmtId="0" fontId="6" fillId="8" borderId="5" xfId="0" applyFont="1" applyFill="1" applyBorder="1">
      <alignment vertical="center"/>
    </xf>
    <xf numFmtId="0" fontId="4" fillId="0" borderId="0" xfId="0" applyFont="1" applyAlignment="1">
      <alignment horizontal="center" vertical="center"/>
    </xf>
    <xf numFmtId="0" fontId="4" fillId="0" borderId="0" xfId="0" applyFont="1" applyFill="1" applyAlignment="1">
      <alignment horizontal="center" vertical="center"/>
    </xf>
    <xf numFmtId="0" fontId="4" fillId="21" borderId="5" xfId="0" applyFont="1" applyFill="1" applyBorder="1" applyAlignment="1">
      <alignment horizontal="center" vertical="center"/>
    </xf>
    <xf numFmtId="0" fontId="4" fillId="8" borderId="22" xfId="0" applyFont="1" applyFill="1" applyBorder="1">
      <alignment vertical="center"/>
    </xf>
    <xf numFmtId="0" fontId="4" fillId="14" borderId="0" xfId="0" applyFont="1" applyFill="1">
      <alignment vertical="center"/>
    </xf>
    <xf numFmtId="0" fontId="4" fillId="0" borderId="0" xfId="0" applyFont="1" applyFill="1" applyBorder="1" applyAlignment="1">
      <alignment horizontal="center" vertical="center"/>
    </xf>
    <xf numFmtId="43" fontId="6" fillId="21" borderId="21" xfId="4" applyFont="1" applyFill="1" applyBorder="1" applyAlignment="1">
      <alignment vertical="top"/>
    </xf>
    <xf numFmtId="0" fontId="4" fillId="0" borderId="0" xfId="0" applyFont="1" applyFill="1" applyBorder="1">
      <alignment vertical="center"/>
    </xf>
    <xf numFmtId="0" fontId="51" fillId="0" borderId="0" xfId="0" applyFont="1" applyAlignment="1">
      <alignment horizontal="right" vertical="center"/>
    </xf>
    <xf numFmtId="43" fontId="38" fillId="8" borderId="5" xfId="4" applyFont="1" applyFill="1" applyBorder="1" applyAlignment="1">
      <alignment horizontal="left" vertical="center"/>
    </xf>
    <xf numFmtId="0" fontId="51" fillId="0" borderId="0" xfId="0" applyFont="1" applyAlignment="1">
      <alignment horizontal="center" vertical="center"/>
    </xf>
    <xf numFmtId="43" fontId="51" fillId="0" borderId="0" xfId="4" applyFont="1" applyAlignment="1">
      <alignment horizontal="left" vertical="center"/>
    </xf>
    <xf numFmtId="43" fontId="51" fillId="0" borderId="0" xfId="4" applyFont="1" applyAlignment="1">
      <alignment horizontal="right" vertical="center"/>
    </xf>
    <xf numFmtId="43" fontId="51" fillId="0" borderId="0" xfId="4" applyFont="1" applyAlignment="1">
      <alignment horizontal="center" vertical="center"/>
    </xf>
    <xf numFmtId="43" fontId="46" fillId="21" borderId="5" xfId="4" applyFont="1" applyFill="1" applyBorder="1" applyAlignment="1">
      <alignment horizontal="center" vertical="center"/>
    </xf>
    <xf numFmtId="43" fontId="4" fillId="21" borderId="5" xfId="4" applyFont="1" applyFill="1" applyBorder="1" applyAlignment="1">
      <alignment vertical="top"/>
    </xf>
    <xf numFmtId="43" fontId="46" fillId="0" borderId="0" xfId="4" applyFont="1" applyFill="1" applyBorder="1" applyAlignment="1">
      <alignment horizontal="right" vertical="center"/>
    </xf>
    <xf numFmtId="43" fontId="51" fillId="0" borderId="5" xfId="4" applyFont="1" applyBorder="1">
      <alignment vertical="center"/>
    </xf>
    <xf numFmtId="0" fontId="4" fillId="0" borderId="0" xfId="0" applyFont="1" applyAlignment="1">
      <alignment horizontal="right" vertical="center"/>
    </xf>
    <xf numFmtId="0" fontId="6" fillId="8" borderId="5" xfId="0" applyFont="1" applyFill="1" applyBorder="1" applyAlignment="1">
      <alignment horizontal="left" vertical="center"/>
    </xf>
    <xf numFmtId="0" fontId="4" fillId="0" borderId="0" xfId="0" applyFont="1" applyBorder="1" applyAlignment="1">
      <alignment horizontal="right" vertical="center"/>
    </xf>
    <xf numFmtId="0" fontId="4" fillId="0" borderId="0" xfId="0" applyFont="1" applyBorder="1" applyAlignment="1">
      <alignment horizontal="center" vertical="center"/>
    </xf>
    <xf numFmtId="43" fontId="25" fillId="21" borderId="5" xfId="4" applyFont="1" applyFill="1" applyBorder="1" applyAlignment="1">
      <alignment horizontal="center" vertical="center"/>
    </xf>
    <xf numFmtId="43" fontId="4" fillId="0" borderId="5" xfId="4" applyFont="1" applyBorder="1">
      <alignment vertical="center"/>
    </xf>
    <xf numFmtId="0" fontId="5" fillId="0" borderId="0" xfId="0" applyFont="1" applyFill="1" applyAlignment="1">
      <alignment horizontal="right" vertical="center"/>
    </xf>
    <xf numFmtId="0" fontId="5" fillId="0" borderId="0" xfId="0" applyFont="1" applyFill="1" applyAlignment="1">
      <alignment horizontal="left" vertical="center"/>
    </xf>
    <xf numFmtId="0" fontId="5" fillId="0" borderId="0" xfId="0" applyFont="1" applyFill="1" applyAlignment="1">
      <alignment horizontal="center" vertical="center"/>
    </xf>
    <xf numFmtId="0" fontId="9" fillId="0" borderId="0" xfId="2" applyFill="1">
      <alignment vertical="center"/>
    </xf>
    <xf numFmtId="0" fontId="6" fillId="0" borderId="0" xfId="0" applyFont="1" applyBorder="1" applyAlignment="1">
      <alignment horizontal="center" vertical="center"/>
    </xf>
    <xf numFmtId="0" fontId="25" fillId="0" borderId="34" xfId="0" applyFont="1" applyFill="1" applyBorder="1" applyAlignment="1">
      <alignment vertical="center"/>
    </xf>
    <xf numFmtId="0" fontId="4" fillId="0" borderId="0" xfId="0" applyFont="1" applyAlignment="1">
      <alignment vertical="center"/>
    </xf>
    <xf numFmtId="0" fontId="4" fillId="0" borderId="0" xfId="0" applyFont="1" applyFill="1" applyAlignment="1">
      <alignment vertical="center"/>
    </xf>
    <xf numFmtId="0" fontId="4" fillId="14" borderId="5" xfId="0" applyFont="1" applyFill="1" applyBorder="1" applyAlignment="1">
      <alignment vertical="center"/>
    </xf>
    <xf numFmtId="0" fontId="70" fillId="2" borderId="5" xfId="0" applyFont="1" applyFill="1" applyBorder="1" applyAlignment="1">
      <alignment horizontal="center" vertical="center"/>
    </xf>
    <xf numFmtId="0" fontId="71" fillId="2" borderId="5" xfId="0" applyFont="1" applyFill="1" applyBorder="1" applyAlignment="1">
      <alignment horizontal="center" vertical="center"/>
    </xf>
    <xf numFmtId="0" fontId="6" fillId="0" borderId="6" xfId="0" applyFont="1" applyBorder="1" applyAlignment="1">
      <alignment horizontal="left" vertical="center"/>
    </xf>
    <xf numFmtId="0" fontId="6" fillId="0" borderId="5" xfId="0" applyFont="1" applyFill="1" applyBorder="1" applyAlignment="1">
      <alignment vertical="center"/>
    </xf>
    <xf numFmtId="0" fontId="46" fillId="0" borderId="5" xfId="0" applyFont="1" applyBorder="1" applyAlignment="1">
      <alignment vertical="center"/>
    </xf>
    <xf numFmtId="0" fontId="4" fillId="0" borderId="21" xfId="0" applyFont="1" applyBorder="1" applyAlignment="1">
      <alignment horizontal="left" vertical="center"/>
    </xf>
    <xf numFmtId="0" fontId="4" fillId="0" borderId="21" xfId="0" applyFont="1" applyBorder="1" applyAlignment="1">
      <alignment horizontal="center" vertical="center"/>
    </xf>
    <xf numFmtId="0" fontId="4" fillId="9" borderId="21" xfId="0" applyFont="1" applyFill="1" applyBorder="1" applyAlignment="1">
      <alignment horizontal="center" vertical="center"/>
    </xf>
    <xf numFmtId="43" fontId="4" fillId="0" borderId="5" xfId="4" applyFont="1" applyBorder="1" applyAlignment="1">
      <alignment horizontal="center" vertical="center"/>
    </xf>
    <xf numFmtId="43" fontId="4" fillId="0" borderId="5" xfId="4" applyFont="1" applyBorder="1" applyAlignment="1">
      <alignment vertical="center"/>
    </xf>
    <xf numFmtId="0" fontId="4" fillId="20" borderId="21" xfId="0" applyFont="1" applyFill="1" applyBorder="1" applyAlignment="1">
      <alignment horizontal="center" vertical="top"/>
    </xf>
    <xf numFmtId="43" fontId="52" fillId="0" borderId="5" xfId="4" applyFont="1" applyBorder="1" applyAlignment="1">
      <alignment horizontal="center" vertical="center"/>
    </xf>
    <xf numFmtId="0" fontId="4" fillId="0" borderId="5" xfId="0" applyFont="1" applyFill="1" applyBorder="1" applyAlignment="1">
      <alignment vertical="center"/>
    </xf>
    <xf numFmtId="0" fontId="46" fillId="14" borderId="5" xfId="0" applyFont="1" applyFill="1" applyBorder="1" applyAlignment="1">
      <alignment vertical="center"/>
    </xf>
    <xf numFmtId="0" fontId="4" fillId="0" borderId="5" xfId="0" applyFont="1" applyFill="1" applyBorder="1" applyAlignment="1">
      <alignment horizontal="left" vertical="center" wrapText="1"/>
    </xf>
    <xf numFmtId="0" fontId="46" fillId="0" borderId="5" xfId="0" applyFont="1" applyFill="1" applyBorder="1" applyAlignment="1">
      <alignment horizontal="right" vertical="center"/>
    </xf>
    <xf numFmtId="0" fontId="4" fillId="0" borderId="21" xfId="0" applyFont="1" applyFill="1" applyBorder="1" applyAlignment="1">
      <alignment horizontal="left" vertical="center"/>
    </xf>
    <xf numFmtId="0" fontId="4" fillId="0" borderId="21" xfId="0" applyFont="1" applyBorder="1" applyAlignment="1">
      <alignment vertical="center"/>
    </xf>
    <xf numFmtId="0" fontId="4" fillId="0" borderId="5" xfId="0" applyFont="1" applyFill="1" applyBorder="1" applyAlignment="1">
      <alignment horizontal="center" vertical="center" wrapText="1"/>
    </xf>
    <xf numFmtId="43" fontId="4" fillId="0" borderId="21" xfId="4" applyFont="1" applyBorder="1" applyAlignment="1">
      <alignment horizontal="center" vertical="center"/>
    </xf>
    <xf numFmtId="43" fontId="4" fillId="0" borderId="5" xfId="4" applyFont="1" applyFill="1" applyBorder="1" applyAlignment="1">
      <alignment horizontal="right" vertical="center"/>
    </xf>
    <xf numFmtId="43" fontId="46" fillId="0" borderId="5" xfId="4" applyFont="1" applyBorder="1" applyAlignment="1">
      <alignment horizontal="center" vertical="center"/>
    </xf>
    <xf numFmtId="43" fontId="4" fillId="0" borderId="5" xfId="4" applyFont="1" applyFill="1" applyBorder="1" applyAlignment="1">
      <alignment vertical="center"/>
    </xf>
    <xf numFmtId="43" fontId="50" fillId="0" borderId="5" xfId="4" applyFont="1" applyFill="1" applyBorder="1" applyAlignment="1">
      <alignment horizontal="right" vertical="center"/>
    </xf>
    <xf numFmtId="0" fontId="25" fillId="0" borderId="5" xfId="0" applyFont="1" applyFill="1" applyBorder="1" applyAlignment="1">
      <alignment vertical="center"/>
    </xf>
    <xf numFmtId="0" fontId="4" fillId="0" borderId="21" xfId="0" applyFont="1" applyFill="1" applyBorder="1" applyAlignment="1">
      <alignment horizontal="center" vertical="center"/>
    </xf>
    <xf numFmtId="0" fontId="50" fillId="0" borderId="5" xfId="0" applyFont="1" applyFill="1" applyBorder="1" applyAlignment="1">
      <alignment horizontal="right" vertical="center"/>
    </xf>
    <xf numFmtId="0" fontId="4" fillId="0" borderId="21" xfId="0" applyFont="1" applyBorder="1" applyAlignment="1">
      <alignment horizontal="right" vertical="center"/>
    </xf>
    <xf numFmtId="0" fontId="4" fillId="20" borderId="5" xfId="0" applyFont="1" applyFill="1" applyBorder="1" applyAlignment="1">
      <alignment horizontal="center" vertical="center"/>
    </xf>
    <xf numFmtId="0" fontId="6" fillId="0" borderId="21" xfId="0" applyFont="1" applyFill="1" applyBorder="1" applyAlignment="1">
      <alignment vertical="center"/>
    </xf>
    <xf numFmtId="0" fontId="6" fillId="0" borderId="21" xfId="0" applyFont="1" applyFill="1" applyBorder="1" applyAlignment="1">
      <alignment horizontal="center" vertical="center"/>
    </xf>
    <xf numFmtId="0" fontId="6" fillId="9" borderId="5" xfId="0" quotePrefix="1" applyFont="1" applyFill="1" applyBorder="1" applyAlignment="1">
      <alignment horizontal="center" vertical="center"/>
    </xf>
    <xf numFmtId="0" fontId="6" fillId="0" borderId="31" xfId="0" applyFont="1" applyFill="1" applyBorder="1" applyAlignment="1">
      <alignment horizontal="center" vertical="center"/>
    </xf>
    <xf numFmtId="0" fontId="6" fillId="21" borderId="21" xfId="0" applyFont="1" applyFill="1" applyBorder="1" applyAlignment="1">
      <alignment vertical="center"/>
    </xf>
    <xf numFmtId="0" fontId="6" fillId="21" borderId="5" xfId="0" quotePrefix="1" applyFont="1" applyFill="1" applyBorder="1" applyAlignment="1">
      <alignment horizontal="right" vertical="center"/>
    </xf>
    <xf numFmtId="43" fontId="6" fillId="21" borderId="5" xfId="4" applyFont="1" applyFill="1" applyBorder="1" applyAlignment="1">
      <alignment vertical="center"/>
    </xf>
    <xf numFmtId="0" fontId="6" fillId="0" borderId="0" xfId="0" applyFont="1" applyFill="1" applyAlignment="1">
      <alignment vertical="center"/>
    </xf>
    <xf numFmtId="0" fontId="6" fillId="0" borderId="0" xfId="0" applyFont="1" applyFill="1" applyBorder="1" applyAlignment="1">
      <alignment vertical="center"/>
    </xf>
    <xf numFmtId="0" fontId="6" fillId="0" borderId="0" xfId="0" applyFont="1" applyFill="1" applyBorder="1" applyAlignment="1">
      <alignment horizontal="left" vertical="center"/>
    </xf>
    <xf numFmtId="0" fontId="6" fillId="0" borderId="0" xfId="0" applyFont="1" applyFill="1" applyBorder="1" applyAlignment="1">
      <alignment horizontal="center" vertical="center"/>
    </xf>
    <xf numFmtId="0" fontId="6" fillId="0" borderId="0" xfId="0" quotePrefix="1" applyFont="1" applyFill="1" applyBorder="1" applyAlignment="1">
      <alignment horizontal="center" vertical="center"/>
    </xf>
    <xf numFmtId="0" fontId="4" fillId="8" borderId="22" xfId="0" applyFont="1" applyFill="1" applyBorder="1" applyAlignment="1">
      <alignment horizontal="left" vertical="top"/>
    </xf>
    <xf numFmtId="0" fontId="39" fillId="0" borderId="0" xfId="0" applyFont="1" applyFill="1" applyAlignment="1">
      <alignment horizontal="right" vertical="center"/>
    </xf>
    <xf numFmtId="0" fontId="39" fillId="0" borderId="0" xfId="0" applyFont="1" applyFill="1" applyAlignment="1">
      <alignment horizontal="left" vertical="center"/>
    </xf>
    <xf numFmtId="0" fontId="39" fillId="0" borderId="0" xfId="0" applyFont="1" applyFill="1" applyAlignment="1">
      <alignment horizontal="center" vertical="center"/>
    </xf>
    <xf numFmtId="0" fontId="39" fillId="0" borderId="0" xfId="0" applyFont="1" applyAlignment="1">
      <alignment horizontal="center" vertical="center"/>
    </xf>
    <xf numFmtId="0" fontId="39" fillId="0" borderId="0" xfId="0" applyFont="1" applyAlignment="1">
      <alignment horizontal="right" vertical="center"/>
    </xf>
    <xf numFmtId="43" fontId="6" fillId="21" borderId="21" xfId="4" applyFont="1" applyFill="1" applyBorder="1" applyAlignment="1">
      <alignment vertical="center"/>
    </xf>
    <xf numFmtId="0" fontId="39" fillId="0" borderId="0" xfId="0" applyFont="1" applyFill="1" applyBorder="1" applyAlignment="1">
      <alignment vertical="center"/>
    </xf>
    <xf numFmtId="43" fontId="39" fillId="0" borderId="0" xfId="4" applyFont="1" applyFill="1" applyBorder="1" applyAlignment="1">
      <alignment vertical="center"/>
    </xf>
    <xf numFmtId="0" fontId="39" fillId="0" borderId="0" xfId="0" applyFont="1" applyFill="1" applyAlignment="1">
      <alignment vertical="center"/>
    </xf>
    <xf numFmtId="0" fontId="4" fillId="21" borderId="5" xfId="0" applyFont="1" applyFill="1" applyBorder="1" applyAlignment="1">
      <alignment horizontal="right" vertical="center"/>
    </xf>
    <xf numFmtId="43" fontId="4" fillId="21" borderId="5" xfId="4" applyFont="1" applyFill="1" applyBorder="1" applyAlignment="1">
      <alignment vertical="center"/>
    </xf>
    <xf numFmtId="43" fontId="51" fillId="0" borderId="5" xfId="4" applyFont="1" applyBorder="1" applyAlignment="1">
      <alignment vertical="center"/>
    </xf>
    <xf numFmtId="0" fontId="6" fillId="8" borderId="5" xfId="0" applyFont="1" applyFill="1" applyBorder="1" applyAlignment="1">
      <alignment vertical="center"/>
    </xf>
    <xf numFmtId="0" fontId="6" fillId="21" borderId="5" xfId="0" applyFont="1" applyFill="1" applyBorder="1" applyAlignment="1">
      <alignment horizontal="right" vertical="center"/>
    </xf>
    <xf numFmtId="0" fontId="9" fillId="0" borderId="0" xfId="2" applyFill="1" applyAlignment="1">
      <alignment vertical="center"/>
    </xf>
    <xf numFmtId="0" fontId="2" fillId="0" borderId="14" xfId="0" applyFont="1" applyBorder="1" applyAlignment="1">
      <alignment horizontal="left" vertical="center"/>
    </xf>
    <xf numFmtId="0" fontId="2" fillId="0" borderId="15" xfId="0" applyFont="1" applyBorder="1" applyAlignment="1">
      <alignment horizontal="center" vertical="center"/>
    </xf>
    <xf numFmtId="0" fontId="2" fillId="0" borderId="0" xfId="0" applyFont="1" applyBorder="1" applyAlignment="1">
      <alignment horizontal="center" vertical="center"/>
    </xf>
    <xf numFmtId="0" fontId="2" fillId="0" borderId="18" xfId="0" applyFont="1" applyBorder="1" applyAlignment="1">
      <alignment horizontal="center" vertical="center"/>
    </xf>
    <xf numFmtId="0" fontId="2" fillId="0" borderId="7" xfId="0" applyFont="1" applyBorder="1" applyAlignment="1">
      <alignment horizontal="center" vertical="center"/>
    </xf>
    <xf numFmtId="0" fontId="7" fillId="2" borderId="11" xfId="0" applyFont="1" applyFill="1" applyBorder="1" applyAlignment="1">
      <alignment horizontal="center" vertical="center"/>
    </xf>
    <xf numFmtId="0" fontId="7" fillId="2" borderId="12" xfId="0" applyFont="1" applyFill="1" applyBorder="1" applyAlignment="1">
      <alignment horizontal="center" vertical="center"/>
    </xf>
    <xf numFmtId="0" fontId="0" fillId="0" borderId="0" xfId="0">
      <alignment vertical="center"/>
    </xf>
    <xf numFmtId="0" fontId="7" fillId="2" borderId="0" xfId="0" applyFont="1" applyFill="1" applyBorder="1" applyAlignment="1">
      <alignment horizontal="center" vertical="center"/>
    </xf>
    <xf numFmtId="0" fontId="46" fillId="0" borderId="5" xfId="0" applyFont="1" applyBorder="1">
      <alignment vertical="center"/>
    </xf>
    <xf numFmtId="0" fontId="20" fillId="0" borderId="5" xfId="0" applyFont="1" applyFill="1" applyBorder="1" applyAlignment="1">
      <alignment horizontal="center" vertical="center" wrapText="1"/>
    </xf>
    <xf numFmtId="0" fontId="5" fillId="0" borderId="0" xfId="0" applyFont="1" applyAlignment="1">
      <alignment horizontal="left" vertical="center"/>
    </xf>
    <xf numFmtId="0" fontId="0" fillId="0" borderId="0" xfId="0" applyFont="1" applyAlignment="1">
      <alignment horizontal="center" vertical="center"/>
    </xf>
    <xf numFmtId="0" fontId="4" fillId="0" borderId="0" xfId="0" applyFont="1" applyBorder="1">
      <alignment vertical="center"/>
    </xf>
    <xf numFmtId="0" fontId="25" fillId="0" borderId="0" xfId="0" applyFont="1" applyBorder="1" applyAlignment="1">
      <alignment horizontal="center" vertical="center"/>
    </xf>
    <xf numFmtId="0" fontId="2" fillId="0" borderId="0" xfId="0" applyFont="1" applyBorder="1" applyAlignment="1">
      <alignment horizontal="left" vertical="center"/>
    </xf>
    <xf numFmtId="0" fontId="68" fillId="2" borderId="13" xfId="0" applyFont="1" applyFill="1" applyBorder="1" applyAlignment="1">
      <alignment horizontal="left" vertical="center"/>
    </xf>
    <xf numFmtId="0" fontId="4" fillId="0" borderId="5" xfId="0" applyFont="1" applyBorder="1">
      <alignment vertical="center"/>
    </xf>
    <xf numFmtId="0" fontId="4" fillId="0" borderId="5" xfId="0" applyFont="1" applyBorder="1" applyAlignment="1">
      <alignment horizontal="center" vertical="center" wrapText="1"/>
    </xf>
    <xf numFmtId="0" fontId="4" fillId="0" borderId="6" xfId="0" applyFont="1" applyBorder="1" applyAlignment="1">
      <alignment horizontal="left" vertical="center"/>
    </xf>
    <xf numFmtId="0" fontId="4" fillId="0" borderId="5" xfId="0" applyFont="1" applyBorder="1" applyAlignment="1">
      <alignment horizontal="left" vertical="center" wrapText="1"/>
    </xf>
    <xf numFmtId="0" fontId="46" fillId="0" borderId="21" xfId="0" applyFont="1" applyFill="1" applyBorder="1" applyAlignment="1">
      <alignment horizontal="left" vertical="center"/>
    </xf>
    <xf numFmtId="0" fontId="4" fillId="3" borderId="5" xfId="0" applyFont="1" applyFill="1" applyBorder="1" applyAlignment="1">
      <alignment horizontal="left" vertical="center" wrapText="1"/>
    </xf>
    <xf numFmtId="0" fontId="6" fillId="0" borderId="24" xfId="0" applyFont="1" applyBorder="1" applyAlignment="1">
      <alignment horizontal="left" vertical="center"/>
    </xf>
    <xf numFmtId="0" fontId="6" fillId="0" borderId="22" xfId="0" applyFont="1" applyFill="1" applyBorder="1">
      <alignment vertical="center"/>
    </xf>
    <xf numFmtId="0" fontId="46" fillId="0" borderId="22" xfId="0" applyFont="1" applyBorder="1">
      <alignment vertical="center"/>
    </xf>
    <xf numFmtId="0" fontId="4" fillId="0" borderId="22" xfId="0" applyFont="1" applyBorder="1">
      <alignment vertical="center"/>
    </xf>
    <xf numFmtId="0" fontId="4" fillId="0" borderId="22" xfId="0" applyFont="1" applyFill="1" applyBorder="1" applyAlignment="1">
      <alignment horizontal="center" vertical="center"/>
    </xf>
    <xf numFmtId="0" fontId="4" fillId="9" borderId="22" xfId="0" applyFont="1" applyFill="1" applyBorder="1" applyAlignment="1">
      <alignment horizontal="center" vertical="center"/>
    </xf>
    <xf numFmtId="0" fontId="4" fillId="0" borderId="23" xfId="0" applyFont="1" applyFill="1" applyBorder="1" applyAlignment="1">
      <alignment horizontal="left" vertical="center"/>
    </xf>
    <xf numFmtId="0" fontId="46" fillId="0" borderId="0" xfId="0" applyFont="1" applyAlignment="1">
      <alignment horizontal="right" vertical="center"/>
    </xf>
    <xf numFmtId="0" fontId="0" fillId="0" borderId="0" xfId="0" applyAlignment="1">
      <alignment horizontal="center" vertical="center"/>
    </xf>
    <xf numFmtId="0" fontId="5" fillId="0" borderId="0" xfId="0" applyFont="1" applyAlignment="1">
      <alignment horizontal="right" vertical="center"/>
    </xf>
    <xf numFmtId="0" fontId="9" fillId="0" borderId="0" xfId="2">
      <alignment vertical="center"/>
    </xf>
    <xf numFmtId="0" fontId="5" fillId="0" borderId="0" xfId="0" applyFont="1" applyAlignment="1">
      <alignment horizontal="center" vertical="center"/>
    </xf>
    <xf numFmtId="0" fontId="8" fillId="0" borderId="25" xfId="0" applyFont="1" applyFill="1" applyBorder="1" applyAlignment="1">
      <alignment horizontal="center" vertical="center"/>
    </xf>
    <xf numFmtId="0" fontId="8" fillId="0" borderId="17" xfId="0" applyFont="1" applyFill="1" applyBorder="1" applyAlignment="1">
      <alignment horizontal="center" vertical="center"/>
    </xf>
    <xf numFmtId="0" fontId="5" fillId="14" borderId="5" xfId="0" applyFont="1" applyFill="1" applyBorder="1">
      <alignment vertical="center"/>
    </xf>
    <xf numFmtId="0" fontId="8" fillId="0" borderId="5" xfId="0" applyFont="1" applyFill="1" applyBorder="1" applyAlignment="1">
      <alignment horizontal="center" vertical="center"/>
    </xf>
    <xf numFmtId="0" fontId="8" fillId="0" borderId="19" xfId="0" applyFont="1" applyFill="1" applyBorder="1" applyAlignment="1">
      <alignment horizontal="center" vertical="center"/>
    </xf>
    <xf numFmtId="0" fontId="7" fillId="2" borderId="29" xfId="0" applyFont="1" applyFill="1" applyBorder="1" applyAlignment="1">
      <alignment horizontal="center" vertical="center"/>
    </xf>
    <xf numFmtId="0" fontId="20" fillId="0" borderId="5" xfId="0" applyFont="1" applyBorder="1" applyAlignment="1">
      <alignment horizontal="left" vertical="center" wrapText="1"/>
    </xf>
    <xf numFmtId="0" fontId="6" fillId="0" borderId="19" xfId="0" applyFont="1" applyBorder="1" applyAlignment="1">
      <alignment horizontal="left" vertical="center"/>
    </xf>
    <xf numFmtId="0" fontId="4" fillId="0" borderId="5" xfId="0" applyFont="1" applyBorder="1" applyAlignment="1">
      <alignment vertical="center" wrapText="1"/>
    </xf>
    <xf numFmtId="0" fontId="4" fillId="0" borderId="19" xfId="0" applyFont="1" applyBorder="1" applyAlignment="1">
      <alignment horizontal="left" vertical="center"/>
    </xf>
    <xf numFmtId="0" fontId="20" fillId="0" borderId="5" xfId="0" applyFont="1" applyFill="1" applyBorder="1" applyAlignment="1">
      <alignment horizontal="left" vertical="center" wrapText="1"/>
    </xf>
    <xf numFmtId="0" fontId="6" fillId="0" borderId="35" xfId="0" applyFont="1" applyBorder="1" applyAlignment="1">
      <alignment horizontal="left" vertical="center"/>
    </xf>
    <xf numFmtId="0" fontId="6" fillId="0" borderId="5" xfId="0" applyFont="1" applyBorder="1">
      <alignment vertical="center"/>
    </xf>
    <xf numFmtId="0" fontId="6" fillId="21" borderId="5" xfId="0" applyFont="1" applyFill="1" applyBorder="1">
      <alignment vertical="center"/>
    </xf>
    <xf numFmtId="43" fontId="6" fillId="21" borderId="5" xfId="4" applyFont="1" applyFill="1" applyBorder="1">
      <alignment vertical="center"/>
    </xf>
    <xf numFmtId="0" fontId="4" fillId="8" borderId="5" xfId="0" applyFont="1" applyFill="1" applyBorder="1">
      <alignment vertical="center"/>
    </xf>
    <xf numFmtId="43" fontId="4" fillId="0" borderId="0" xfId="4" applyFont="1">
      <alignment vertical="center"/>
    </xf>
    <xf numFmtId="10" fontId="8" fillId="0" borderId="0" xfId="0" applyNumberFormat="1" applyFont="1" applyFill="1" applyBorder="1" applyAlignment="1">
      <alignment horizontal="center" vertical="center"/>
    </xf>
    <xf numFmtId="10" fontId="7" fillId="2" borderId="12" xfId="0" applyNumberFormat="1" applyFont="1" applyFill="1" applyBorder="1" applyAlignment="1">
      <alignment horizontal="center" vertical="center"/>
    </xf>
    <xf numFmtId="10" fontId="4" fillId="3" borderId="21" xfId="0" applyNumberFormat="1" applyFont="1" applyFill="1" applyBorder="1" applyAlignment="1">
      <alignment horizontal="right" vertical="center"/>
    </xf>
    <xf numFmtId="10" fontId="4" fillId="3" borderId="23" xfId="0" applyNumberFormat="1" applyFont="1" applyFill="1" applyBorder="1" applyAlignment="1">
      <alignment horizontal="right" vertical="center"/>
    </xf>
    <xf numFmtId="10" fontId="5" fillId="0" borderId="0" xfId="0" applyNumberFormat="1" applyFont="1" applyAlignment="1">
      <alignment horizontal="right" vertical="center"/>
    </xf>
    <xf numFmtId="0" fontId="8" fillId="0" borderId="9" xfId="0" applyFont="1" applyFill="1" applyBorder="1" applyAlignment="1">
      <alignment horizontal="center" vertical="center"/>
    </xf>
    <xf numFmtId="0" fontId="5" fillId="0" borderId="0" xfId="0" applyFont="1" applyBorder="1">
      <alignment vertical="center"/>
    </xf>
    <xf numFmtId="0" fontId="5" fillId="0" borderId="0" xfId="0" applyFont="1" applyFill="1" applyBorder="1">
      <alignment vertical="center"/>
    </xf>
    <xf numFmtId="43" fontId="5" fillId="14" borderId="5" xfId="4" applyFont="1" applyFill="1" applyBorder="1">
      <alignment vertical="center"/>
    </xf>
    <xf numFmtId="0" fontId="8" fillId="0" borderId="7" xfId="0" applyFont="1" applyFill="1" applyBorder="1" applyAlignment="1">
      <alignment horizontal="center" vertical="center"/>
    </xf>
    <xf numFmtId="0" fontId="20" fillId="0" borderId="23" xfId="0" applyFont="1" applyBorder="1" applyAlignment="1">
      <alignment horizontal="center" vertical="center" wrapText="1"/>
    </xf>
    <xf numFmtId="43" fontId="4" fillId="0" borderId="21" xfId="4" applyFont="1" applyBorder="1">
      <alignment vertical="center"/>
    </xf>
    <xf numFmtId="0" fontId="4" fillId="0" borderId="5" xfId="0" applyFont="1" applyFill="1" applyBorder="1" applyAlignment="1">
      <alignment horizontal="left" vertical="center" wrapText="1" indent="1"/>
    </xf>
    <xf numFmtId="0" fontId="20" fillId="0" borderId="30" xfId="0" applyFont="1" applyBorder="1" applyAlignment="1">
      <alignment horizontal="center" vertical="center" wrapText="1"/>
    </xf>
    <xf numFmtId="0" fontId="20" fillId="0" borderId="27" xfId="0" applyFont="1" applyBorder="1" applyAlignment="1">
      <alignment horizontal="center" vertical="center" wrapText="1"/>
    </xf>
    <xf numFmtId="0" fontId="20" fillId="0" borderId="21" xfId="0" applyFont="1" applyFill="1" applyBorder="1" applyAlignment="1">
      <alignment horizontal="center" vertical="center" wrapText="1"/>
    </xf>
    <xf numFmtId="0" fontId="20" fillId="0" borderId="21" xfId="0" applyFont="1" applyBorder="1" applyAlignment="1">
      <alignment horizontal="center" vertical="center" wrapText="1"/>
    </xf>
    <xf numFmtId="0" fontId="6" fillId="0" borderId="0" xfId="0" applyFont="1">
      <alignment vertical="center"/>
    </xf>
    <xf numFmtId="0" fontId="6" fillId="14" borderId="5" xfId="0" applyFont="1" applyFill="1" applyBorder="1">
      <alignment vertical="center"/>
    </xf>
    <xf numFmtId="43" fontId="6" fillId="14" borderId="5" xfId="4" applyFont="1" applyFill="1" applyBorder="1">
      <alignment vertical="center"/>
    </xf>
    <xf numFmtId="43" fontId="4" fillId="0" borderId="0" xfId="4" applyFont="1" applyFill="1" applyBorder="1">
      <alignment vertical="center"/>
    </xf>
    <xf numFmtId="0" fontId="2" fillId="0" borderId="0" xfId="0" applyFont="1" applyBorder="1" applyAlignment="1">
      <alignment vertical="center"/>
    </xf>
    <xf numFmtId="0" fontId="2" fillId="0" borderId="0" xfId="0" applyFont="1" applyBorder="1" applyAlignment="1">
      <alignment horizontal="center" vertical="center"/>
    </xf>
    <xf numFmtId="0" fontId="2" fillId="0" borderId="0" xfId="0" applyFont="1">
      <alignment vertical="center"/>
    </xf>
    <xf numFmtId="0" fontId="2" fillId="0" borderId="0" xfId="0" applyFont="1" applyAlignment="1">
      <alignment horizontal="center" vertical="center"/>
    </xf>
    <xf numFmtId="0" fontId="2" fillId="0" borderId="7" xfId="0" applyFont="1" applyBorder="1" applyAlignment="1">
      <alignment horizontal="center" vertical="center"/>
    </xf>
    <xf numFmtId="0" fontId="8" fillId="0" borderId="0" xfId="0" applyFont="1" applyFill="1" applyBorder="1" applyAlignment="1">
      <alignment horizontal="center" vertical="top"/>
    </xf>
    <xf numFmtId="0" fontId="7" fillId="2" borderId="11" xfId="0" applyFont="1" applyFill="1" applyBorder="1" applyAlignment="1">
      <alignment horizontal="center" vertical="center"/>
    </xf>
    <xf numFmtId="0" fontId="7" fillId="2" borderId="12" xfId="0" applyFont="1" applyFill="1" applyBorder="1" applyAlignment="1">
      <alignment horizontal="center" vertical="center"/>
    </xf>
    <xf numFmtId="0" fontId="68" fillId="2" borderId="12" xfId="0" applyFont="1" applyFill="1" applyBorder="1" applyAlignment="1">
      <alignment horizontal="center" vertical="center"/>
    </xf>
    <xf numFmtId="0" fontId="7" fillId="2" borderId="0" xfId="0" applyFont="1" applyFill="1" applyBorder="1" applyAlignment="1">
      <alignment horizontal="center" vertical="center"/>
    </xf>
    <xf numFmtId="0" fontId="20" fillId="0" borderId="21" xfId="0" applyFont="1" applyBorder="1" applyAlignment="1">
      <alignment vertical="center" wrapText="1"/>
    </xf>
    <xf numFmtId="0" fontId="6" fillId="0" borderId="5" xfId="0" applyFont="1" applyBorder="1" applyAlignment="1">
      <alignment horizontal="left" vertical="center"/>
    </xf>
    <xf numFmtId="0" fontId="6" fillId="0" borderId="5" xfId="0" applyFont="1" applyBorder="1">
      <alignment vertical="center"/>
    </xf>
    <xf numFmtId="0" fontId="46" fillId="0" borderId="5" xfId="0" applyFont="1" applyBorder="1">
      <alignment vertical="center"/>
    </xf>
    <xf numFmtId="0" fontId="20" fillId="0" borderId="5" xfId="0" applyFont="1" applyBorder="1" applyAlignment="1">
      <alignment horizontal="center" vertical="center"/>
    </xf>
    <xf numFmtId="0" fontId="4" fillId="0" borderId="5" xfId="0" applyFont="1" applyBorder="1">
      <alignment vertical="center"/>
    </xf>
    <xf numFmtId="0" fontId="4" fillId="9" borderId="5" xfId="0" applyFont="1" applyFill="1" applyBorder="1" applyAlignment="1">
      <alignment horizontal="center" vertical="center"/>
    </xf>
    <xf numFmtId="0" fontId="4" fillId="0" borderId="5" xfId="0" applyFont="1" applyBorder="1" applyAlignment="1">
      <alignment vertical="center"/>
    </xf>
    <xf numFmtId="0" fontId="5" fillId="0" borderId="5" xfId="0" applyFont="1" applyBorder="1">
      <alignment vertical="center"/>
    </xf>
    <xf numFmtId="43" fontId="4" fillId="0" borderId="5" xfId="4" applyFont="1" applyFill="1" applyBorder="1" applyAlignment="1">
      <alignment vertical="top"/>
    </xf>
    <xf numFmtId="0" fontId="4" fillId="0" borderId="0" xfId="0" applyFont="1">
      <alignment vertical="center"/>
    </xf>
    <xf numFmtId="0" fontId="20" fillId="0" borderId="5" xfId="0" applyFont="1" applyBorder="1" applyAlignment="1">
      <alignment horizontal="center" vertical="center" wrapText="1"/>
    </xf>
    <xf numFmtId="0" fontId="4" fillId="0" borderId="5" xfId="0" applyFont="1" applyFill="1" applyBorder="1" applyAlignment="1">
      <alignment horizontal="left" vertical="center"/>
    </xf>
    <xf numFmtId="0" fontId="4" fillId="0" borderId="5" xfId="0" applyFont="1" applyBorder="1" applyAlignment="1">
      <alignment horizontal="left" vertical="center"/>
    </xf>
    <xf numFmtId="0" fontId="4" fillId="0" borderId="5" xfId="0" applyFont="1" applyBorder="1" applyAlignment="1">
      <alignment horizontal="center" vertical="center"/>
    </xf>
    <xf numFmtId="0" fontId="4" fillId="0" borderId="5" xfId="0" applyFont="1" applyBorder="1" applyAlignment="1">
      <alignment vertical="center" wrapText="1"/>
    </xf>
    <xf numFmtId="0" fontId="20" fillId="0" borderId="5" xfId="0" applyFont="1" applyBorder="1" applyAlignment="1">
      <alignment horizontal="left" vertical="center" wrapText="1"/>
    </xf>
    <xf numFmtId="0" fontId="20" fillId="0" borderId="21" xfId="0" applyFont="1" applyBorder="1" applyAlignment="1">
      <alignment horizontal="left" vertical="center" wrapText="1"/>
    </xf>
    <xf numFmtId="0" fontId="6" fillId="0" borderId="5" xfId="0" applyFont="1" applyBorder="1" applyAlignment="1">
      <alignment vertical="center" wrapText="1"/>
    </xf>
    <xf numFmtId="0" fontId="94" fillId="3" borderId="21" xfId="0" applyFont="1" applyFill="1" applyBorder="1" applyAlignment="1">
      <alignment horizontal="right" vertical="center"/>
    </xf>
    <xf numFmtId="0" fontId="94" fillId="0" borderId="5" xfId="0" applyFont="1" applyBorder="1" applyAlignment="1">
      <alignment vertical="center" wrapText="1"/>
    </xf>
    <xf numFmtId="0" fontId="94" fillId="0" borderId="5" xfId="0" applyFont="1" applyBorder="1">
      <alignment vertical="center"/>
    </xf>
    <xf numFmtId="0" fontId="20" fillId="0" borderId="12" xfId="0" applyFont="1" applyBorder="1" applyAlignment="1">
      <alignment horizontal="left" vertical="center" wrapText="1"/>
    </xf>
    <xf numFmtId="0" fontId="20" fillId="0" borderId="27" xfId="0" applyFont="1" applyBorder="1" applyAlignment="1">
      <alignment horizontal="left" vertical="center" wrapText="1"/>
    </xf>
    <xf numFmtId="0" fontId="4" fillId="0" borderId="21" xfId="0" applyFont="1" applyBorder="1" applyAlignment="1">
      <alignment horizontal="left" vertical="center"/>
    </xf>
    <xf numFmtId="0" fontId="4" fillId="0" borderId="0" xfId="0" applyFont="1" applyAlignment="1">
      <alignment horizontal="left" vertical="center"/>
    </xf>
    <xf numFmtId="0" fontId="4" fillId="0" borderId="0" xfId="0" applyFont="1" applyBorder="1">
      <alignment vertical="center"/>
    </xf>
    <xf numFmtId="0" fontId="4" fillId="0" borderId="0" xfId="0" applyFont="1" applyBorder="1" applyAlignment="1">
      <alignment horizontal="center" vertical="center"/>
    </xf>
    <xf numFmtId="43" fontId="4" fillId="9" borderId="5" xfId="4" applyFont="1" applyFill="1" applyBorder="1" applyAlignment="1">
      <alignment horizontal="center" vertical="center"/>
    </xf>
    <xf numFmtId="43" fontId="4" fillId="21" borderId="5" xfId="4" applyFont="1" applyFill="1" applyBorder="1" applyAlignment="1">
      <alignment horizontal="center" vertical="center"/>
    </xf>
    <xf numFmtId="43" fontId="4" fillId="0" borderId="0" xfId="4" applyFont="1" applyBorder="1">
      <alignment vertical="center"/>
    </xf>
    <xf numFmtId="0" fontId="4" fillId="21" borderId="5" xfId="0" applyFont="1" applyFill="1" applyBorder="1" applyAlignment="1">
      <alignment horizontal="center" vertical="center"/>
    </xf>
    <xf numFmtId="0" fontId="4" fillId="0" borderId="0" xfId="0" applyFont="1" applyAlignment="1">
      <alignment horizontal="center" vertical="center"/>
    </xf>
    <xf numFmtId="0" fontId="9" fillId="0" borderId="0" xfId="2">
      <alignment vertical="center"/>
    </xf>
    <xf numFmtId="0" fontId="9" fillId="0" borderId="0" xfId="2" applyFill="1" applyAlignment="1">
      <alignment vertical="top" wrapText="1"/>
    </xf>
    <xf numFmtId="0" fontId="6" fillId="0" borderId="0" xfId="0" applyFont="1" applyAlignment="1">
      <alignment horizontal="left" vertical="center"/>
    </xf>
    <xf numFmtId="0" fontId="6" fillId="0" borderId="0" xfId="0" applyFont="1">
      <alignment vertical="center"/>
    </xf>
    <xf numFmtId="0" fontId="6" fillId="0" borderId="0" xfId="0" applyFont="1" applyAlignment="1">
      <alignment horizontal="center" vertical="center"/>
    </xf>
    <xf numFmtId="0" fontId="2" fillId="0" borderId="0" xfId="0" applyFont="1" applyAlignment="1">
      <alignment horizontal="left" vertical="center"/>
    </xf>
    <xf numFmtId="10" fontId="2" fillId="0" borderId="0" xfId="0" applyNumberFormat="1" applyFont="1">
      <alignment vertical="center"/>
    </xf>
    <xf numFmtId="10" fontId="4" fillId="3" borderId="5" xfId="0" applyNumberFormat="1" applyFont="1" applyFill="1" applyBorder="1" applyAlignment="1">
      <alignment horizontal="right" vertical="center"/>
    </xf>
    <xf numFmtId="10" fontId="4" fillId="0" borderId="0" xfId="0" applyNumberFormat="1" applyFont="1" applyBorder="1">
      <alignment vertical="center"/>
    </xf>
    <xf numFmtId="10" fontId="6" fillId="0" borderId="0" xfId="0" applyNumberFormat="1" applyFont="1">
      <alignment vertical="center"/>
    </xf>
    <xf numFmtId="10" fontId="4" fillId="0" borderId="0" xfId="0" applyNumberFormat="1" applyFont="1" applyBorder="1" applyAlignment="1">
      <alignment horizontal="right" vertical="center"/>
    </xf>
    <xf numFmtId="10" fontId="4" fillId="0" borderId="0" xfId="0" applyNumberFormat="1" applyFont="1" applyAlignment="1">
      <alignment horizontal="right" vertical="center"/>
    </xf>
    <xf numFmtId="10" fontId="5" fillId="0" borderId="0" xfId="0" applyNumberFormat="1" applyFont="1">
      <alignment vertical="center"/>
    </xf>
    <xf numFmtId="0" fontId="20" fillId="0" borderId="22" xfId="0" applyFont="1" applyFill="1" applyBorder="1" applyAlignment="1">
      <alignment horizontal="left" vertical="center" wrapText="1"/>
    </xf>
    <xf numFmtId="0" fontId="20" fillId="0" borderId="23" xfId="0" applyFont="1" applyFill="1" applyBorder="1" applyAlignment="1">
      <alignment horizontal="left" vertical="center" wrapText="1"/>
    </xf>
    <xf numFmtId="0" fontId="20" fillId="0" borderId="26" xfId="0" applyFont="1" applyFill="1" applyBorder="1" applyAlignment="1">
      <alignment horizontal="left" vertical="center" wrapText="1"/>
    </xf>
    <xf numFmtId="0" fontId="20" fillId="0" borderId="30" xfId="0" applyFont="1" applyFill="1" applyBorder="1" applyAlignment="1">
      <alignment horizontal="left" vertical="center" wrapText="1"/>
    </xf>
    <xf numFmtId="0" fontId="20" fillId="0" borderId="12" xfId="0" applyFont="1" applyFill="1" applyBorder="1" applyAlignment="1">
      <alignment horizontal="left" vertical="center" wrapText="1"/>
    </xf>
    <xf numFmtId="0" fontId="20" fillId="0" borderId="27" xfId="0" applyFont="1" applyFill="1" applyBorder="1" applyAlignment="1">
      <alignment horizontal="left" vertical="center" wrapText="1"/>
    </xf>
    <xf numFmtId="0" fontId="20" fillId="0" borderId="21" xfId="0" applyFont="1" applyFill="1" applyBorder="1" applyAlignment="1">
      <alignment horizontal="left" vertical="center" wrapText="1"/>
    </xf>
    <xf numFmtId="0" fontId="4" fillId="0" borderId="5" xfId="0" applyFont="1" applyFill="1" applyBorder="1" applyAlignment="1">
      <alignment vertical="center" wrapText="1"/>
    </xf>
    <xf numFmtId="0" fontId="4" fillId="0" borderId="21" xfId="0" applyFont="1" applyFill="1" applyBorder="1">
      <alignment vertical="center"/>
    </xf>
    <xf numFmtId="0" fontId="6" fillId="0" borderId="21" xfId="0" applyFont="1" applyBorder="1" applyAlignment="1">
      <alignment horizontal="left" vertical="center"/>
    </xf>
    <xf numFmtId="0" fontId="6" fillId="0" borderId="31" xfId="0" applyFont="1" applyBorder="1">
      <alignment vertical="center"/>
    </xf>
    <xf numFmtId="0" fontId="6" fillId="0" borderId="5" xfId="0" applyFont="1" applyFill="1" applyBorder="1" applyAlignment="1">
      <alignment horizontal="right" vertical="center"/>
    </xf>
    <xf numFmtId="0" fontId="0" fillId="0" borderId="0" xfId="0" applyFont="1">
      <alignment vertical="center"/>
    </xf>
    <xf numFmtId="10" fontId="4" fillId="0" borderId="5" xfId="0" applyNumberFormat="1" applyFont="1" applyBorder="1">
      <alignment vertical="center"/>
    </xf>
    <xf numFmtId="0" fontId="4" fillId="0" borderId="5" xfId="0" applyFont="1" applyFill="1" applyBorder="1" applyAlignment="1">
      <alignment horizontal="center" vertical="center"/>
    </xf>
    <xf numFmtId="0" fontId="4" fillId="0" borderId="5" xfId="0" applyFont="1" applyBorder="1" applyAlignment="1">
      <alignment horizontal="center" vertical="center"/>
    </xf>
    <xf numFmtId="0" fontId="4" fillId="9" borderId="5" xfId="0" applyFont="1" applyFill="1" applyBorder="1" applyAlignment="1">
      <alignment horizontal="center" vertical="center"/>
    </xf>
    <xf numFmtId="0" fontId="91" fillId="52" borderId="62" xfId="6" applyFont="1" applyFill="1" applyBorder="1" applyAlignment="1">
      <alignment horizontal="center" vertical="center" wrapText="1"/>
    </xf>
    <xf numFmtId="0" fontId="11" fillId="0" borderId="9" xfId="0" applyFont="1" applyFill="1" applyBorder="1" applyAlignment="1">
      <alignment horizontal="center" vertical="center" wrapText="1"/>
    </xf>
    <xf numFmtId="0" fontId="11" fillId="0" borderId="10" xfId="0" applyFont="1" applyFill="1" applyBorder="1" applyAlignment="1">
      <alignment horizontal="center" vertical="center" wrapText="1"/>
    </xf>
    <xf numFmtId="0" fontId="6" fillId="0" borderId="10" xfId="0" applyFont="1" applyFill="1" applyBorder="1" applyAlignment="1">
      <alignment horizontal="center" vertical="center"/>
    </xf>
    <xf numFmtId="0" fontId="11" fillId="0" borderId="1"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6" fillId="0" borderId="5" xfId="0" applyFont="1" applyFill="1" applyBorder="1" applyAlignment="1">
      <alignment horizontal="center" vertical="center"/>
    </xf>
    <xf numFmtId="0" fontId="0" fillId="0" borderId="5" xfId="0" applyBorder="1">
      <alignment vertical="center"/>
    </xf>
    <xf numFmtId="0" fontId="11" fillId="0" borderId="3" xfId="0" applyFont="1" applyFill="1" applyBorder="1" applyAlignment="1">
      <alignment horizontal="center" vertical="center" wrapText="1"/>
    </xf>
    <xf numFmtId="0" fontId="11" fillId="0" borderId="32" xfId="0" applyFont="1" applyFill="1" applyBorder="1" applyAlignment="1">
      <alignment horizontal="center" vertical="center" wrapText="1"/>
    </xf>
    <xf numFmtId="0" fontId="6" fillId="0" borderId="32" xfId="0" applyFont="1" applyFill="1" applyBorder="1" applyAlignment="1">
      <alignment horizontal="center" vertical="center"/>
    </xf>
    <xf numFmtId="0" fontId="11" fillId="0" borderId="12" xfId="0" applyFont="1" applyFill="1" applyBorder="1" applyAlignment="1">
      <alignment horizontal="center" vertical="center" wrapText="1"/>
    </xf>
    <xf numFmtId="0" fontId="11" fillId="0" borderId="37" xfId="0" applyFont="1" applyFill="1" applyBorder="1" applyAlignment="1">
      <alignment horizontal="center" vertical="center" wrapText="1"/>
    </xf>
    <xf numFmtId="0" fontId="91" fillId="52" borderId="62" xfId="6" applyFont="1" applyFill="1" applyBorder="1" applyAlignment="1">
      <alignment horizontal="center" vertical="center"/>
    </xf>
    <xf numFmtId="0" fontId="6" fillId="0" borderId="47" xfId="0" applyFont="1" applyFill="1" applyBorder="1" applyAlignment="1">
      <alignment horizontal="center" vertical="center"/>
    </xf>
    <xf numFmtId="43" fontId="0" fillId="0" borderId="38" xfId="4" applyFont="1" applyFill="1" applyBorder="1" applyAlignment="1">
      <alignment horizontal="center" vertical="center"/>
    </xf>
    <xf numFmtId="0" fontId="6" fillId="0" borderId="2" xfId="0" applyFont="1" applyFill="1" applyBorder="1" applyAlignment="1">
      <alignment horizontal="center" vertical="center"/>
    </xf>
    <xf numFmtId="0" fontId="6" fillId="0" borderId="4" xfId="0" applyFont="1" applyFill="1" applyBorder="1" applyAlignment="1">
      <alignment horizontal="center" vertical="center"/>
    </xf>
    <xf numFmtId="0" fontId="11" fillId="0" borderId="17" xfId="0" applyFont="1" applyFill="1" applyBorder="1" applyAlignment="1">
      <alignment horizontal="center" vertical="center" wrapText="1"/>
    </xf>
    <xf numFmtId="0" fontId="6" fillId="5" borderId="5" xfId="0" applyFont="1" applyFill="1" applyBorder="1" applyAlignment="1">
      <alignment horizontal="center" vertical="center"/>
    </xf>
    <xf numFmtId="0" fontId="6" fillId="5" borderId="2" xfId="0" applyFont="1" applyFill="1" applyBorder="1" applyAlignment="1">
      <alignment horizontal="center" vertical="center"/>
    </xf>
    <xf numFmtId="43" fontId="0" fillId="5" borderId="38" xfId="4" applyFont="1" applyFill="1" applyBorder="1" applyAlignment="1">
      <alignment horizontal="center" vertical="center"/>
    </xf>
    <xf numFmtId="0" fontId="6" fillId="0" borderId="10" xfId="0" applyFont="1" applyFill="1" applyBorder="1" applyAlignment="1">
      <alignment horizontal="center" vertical="center" wrapText="1"/>
    </xf>
    <xf numFmtId="0" fontId="6" fillId="0" borderId="47"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32" xfId="0" applyFont="1" applyFill="1" applyBorder="1" applyAlignment="1">
      <alignment horizontal="center" vertical="center" wrapText="1"/>
    </xf>
    <xf numFmtId="0" fontId="6" fillId="0" borderId="4" xfId="0" applyFont="1" applyFill="1" applyBorder="1" applyAlignment="1">
      <alignment horizontal="center" vertical="center" wrapText="1"/>
    </xf>
    <xf numFmtId="43" fontId="0" fillId="0" borderId="0" xfId="4" applyFont="1">
      <alignment vertical="center"/>
    </xf>
    <xf numFmtId="0" fontId="11" fillId="0" borderId="0" xfId="0" applyFont="1" applyFill="1" applyBorder="1" applyAlignment="1">
      <alignment horizontal="center" vertical="center" wrapText="1"/>
    </xf>
    <xf numFmtId="0" fontId="0" fillId="0" borderId="0" xfId="0" applyFill="1" applyBorder="1">
      <alignment vertical="center"/>
    </xf>
    <xf numFmtId="0" fontId="0" fillId="0" borderId="5" xfId="0" applyBorder="1" applyAlignment="1">
      <alignment horizontal="center" vertical="center"/>
    </xf>
    <xf numFmtId="0" fontId="11" fillId="0" borderId="22" xfId="0" applyFont="1" applyFill="1" applyBorder="1" applyAlignment="1">
      <alignment horizontal="center" vertical="center" wrapText="1"/>
    </xf>
    <xf numFmtId="0" fontId="6" fillId="0" borderId="22" xfId="0" applyFont="1" applyFill="1" applyBorder="1" applyAlignment="1">
      <alignment horizontal="center" vertical="center"/>
    </xf>
    <xf numFmtId="0" fontId="6" fillId="0" borderId="12" xfId="0" applyFont="1" applyFill="1" applyBorder="1" applyAlignment="1">
      <alignment horizontal="center" vertical="center"/>
    </xf>
    <xf numFmtId="0" fontId="91" fillId="52" borderId="0" xfId="6" applyFont="1" applyFill="1" applyBorder="1" applyAlignment="1">
      <alignment horizontal="center" vertical="center"/>
    </xf>
    <xf numFmtId="0" fontId="93" fillId="0" borderId="5" xfId="6" applyFont="1" applyFill="1" applyBorder="1" applyAlignment="1">
      <alignment horizontal="center" vertical="center"/>
    </xf>
    <xf numFmtId="0" fontId="13" fillId="0" borderId="5" xfId="0" applyFont="1" applyBorder="1" applyAlignment="1">
      <alignment horizontal="center" vertical="center"/>
    </xf>
    <xf numFmtId="0" fontId="6" fillId="0" borderId="0" xfId="0" applyFont="1" applyFill="1" applyBorder="1" applyAlignment="1">
      <alignment horizontal="center" vertical="center"/>
    </xf>
    <xf numFmtId="0" fontId="0" fillId="0" borderId="0" xfId="0" applyBorder="1">
      <alignment vertical="center"/>
    </xf>
    <xf numFmtId="0" fontId="89" fillId="0" borderId="0" xfId="6" applyFont="1" applyFill="1" applyAlignment="1">
      <alignment horizontal="center" vertical="center"/>
    </xf>
    <xf numFmtId="0" fontId="0" fillId="0" borderId="0" xfId="0" applyAlignment="1">
      <alignment horizontal="center" vertical="center"/>
    </xf>
    <xf numFmtId="0" fontId="0" fillId="0" borderId="5" xfId="0" applyBorder="1" applyAlignment="1"/>
    <xf numFmtId="0" fontId="0" fillId="0" borderId="0" xfId="0" applyBorder="1" applyAlignment="1"/>
    <xf numFmtId="0" fontId="0" fillId="0" borderId="0" xfId="0" applyFill="1" applyBorder="1" applyAlignment="1"/>
    <xf numFmtId="0" fontId="7" fillId="2" borderId="43" xfId="0" applyFont="1" applyFill="1" applyBorder="1" applyAlignment="1">
      <alignment horizontal="center" vertical="center" wrapText="1"/>
    </xf>
    <xf numFmtId="0" fontId="7" fillId="2" borderId="43" xfId="0" applyFont="1" applyFill="1" applyBorder="1" applyAlignment="1">
      <alignment horizontal="center" vertical="center"/>
    </xf>
    <xf numFmtId="0" fontId="68" fillId="2" borderId="26" xfId="0" applyFont="1" applyFill="1" applyBorder="1" applyAlignment="1">
      <alignment horizontal="center" vertical="center"/>
    </xf>
    <xf numFmtId="0" fontId="6" fillId="0" borderId="10" xfId="0" applyFont="1" applyFill="1" applyBorder="1">
      <alignment vertical="center"/>
    </xf>
    <xf numFmtId="0" fontId="6" fillId="0" borderId="10" xfId="0" applyFont="1" applyBorder="1" applyAlignment="1">
      <alignment horizontal="center" vertical="center"/>
    </xf>
    <xf numFmtId="0" fontId="87" fillId="0" borderId="10" xfId="0" applyFont="1" applyFill="1" applyBorder="1" applyAlignment="1">
      <alignment horizontal="center" vertical="center" wrapText="1" readingOrder="1"/>
    </xf>
    <xf numFmtId="43" fontId="4" fillId="0" borderId="10" xfId="4" applyFont="1" applyFill="1" applyBorder="1" applyAlignment="1">
      <alignment horizontal="center" vertical="center"/>
    </xf>
    <xf numFmtId="43" fontId="4" fillId="0" borderId="47" xfId="4" applyFont="1" applyFill="1" applyBorder="1" applyAlignment="1">
      <alignment horizontal="center" vertical="center"/>
    </xf>
    <xf numFmtId="0" fontId="6" fillId="0" borderId="5" xfId="0" applyFont="1" applyFill="1" applyBorder="1">
      <alignment vertical="center"/>
    </xf>
    <xf numFmtId="0" fontId="6" fillId="0" borderId="5" xfId="0" applyFont="1" applyBorder="1" applyAlignment="1">
      <alignment horizontal="center" vertical="center"/>
    </xf>
    <xf numFmtId="0" fontId="87" fillId="0" borderId="5" xfId="0" applyFont="1" applyFill="1" applyBorder="1" applyAlignment="1">
      <alignment horizontal="center" vertical="center" wrapText="1" readingOrder="1"/>
    </xf>
    <xf numFmtId="0" fontId="0" fillId="43" borderId="5" xfId="0" applyFill="1" applyBorder="1" applyAlignment="1">
      <alignment horizontal="center" vertical="center"/>
    </xf>
    <xf numFmtId="43" fontId="4" fillId="0" borderId="5" xfId="4" applyFont="1" applyFill="1" applyBorder="1" applyAlignment="1">
      <alignment horizontal="center" vertical="center"/>
    </xf>
    <xf numFmtId="0" fontId="5" fillId="0" borderId="0" xfId="0" applyFont="1">
      <alignment vertical="center"/>
    </xf>
    <xf numFmtId="0" fontId="0" fillId="43" borderId="0" xfId="0" applyFill="1">
      <alignment vertical="center"/>
    </xf>
    <xf numFmtId="43" fontId="4" fillId="0" borderId="2" xfId="4" applyFont="1" applyFill="1" applyBorder="1" applyAlignment="1">
      <alignment horizontal="center" vertical="center"/>
    </xf>
    <xf numFmtId="0" fontId="0" fillId="8" borderId="0" xfId="0" applyFill="1">
      <alignment vertical="center"/>
    </xf>
    <xf numFmtId="0" fontId="0" fillId="45" borderId="0" xfId="0" applyFill="1">
      <alignment vertical="center"/>
    </xf>
    <xf numFmtId="0" fontId="0" fillId="14" borderId="0" xfId="0" applyFill="1">
      <alignment vertical="center"/>
    </xf>
    <xf numFmtId="0" fontId="0" fillId="18" borderId="0" xfId="0" applyFill="1">
      <alignment vertical="center"/>
    </xf>
    <xf numFmtId="0" fontId="0" fillId="38" borderId="0" xfId="0" applyFill="1">
      <alignment vertical="center"/>
    </xf>
    <xf numFmtId="0" fontId="6" fillId="0" borderId="5" xfId="0" applyFont="1" applyFill="1" applyBorder="1" applyAlignment="1">
      <alignment vertical="center" wrapText="1"/>
    </xf>
    <xf numFmtId="0" fontId="6" fillId="0" borderId="32" xfId="0" applyFont="1" applyFill="1" applyBorder="1" applyAlignment="1">
      <alignment vertical="center"/>
    </xf>
    <xf numFmtId="0" fontId="6" fillId="0" borderId="32" xfId="0" applyFont="1" applyBorder="1" applyAlignment="1">
      <alignment horizontal="center" vertical="center"/>
    </xf>
    <xf numFmtId="0" fontId="87" fillId="0" borderId="32" xfId="0" applyFont="1" applyFill="1" applyBorder="1" applyAlignment="1">
      <alignment horizontal="center" vertical="center" wrapText="1" readingOrder="1"/>
    </xf>
    <xf numFmtId="43" fontId="4" fillId="0" borderId="32" xfId="4" applyFont="1" applyFill="1" applyBorder="1" applyAlignment="1">
      <alignment horizontal="center" vertical="center"/>
    </xf>
    <xf numFmtId="43" fontId="4" fillId="0" borderId="4" xfId="4" applyFont="1" applyFill="1" applyBorder="1" applyAlignment="1">
      <alignment horizontal="center" vertical="center"/>
    </xf>
    <xf numFmtId="0" fontId="87" fillId="0" borderId="10" xfId="0" applyFont="1" applyFill="1" applyBorder="1" applyAlignment="1">
      <alignment horizontal="left" vertical="center" wrapText="1" readingOrder="1"/>
    </xf>
    <xf numFmtId="0" fontId="6" fillId="0" borderId="5" xfId="0" applyFont="1" applyFill="1" applyBorder="1" applyAlignment="1">
      <alignment horizontal="left" vertical="center" wrapText="1" readingOrder="1"/>
    </xf>
    <xf numFmtId="0" fontId="6" fillId="8" borderId="22" xfId="0" applyFont="1" applyFill="1" applyBorder="1" applyAlignment="1">
      <alignment vertical="center" wrapText="1" readingOrder="1"/>
    </xf>
    <xf numFmtId="0" fontId="6" fillId="0" borderId="5" xfId="0" applyFont="1" applyFill="1" applyBorder="1" applyAlignment="1">
      <alignment horizontal="left" vertical="center" wrapText="1"/>
    </xf>
    <xf numFmtId="0" fontId="6" fillId="9" borderId="32" xfId="0" applyFont="1" applyFill="1" applyBorder="1" applyAlignment="1">
      <alignment horizontal="left" vertical="center" wrapText="1"/>
    </xf>
    <xf numFmtId="0" fontId="6" fillId="0" borderId="10" xfId="0" applyFont="1" applyFill="1" applyBorder="1" applyAlignment="1">
      <alignment vertical="center" wrapText="1"/>
    </xf>
    <xf numFmtId="43" fontId="4" fillId="54" borderId="5" xfId="4" applyFont="1" applyFill="1" applyBorder="1" applyAlignment="1">
      <alignment horizontal="center" vertical="center"/>
    </xf>
    <xf numFmtId="43" fontId="4" fillId="54" borderId="2" xfId="4" applyFont="1" applyFill="1" applyBorder="1" applyAlignment="1">
      <alignment horizontal="center" vertical="center"/>
    </xf>
    <xf numFmtId="0" fontId="6" fillId="0" borderId="32" xfId="0" applyFont="1" applyFill="1" applyBorder="1" applyAlignment="1">
      <alignment vertical="center" wrapText="1"/>
    </xf>
    <xf numFmtId="0" fontId="6" fillId="0" borderId="10" xfId="0" applyFont="1" applyFill="1" applyBorder="1" applyAlignment="1">
      <alignment horizontal="left" vertical="center" wrapText="1"/>
    </xf>
    <xf numFmtId="0" fontId="6" fillId="0" borderId="5" xfId="0" applyFont="1" applyFill="1" applyBorder="1" applyAlignment="1">
      <alignment horizontal="left" vertical="top" wrapText="1"/>
    </xf>
    <xf numFmtId="0" fontId="6" fillId="8" borderId="5" xfId="0" applyFont="1" applyFill="1" applyBorder="1" applyAlignment="1">
      <alignment horizontal="left" vertical="center" wrapText="1"/>
    </xf>
    <xf numFmtId="0" fontId="6" fillId="8" borderId="22" xfId="0" applyFont="1" applyFill="1" applyBorder="1" applyAlignment="1">
      <alignment vertical="center" wrapText="1"/>
    </xf>
    <xf numFmtId="43" fontId="4" fillId="0" borderId="5" xfId="4" applyFont="1" applyFill="1" applyBorder="1" applyAlignment="1">
      <alignment vertical="center"/>
    </xf>
    <xf numFmtId="0" fontId="6" fillId="9" borderId="32" xfId="0" applyFont="1" applyFill="1" applyBorder="1">
      <alignment vertical="center"/>
    </xf>
    <xf numFmtId="0" fontId="6" fillId="9" borderId="32" xfId="0" applyFont="1" applyFill="1" applyBorder="1" applyAlignment="1">
      <alignment vertical="center" wrapText="1"/>
    </xf>
    <xf numFmtId="0" fontId="6" fillId="0" borderId="51" xfId="0" applyFont="1" applyFill="1" applyBorder="1" applyAlignment="1">
      <alignment vertical="center" wrapText="1" readingOrder="1"/>
    </xf>
    <xf numFmtId="0" fontId="25" fillId="0" borderId="52" xfId="0" applyFont="1" applyFill="1" applyBorder="1">
      <alignment vertical="center"/>
    </xf>
    <xf numFmtId="0" fontId="6" fillId="0" borderId="52" xfId="0" applyFont="1" applyFill="1" applyBorder="1" applyAlignment="1">
      <alignment horizontal="center" vertical="center"/>
    </xf>
    <xf numFmtId="0" fontId="87" fillId="0" borderId="52" xfId="0" applyFont="1" applyFill="1" applyBorder="1" applyAlignment="1">
      <alignment horizontal="center" vertical="center" wrapText="1" readingOrder="1"/>
    </xf>
    <xf numFmtId="43" fontId="4" fillId="0" borderId="52" xfId="4" applyFont="1" applyFill="1" applyBorder="1" applyAlignment="1">
      <alignment horizontal="center" vertical="center"/>
    </xf>
    <xf numFmtId="43" fontId="4" fillId="0" borderId="53" xfId="4" applyFont="1" applyFill="1" applyBorder="1" applyAlignment="1">
      <alignment horizontal="center" vertical="center"/>
    </xf>
    <xf numFmtId="0" fontId="6" fillId="0" borderId="0" xfId="0" applyFont="1" applyFill="1" applyBorder="1" applyAlignment="1">
      <alignment vertical="center" wrapText="1" readingOrder="1"/>
    </xf>
    <xf numFmtId="0" fontId="86" fillId="0" borderId="0" xfId="0" applyFont="1">
      <alignment vertical="center"/>
    </xf>
    <xf numFmtId="0" fontId="68" fillId="2" borderId="5" xfId="0" applyFont="1" applyFill="1" applyBorder="1" applyAlignment="1">
      <alignment horizontal="center" vertical="center"/>
    </xf>
    <xf numFmtId="176" fontId="7" fillId="2" borderId="43" xfId="0" applyNumberFormat="1" applyFont="1" applyFill="1" applyBorder="1" applyAlignment="1">
      <alignment horizontal="center" vertical="center" wrapText="1"/>
    </xf>
    <xf numFmtId="176" fontId="7" fillId="2" borderId="43" xfId="0" applyNumberFormat="1" applyFont="1" applyFill="1" applyBorder="1" applyAlignment="1">
      <alignment horizontal="center" vertical="center"/>
    </xf>
    <xf numFmtId="176" fontId="68" fillId="2" borderId="26" xfId="0" applyNumberFormat="1" applyFont="1" applyFill="1" applyBorder="1" applyAlignment="1">
      <alignment horizontal="center" vertical="center"/>
    </xf>
    <xf numFmtId="176" fontId="0" fillId="0" borderId="0" xfId="0" applyNumberFormat="1">
      <alignment vertical="center"/>
    </xf>
    <xf numFmtId="176" fontId="6" fillId="0" borderId="10" xfId="0" applyNumberFormat="1" applyFont="1" applyFill="1" applyBorder="1" applyAlignment="1">
      <alignment vertical="center"/>
    </xf>
    <xf numFmtId="176" fontId="4" fillId="0" borderId="47" xfId="4" applyNumberFormat="1" applyFont="1" applyFill="1" applyBorder="1" applyAlignment="1">
      <alignment horizontal="center" vertical="center"/>
    </xf>
    <xf numFmtId="176" fontId="5" fillId="0" borderId="0" xfId="0" applyNumberFormat="1" applyFont="1">
      <alignment vertical="center"/>
    </xf>
    <xf numFmtId="176" fontId="0" fillId="41" borderId="0" xfId="0" applyNumberFormat="1" applyFill="1">
      <alignment vertical="center"/>
    </xf>
    <xf numFmtId="176" fontId="6" fillId="0" borderId="5" xfId="0" applyNumberFormat="1" applyFont="1" applyFill="1" applyBorder="1" applyAlignment="1">
      <alignment vertical="center"/>
    </xf>
    <xf numFmtId="176" fontId="4" fillId="0" borderId="2" xfId="4" applyNumberFormat="1" applyFont="1" applyFill="1" applyBorder="1" applyAlignment="1">
      <alignment horizontal="center" vertical="center"/>
    </xf>
    <xf numFmtId="176" fontId="0" fillId="8" borderId="0" xfId="0" applyNumberFormat="1" applyFill="1">
      <alignment vertical="center"/>
    </xf>
    <xf numFmtId="176" fontId="0" fillId="14" borderId="0" xfId="0" applyNumberFormat="1" applyFill="1">
      <alignment vertical="center"/>
    </xf>
    <xf numFmtId="176" fontId="0" fillId="18" borderId="0" xfId="0" applyNumberFormat="1" applyFill="1">
      <alignment vertical="center"/>
    </xf>
    <xf numFmtId="176" fontId="6" fillId="0" borderId="32" xfId="0" applyNumberFormat="1" applyFont="1" applyFill="1" applyBorder="1" applyAlignment="1">
      <alignment vertical="center"/>
    </xf>
    <xf numFmtId="176" fontId="6" fillId="0" borderId="32" xfId="0" applyNumberFormat="1" applyFont="1" applyBorder="1" applyAlignment="1">
      <alignment horizontal="center" vertical="center"/>
    </xf>
    <xf numFmtId="176" fontId="87" fillId="0" borderId="32" xfId="0" applyNumberFormat="1" applyFont="1" applyBorder="1" applyAlignment="1">
      <alignment horizontal="center" vertical="center" wrapText="1" readingOrder="1"/>
    </xf>
    <xf numFmtId="176" fontId="67" fillId="0" borderId="32" xfId="0" applyNumberFormat="1" applyFont="1" applyFill="1" applyBorder="1" applyAlignment="1">
      <alignment horizontal="center" vertical="center"/>
    </xf>
    <xf numFmtId="176" fontId="0" fillId="10" borderId="59" xfId="0" applyNumberFormat="1" applyFont="1" applyFill="1" applyBorder="1" applyAlignment="1">
      <alignment horizontal="center" vertical="center"/>
    </xf>
    <xf numFmtId="176" fontId="4" fillId="0" borderId="4" xfId="4" applyNumberFormat="1" applyFont="1" applyFill="1" applyBorder="1" applyAlignment="1">
      <alignment horizontal="center" vertical="center"/>
    </xf>
    <xf numFmtId="176" fontId="0" fillId="10" borderId="0" xfId="0" applyNumberFormat="1" applyFill="1">
      <alignment vertical="center"/>
    </xf>
    <xf numFmtId="176" fontId="6" fillId="0" borderId="51" xfId="0" applyNumberFormat="1" applyFont="1" applyBorder="1" applyAlignment="1">
      <alignment horizontal="center" vertical="center" wrapText="1"/>
    </xf>
    <xf numFmtId="176" fontId="6" fillId="0" borderId="52" xfId="0" applyNumberFormat="1" applyFont="1" applyFill="1" applyBorder="1" applyAlignment="1">
      <alignment horizontal="left" vertical="center" wrapText="1" readingOrder="1"/>
    </xf>
    <xf numFmtId="176" fontId="6" fillId="0" borderId="52" xfId="0" applyNumberFormat="1" applyFont="1" applyBorder="1" applyAlignment="1">
      <alignment horizontal="center" vertical="center"/>
    </xf>
    <xf numFmtId="176" fontId="87" fillId="0" borderId="52" xfId="0" applyNumberFormat="1" applyFont="1" applyBorder="1" applyAlignment="1">
      <alignment horizontal="center" vertical="center" wrapText="1" readingOrder="1"/>
    </xf>
    <xf numFmtId="176" fontId="67" fillId="0" borderId="52" xfId="0" applyNumberFormat="1" applyFont="1" applyFill="1" applyBorder="1" applyAlignment="1">
      <alignment horizontal="center" vertical="center"/>
    </xf>
    <xf numFmtId="176" fontId="0" fillId="10" borderId="60" xfId="0" applyNumberFormat="1" applyFont="1" applyFill="1" applyBorder="1" applyAlignment="1">
      <alignment horizontal="center" vertical="center"/>
    </xf>
    <xf numFmtId="176" fontId="4" fillId="0" borderId="53" xfId="4" applyNumberFormat="1" applyFont="1" applyFill="1" applyBorder="1" applyAlignment="1">
      <alignment horizontal="center" vertical="center"/>
    </xf>
    <xf numFmtId="176" fontId="6" fillId="0" borderId="10" xfId="0" applyNumberFormat="1" applyFont="1" applyFill="1" applyBorder="1" applyAlignment="1">
      <alignment horizontal="left" vertical="center" wrapText="1" readingOrder="1"/>
    </xf>
    <xf numFmtId="176" fontId="6" fillId="0" borderId="10" xfId="0" applyNumberFormat="1" applyFont="1" applyBorder="1" applyAlignment="1">
      <alignment horizontal="center" vertical="center"/>
    </xf>
    <xf numFmtId="176" fontId="87" fillId="0" borderId="10" xfId="0" applyNumberFormat="1" applyFont="1" applyBorder="1" applyAlignment="1">
      <alignment horizontal="center" vertical="center" wrapText="1" readingOrder="1"/>
    </xf>
    <xf numFmtId="176" fontId="67" fillId="0" borderId="10" xfId="0" applyNumberFormat="1" applyFont="1" applyFill="1" applyBorder="1" applyAlignment="1">
      <alignment horizontal="center" vertical="center"/>
    </xf>
    <xf numFmtId="176" fontId="0" fillId="10" borderId="58" xfId="0" applyNumberFormat="1" applyFont="1" applyFill="1" applyBorder="1" applyAlignment="1">
      <alignment horizontal="center" vertical="center"/>
    </xf>
    <xf numFmtId="176" fontId="6" fillId="0" borderId="5" xfId="0" applyNumberFormat="1" applyFont="1" applyFill="1" applyBorder="1">
      <alignment vertical="center"/>
    </xf>
    <xf numFmtId="176" fontId="6" fillId="0" borderId="5" xfId="0" applyNumberFormat="1" applyFont="1" applyBorder="1" applyAlignment="1">
      <alignment horizontal="center" vertical="center"/>
    </xf>
    <xf numFmtId="176" fontId="87" fillId="0" borderId="5" xfId="0" applyNumberFormat="1" applyFont="1" applyBorder="1" applyAlignment="1">
      <alignment horizontal="center" vertical="center" wrapText="1" readingOrder="1"/>
    </xf>
    <xf numFmtId="176" fontId="67" fillId="0" borderId="5" xfId="0" applyNumberFormat="1" applyFont="1" applyFill="1" applyBorder="1" applyAlignment="1">
      <alignment horizontal="center" vertical="center"/>
    </xf>
    <xf numFmtId="176" fontId="0" fillId="10" borderId="21" xfId="0" applyNumberFormat="1" applyFont="1" applyFill="1" applyBorder="1" applyAlignment="1">
      <alignment horizontal="center" vertical="center"/>
    </xf>
    <xf numFmtId="176" fontId="6" fillId="0" borderId="32" xfId="0" applyNumberFormat="1" applyFont="1" applyFill="1" applyBorder="1">
      <alignment vertical="center"/>
    </xf>
    <xf numFmtId="176" fontId="6" fillId="0" borderId="10" xfId="0" applyNumberFormat="1" applyFont="1" applyFill="1" applyBorder="1">
      <alignment vertical="center"/>
    </xf>
    <xf numFmtId="176" fontId="6" fillId="0" borderId="10" xfId="0" applyNumberFormat="1" applyFont="1" applyFill="1" applyBorder="1" applyAlignment="1">
      <alignment horizontal="center" vertical="center"/>
    </xf>
    <xf numFmtId="176" fontId="88" fillId="41" borderId="10" xfId="0" applyNumberFormat="1" applyFont="1" applyFill="1" applyBorder="1" applyAlignment="1">
      <alignment horizontal="center" vertical="center"/>
    </xf>
    <xf numFmtId="176" fontId="67" fillId="0" borderId="58" xfId="0" applyNumberFormat="1" applyFont="1" applyFill="1" applyBorder="1" applyAlignment="1">
      <alignment horizontal="center" vertical="center"/>
    </xf>
    <xf numFmtId="176" fontId="6" fillId="0" borderId="5" xfId="0" applyNumberFormat="1" applyFont="1" applyBorder="1">
      <alignment vertical="center"/>
    </xf>
    <xf numFmtId="176" fontId="6" fillId="0" borderId="5" xfId="0" applyNumberFormat="1" applyFont="1" applyFill="1" applyBorder="1" applyAlignment="1">
      <alignment horizontal="center" vertical="center"/>
    </xf>
    <xf numFmtId="176" fontId="88" fillId="41" borderId="5" xfId="0" applyNumberFormat="1" applyFont="1" applyFill="1" applyBorder="1" applyAlignment="1">
      <alignment horizontal="center" vertical="center"/>
    </xf>
    <xf numFmtId="176" fontId="67" fillId="0" borderId="21" xfId="0" applyNumberFormat="1" applyFont="1" applyFill="1" applyBorder="1" applyAlignment="1">
      <alignment horizontal="center" vertical="center"/>
    </xf>
    <xf numFmtId="176" fontId="67" fillId="0" borderId="22" xfId="0" applyNumberFormat="1" applyFont="1" applyFill="1" applyBorder="1" applyAlignment="1">
      <alignment horizontal="center" vertical="center"/>
    </xf>
    <xf numFmtId="176" fontId="67" fillId="0" borderId="23" xfId="0" applyNumberFormat="1" applyFont="1" applyFill="1" applyBorder="1" applyAlignment="1">
      <alignment horizontal="center" vertical="center"/>
    </xf>
    <xf numFmtId="176" fontId="0" fillId="8" borderId="5" xfId="0" applyNumberFormat="1" applyFont="1" applyFill="1" applyBorder="1" applyAlignment="1">
      <alignment horizontal="center" vertical="center"/>
    </xf>
    <xf numFmtId="176" fontId="6" fillId="0" borderId="22" xfId="0" applyNumberFormat="1" applyFont="1" applyFill="1" applyBorder="1" applyAlignment="1">
      <alignment horizontal="center" vertical="center"/>
    </xf>
    <xf numFmtId="176" fontId="0" fillId="41" borderId="5" xfId="0" applyNumberFormat="1" applyFont="1" applyFill="1" applyBorder="1" applyAlignment="1">
      <alignment horizontal="center" vertical="center"/>
    </xf>
    <xf numFmtId="176" fontId="6" fillId="0" borderId="32" xfId="0" applyNumberFormat="1" applyFont="1" applyFill="1" applyBorder="1" applyAlignment="1">
      <alignment horizontal="center" vertical="center"/>
    </xf>
    <xf numFmtId="176" fontId="0" fillId="41" borderId="32" xfId="0" applyNumberFormat="1" applyFont="1" applyFill="1" applyBorder="1" applyAlignment="1">
      <alignment horizontal="center" vertical="center"/>
    </xf>
    <xf numFmtId="176" fontId="67" fillId="0" borderId="59" xfId="0" applyNumberFormat="1" applyFont="1" applyFill="1" applyBorder="1" applyAlignment="1">
      <alignment horizontal="center" vertical="center"/>
    </xf>
    <xf numFmtId="176" fontId="28" fillId="18" borderId="10" xfId="0" applyNumberFormat="1" applyFont="1" applyFill="1" applyBorder="1" applyAlignment="1">
      <alignment horizontal="center" vertical="center"/>
    </xf>
    <xf numFmtId="176" fontId="28" fillId="18" borderId="5" xfId="0" applyNumberFormat="1" applyFont="1" applyFill="1" applyBorder="1" applyAlignment="1">
      <alignment horizontal="center" vertical="center"/>
    </xf>
    <xf numFmtId="176" fontId="28" fillId="18" borderId="32" xfId="0" applyNumberFormat="1" applyFont="1" applyFill="1" applyBorder="1" applyAlignment="1">
      <alignment horizontal="center" vertical="center"/>
    </xf>
    <xf numFmtId="176" fontId="6" fillId="0" borderId="12" xfId="0" applyNumberFormat="1" applyFont="1" applyFill="1" applyBorder="1" applyAlignment="1">
      <alignment vertical="center"/>
    </xf>
    <xf numFmtId="176" fontId="6" fillId="0" borderId="26" xfId="0" applyNumberFormat="1" applyFont="1" applyFill="1" applyBorder="1" applyAlignment="1">
      <alignment horizontal="center" vertical="center"/>
    </xf>
    <xf numFmtId="176" fontId="67" fillId="0" borderId="12" xfId="0" applyNumberFormat="1" applyFont="1" applyFill="1" applyBorder="1" applyAlignment="1">
      <alignment horizontal="center" vertical="center"/>
    </xf>
    <xf numFmtId="176" fontId="0" fillId="8" borderId="12" xfId="0" applyNumberFormat="1" applyFont="1" applyFill="1" applyBorder="1" applyAlignment="1">
      <alignment horizontal="center" vertical="center"/>
    </xf>
    <xf numFmtId="176" fontId="0" fillId="14" borderId="12" xfId="0" applyNumberFormat="1" applyFont="1" applyFill="1" applyBorder="1" applyAlignment="1">
      <alignment horizontal="center" vertical="center"/>
    </xf>
    <xf numFmtId="176" fontId="67" fillId="0" borderId="27" xfId="0" applyNumberFormat="1" applyFont="1" applyFill="1" applyBorder="1" applyAlignment="1">
      <alignment horizontal="center" vertical="center"/>
    </xf>
    <xf numFmtId="176" fontId="4" fillId="0" borderId="12" xfId="4" applyNumberFormat="1" applyFont="1" applyFill="1" applyBorder="1" applyAlignment="1">
      <alignment horizontal="center" vertical="center"/>
    </xf>
    <xf numFmtId="176" fontId="0" fillId="14" borderId="5" xfId="0" applyNumberFormat="1" applyFont="1" applyFill="1" applyBorder="1" applyAlignment="1">
      <alignment horizontal="center" vertical="center"/>
    </xf>
    <xf numFmtId="176" fontId="4" fillId="0" borderId="5" xfId="4" applyNumberFormat="1" applyFont="1" applyFill="1" applyBorder="1" applyAlignment="1">
      <alignment horizontal="center" vertical="center"/>
    </xf>
    <xf numFmtId="176" fontId="6" fillId="0" borderId="22" xfId="0" applyNumberFormat="1" applyFont="1" applyFill="1" applyBorder="1" applyAlignment="1">
      <alignment vertical="center"/>
    </xf>
    <xf numFmtId="176" fontId="67" fillId="44" borderId="5" xfId="0" applyNumberFormat="1" applyFont="1" applyFill="1" applyBorder="1" applyAlignment="1">
      <alignment horizontal="center" vertical="center"/>
    </xf>
    <xf numFmtId="176" fontId="67" fillId="44" borderId="21" xfId="0" applyNumberFormat="1" applyFont="1" applyFill="1" applyBorder="1" applyAlignment="1">
      <alignment horizontal="center" vertical="center"/>
    </xf>
    <xf numFmtId="176" fontId="0" fillId="8" borderId="22" xfId="0" applyNumberFormat="1" applyFont="1" applyFill="1" applyBorder="1" applyAlignment="1">
      <alignment horizontal="center" vertical="center"/>
    </xf>
    <xf numFmtId="176" fontId="4" fillId="0" borderId="22" xfId="4" applyNumberFormat="1" applyFont="1" applyFill="1" applyBorder="1" applyAlignment="1">
      <alignment horizontal="center" vertical="center"/>
    </xf>
    <xf numFmtId="176" fontId="6" fillId="0" borderId="10" xfId="0" applyNumberFormat="1" applyFont="1" applyFill="1" applyBorder="1" applyAlignment="1">
      <alignment horizontal="left" vertical="center"/>
    </xf>
    <xf numFmtId="176" fontId="0" fillId="8" borderId="10" xfId="0" applyNumberFormat="1" applyFont="1" applyFill="1" applyBorder="1" applyAlignment="1">
      <alignment horizontal="center" vertical="center"/>
    </xf>
    <xf numFmtId="176" fontId="0" fillId="14" borderId="10" xfId="0" applyNumberFormat="1" applyFont="1" applyFill="1" applyBorder="1" applyAlignment="1">
      <alignment horizontal="center" vertical="center"/>
    </xf>
    <xf numFmtId="176" fontId="6" fillId="0" borderId="5" xfId="0" applyNumberFormat="1" applyFont="1" applyFill="1" applyBorder="1" applyAlignment="1">
      <alignment horizontal="left" vertical="center"/>
    </xf>
    <xf numFmtId="176" fontId="6" fillId="0" borderId="12" xfId="0" applyNumberFormat="1" applyFont="1" applyFill="1" applyBorder="1" applyAlignment="1">
      <alignment horizontal="center" vertical="center"/>
    </xf>
    <xf numFmtId="176" fontId="25" fillId="0" borderId="5" xfId="0" applyNumberFormat="1" applyFont="1" applyFill="1" applyBorder="1">
      <alignment vertical="center"/>
    </xf>
    <xf numFmtId="176" fontId="6" fillId="0" borderId="22" xfId="0" applyNumberFormat="1" applyFont="1" applyFill="1" applyBorder="1">
      <alignment vertical="center"/>
    </xf>
    <xf numFmtId="176" fontId="0" fillId="8" borderId="32" xfId="0" applyNumberFormat="1" applyFont="1" applyFill="1" applyBorder="1" applyAlignment="1">
      <alignment horizontal="center" vertical="center"/>
    </xf>
    <xf numFmtId="176" fontId="6" fillId="0" borderId="52" xfId="0" applyNumberFormat="1" applyFont="1" applyFill="1" applyBorder="1" applyAlignment="1">
      <alignment horizontal="center" vertical="center"/>
    </xf>
    <xf numFmtId="176" fontId="0" fillId="0" borderId="55" xfId="0" applyNumberFormat="1" applyBorder="1" applyAlignment="1">
      <alignment horizontal="center" vertical="center"/>
    </xf>
    <xf numFmtId="176" fontId="74" fillId="0" borderId="12" xfId="0" applyNumberFormat="1" applyFont="1" applyBorder="1">
      <alignment vertical="center"/>
    </xf>
    <xf numFmtId="176" fontId="68" fillId="2" borderId="5" xfId="0" applyNumberFormat="1" applyFont="1" applyFill="1" applyBorder="1" applyAlignment="1">
      <alignment horizontal="center" vertical="center"/>
    </xf>
    <xf numFmtId="176" fontId="68" fillId="0" borderId="0" xfId="0" applyNumberFormat="1" applyFont="1" applyFill="1" applyBorder="1" applyAlignment="1">
      <alignment horizontal="center" vertical="center"/>
    </xf>
    <xf numFmtId="176" fontId="9" fillId="0" borderId="0" xfId="2" applyNumberFormat="1">
      <alignment vertical="center"/>
    </xf>
    <xf numFmtId="0" fontId="7" fillId="2" borderId="29" xfId="0" applyFont="1" applyFill="1" applyBorder="1" applyAlignment="1">
      <alignment horizontal="center" vertical="center"/>
    </xf>
    <xf numFmtId="0" fontId="68" fillId="2" borderId="29" xfId="0" applyFont="1" applyFill="1" applyBorder="1" applyAlignment="1">
      <alignment horizontal="center" vertical="center"/>
    </xf>
    <xf numFmtId="0" fontId="25" fillId="14" borderId="5" xfId="0" applyFont="1" applyFill="1" applyBorder="1" applyAlignment="1">
      <alignment vertical="center" wrapText="1"/>
    </xf>
    <xf numFmtId="0" fontId="6" fillId="14" borderId="5" xfId="0" applyFont="1" applyFill="1" applyBorder="1" applyAlignment="1">
      <alignment horizontal="center" vertical="center"/>
    </xf>
    <xf numFmtId="0" fontId="25" fillId="14" borderId="5" xfId="0" applyFont="1" applyFill="1" applyBorder="1" applyAlignment="1">
      <alignment horizontal="center" vertical="center" wrapText="1"/>
    </xf>
    <xf numFmtId="43" fontId="4" fillId="49" borderId="5" xfId="4" applyFont="1" applyFill="1" applyBorder="1" applyAlignment="1">
      <alignment horizontal="center" vertical="center"/>
    </xf>
    <xf numFmtId="43" fontId="4" fillId="0" borderId="0" xfId="4" applyFont="1" applyFill="1" applyBorder="1" applyAlignment="1">
      <alignment horizontal="center" vertical="center"/>
    </xf>
    <xf numFmtId="0" fontId="6" fillId="14" borderId="22" xfId="0" applyFont="1" applyFill="1" applyBorder="1" applyAlignment="1">
      <alignment horizontal="center" vertical="center"/>
    </xf>
    <xf numFmtId="0" fontId="0" fillId="14" borderId="22" xfId="0" applyFill="1" applyBorder="1" applyAlignment="1">
      <alignment horizontal="center" vertical="center"/>
    </xf>
    <xf numFmtId="0" fontId="25" fillId="14" borderId="22" xfId="0" applyFont="1" applyFill="1" applyBorder="1" applyAlignment="1">
      <alignment vertical="center" wrapText="1"/>
    </xf>
    <xf numFmtId="0" fontId="25" fillId="14" borderId="12" xfId="0" applyFont="1" applyFill="1" applyBorder="1" applyAlignment="1">
      <alignment vertical="center" wrapText="1"/>
    </xf>
    <xf numFmtId="0" fontId="0" fillId="14" borderId="5" xfId="0" applyFill="1" applyBorder="1">
      <alignment vertical="center"/>
    </xf>
    <xf numFmtId="0" fontId="0" fillId="14" borderId="22" xfId="0" applyFill="1" applyBorder="1">
      <alignment vertical="center"/>
    </xf>
    <xf numFmtId="43" fontId="4" fillId="42" borderId="5" xfId="4" applyFont="1" applyFill="1" applyBorder="1" applyAlignment="1">
      <alignment horizontal="center" vertical="center"/>
    </xf>
    <xf numFmtId="0" fontId="25" fillId="38" borderId="5" xfId="0" applyFont="1" applyFill="1" applyBorder="1" applyAlignment="1">
      <alignment vertical="center" wrapText="1"/>
    </xf>
    <xf numFmtId="0" fontId="6" fillId="38" borderId="5" xfId="0" applyFont="1" applyFill="1" applyBorder="1" applyAlignment="1">
      <alignment horizontal="center" vertical="center"/>
    </xf>
    <xf numFmtId="0" fontId="25" fillId="38" borderId="5" xfId="0" applyFont="1" applyFill="1" applyBorder="1" applyAlignment="1">
      <alignment horizontal="center" vertical="center" wrapText="1"/>
    </xf>
    <xf numFmtId="43" fontId="4" fillId="50" borderId="5" xfId="4" applyFont="1" applyFill="1" applyBorder="1" applyAlignment="1">
      <alignment horizontal="center" vertical="center"/>
    </xf>
    <xf numFmtId="43" fontId="4" fillId="38" borderId="5" xfId="4" applyFont="1" applyFill="1" applyBorder="1" applyAlignment="1">
      <alignment horizontal="center" vertical="center"/>
    </xf>
    <xf numFmtId="0" fontId="25" fillId="38" borderId="5" xfId="0" applyFont="1" applyFill="1" applyBorder="1">
      <alignment vertical="center"/>
    </xf>
    <xf numFmtId="0" fontId="0" fillId="0" borderId="0" xfId="0" applyFill="1">
      <alignment vertical="center"/>
    </xf>
    <xf numFmtId="0" fontId="0" fillId="0" borderId="0" xfId="0" applyFill="1" applyBorder="1" applyAlignment="1">
      <alignment horizontal="center" vertical="center"/>
    </xf>
    <xf numFmtId="0" fontId="0" fillId="0" borderId="22" xfId="0" applyFill="1" applyBorder="1" applyAlignment="1">
      <alignment vertical="center"/>
    </xf>
    <xf numFmtId="43" fontId="4" fillId="0" borderId="22" xfId="4" applyFont="1" applyFill="1" applyBorder="1" applyAlignment="1">
      <alignment vertical="center"/>
    </xf>
    <xf numFmtId="0" fontId="0" fillId="0" borderId="5" xfId="0" applyFill="1" applyBorder="1" applyAlignment="1">
      <alignment horizontal="center" vertical="center"/>
    </xf>
    <xf numFmtId="43" fontId="4" fillId="0" borderId="5" xfId="4" applyFont="1" applyFill="1" applyBorder="1" applyAlignment="1">
      <alignment horizontal="right" vertical="center"/>
    </xf>
    <xf numFmtId="0" fontId="0" fillId="0" borderId="0" xfId="0" applyBorder="1" applyAlignment="1">
      <alignment horizontal="center" vertical="center"/>
    </xf>
    <xf numFmtId="0" fontId="0" fillId="0" borderId="0" xfId="0" applyBorder="1" applyAlignment="1">
      <alignment vertical="center"/>
    </xf>
    <xf numFmtId="0" fontId="25" fillId="38" borderId="5" xfId="0" applyFont="1" applyFill="1" applyBorder="1" applyAlignment="1">
      <alignment vertical="center"/>
    </xf>
    <xf numFmtId="0" fontId="0" fillId="38" borderId="5" xfId="0" applyFill="1" applyBorder="1">
      <alignment vertical="center"/>
    </xf>
    <xf numFmtId="0" fontId="6" fillId="38" borderId="22" xfId="0" applyFont="1" applyFill="1" applyBorder="1" applyAlignment="1">
      <alignment horizontal="center" vertical="center"/>
    </xf>
    <xf numFmtId="43" fontId="4" fillId="39" borderId="5" xfId="4" applyFont="1" applyFill="1" applyBorder="1" applyAlignment="1">
      <alignment horizontal="center" vertical="center"/>
    </xf>
    <xf numFmtId="0" fontId="4" fillId="39" borderId="5" xfId="0" applyFont="1" applyFill="1" applyBorder="1" applyAlignment="1">
      <alignment horizontal="center" vertical="center"/>
    </xf>
    <xf numFmtId="0" fontId="25" fillId="18" borderId="5" xfId="0" applyFont="1" applyFill="1" applyBorder="1" applyAlignment="1">
      <alignment vertical="center" wrapText="1"/>
    </xf>
    <xf numFmtId="0" fontId="6" fillId="18" borderId="5" xfId="0" applyFont="1" applyFill="1" applyBorder="1" applyAlignment="1">
      <alignment horizontal="center" vertical="center"/>
    </xf>
    <xf numFmtId="0" fontId="25" fillId="18" borderId="5" xfId="0" applyFont="1" applyFill="1" applyBorder="1" applyAlignment="1">
      <alignment horizontal="center" vertical="center" wrapText="1"/>
    </xf>
    <xf numFmtId="43" fontId="4" fillId="51" borderId="5" xfId="4" applyFont="1" applyFill="1" applyBorder="1" applyAlignment="1">
      <alignment horizontal="center" vertical="center"/>
    </xf>
    <xf numFmtId="43" fontId="4" fillId="18" borderId="5" xfId="4" applyFont="1" applyFill="1" applyBorder="1" applyAlignment="1">
      <alignment horizontal="center" vertical="center"/>
    </xf>
    <xf numFmtId="0" fontId="4" fillId="18" borderId="5" xfId="0" applyFont="1" applyFill="1" applyBorder="1" applyAlignment="1">
      <alignment horizontal="center" vertical="center"/>
    </xf>
    <xf numFmtId="0" fontId="6" fillId="18" borderId="22" xfId="0" applyFont="1" applyFill="1" applyBorder="1" applyAlignment="1">
      <alignment horizontal="center" vertical="center"/>
    </xf>
    <xf numFmtId="0" fontId="0" fillId="18" borderId="5" xfId="0" applyFill="1" applyBorder="1">
      <alignment vertical="center"/>
    </xf>
    <xf numFmtId="0" fontId="0" fillId="18" borderId="0" xfId="0" applyFill="1" applyAlignment="1">
      <alignment horizontal="center" vertical="center"/>
    </xf>
    <xf numFmtId="43" fontId="4" fillId="40" borderId="5" xfId="4" applyFont="1" applyFill="1" applyBorder="1" applyAlignment="1">
      <alignment horizontal="center" vertical="center"/>
    </xf>
    <xf numFmtId="0" fontId="25" fillId="43" borderId="5" xfId="0" applyFont="1" applyFill="1" applyBorder="1" applyAlignment="1">
      <alignment horizontal="center" vertical="center" wrapText="1"/>
    </xf>
    <xf numFmtId="43" fontId="4" fillId="36" borderId="5" xfId="4" applyFont="1" applyFill="1" applyBorder="1" applyAlignment="1">
      <alignment horizontal="center" vertical="center"/>
    </xf>
    <xf numFmtId="43" fontId="4" fillId="43" borderId="26" xfId="4" applyFont="1" applyFill="1" applyBorder="1" applyAlignment="1">
      <alignment horizontal="center" vertical="center"/>
    </xf>
    <xf numFmtId="0" fontId="6" fillId="43" borderId="5" xfId="0" applyFont="1" applyFill="1" applyBorder="1" applyAlignment="1">
      <alignment horizontal="center" vertical="center"/>
    </xf>
    <xf numFmtId="43" fontId="4" fillId="43" borderId="5" xfId="4" applyFont="1" applyFill="1" applyBorder="1" applyAlignment="1">
      <alignment horizontal="center" vertical="center"/>
    </xf>
    <xf numFmtId="0" fontId="6" fillId="43" borderId="22" xfId="0" applyFont="1" applyFill="1" applyBorder="1" applyAlignment="1">
      <alignment horizontal="center" vertical="center"/>
    </xf>
    <xf numFmtId="0" fontId="0" fillId="43" borderId="5" xfId="0" applyFill="1" applyBorder="1">
      <alignment vertical="center"/>
    </xf>
    <xf numFmtId="0" fontId="8" fillId="8" borderId="31" xfId="0" applyFont="1" applyFill="1" applyBorder="1" applyAlignment="1">
      <alignment horizontal="center" vertical="center" wrapText="1"/>
    </xf>
    <xf numFmtId="43" fontId="6" fillId="8" borderId="5" xfId="4" applyFont="1" applyFill="1" applyBorder="1" applyAlignment="1">
      <alignment horizontal="center" vertical="center"/>
    </xf>
    <xf numFmtId="43" fontId="4" fillId="8" borderId="5" xfId="4" applyFont="1" applyFill="1" applyBorder="1" applyAlignment="1">
      <alignment horizontal="center" vertical="center"/>
    </xf>
    <xf numFmtId="0" fontId="6" fillId="8" borderId="5" xfId="0" applyFont="1" applyFill="1" applyBorder="1" applyAlignment="1">
      <alignment horizontal="center" vertical="center"/>
    </xf>
    <xf numFmtId="0" fontId="25" fillId="36" borderId="5" xfId="0" applyFont="1" applyFill="1" applyBorder="1" applyAlignment="1">
      <alignment horizontal="center" vertical="center"/>
    </xf>
    <xf numFmtId="10" fontId="4" fillId="0" borderId="0" xfId="0" applyNumberFormat="1" applyFont="1" applyAlignment="1">
      <alignment vertical="top"/>
    </xf>
    <xf numFmtId="10" fontId="7" fillId="2" borderId="5" xfId="0" applyNumberFormat="1" applyFont="1" applyFill="1" applyBorder="1" applyAlignment="1">
      <alignment horizontal="center" vertical="center" wrapText="1"/>
    </xf>
    <xf numFmtId="0" fontId="4" fillId="0" borderId="5" xfId="0" applyFont="1" applyFill="1" applyBorder="1" applyAlignment="1">
      <alignment horizontal="right" vertical="center"/>
    </xf>
    <xf numFmtId="0" fontId="2" fillId="0" borderId="33" xfId="0" applyFont="1" applyBorder="1" applyAlignment="1">
      <alignment horizontal="left" vertical="center"/>
    </xf>
    <xf numFmtId="0" fontId="4" fillId="0" borderId="1" xfId="0" applyFont="1" applyBorder="1" applyAlignment="1">
      <alignment horizontal="left" vertical="center"/>
    </xf>
    <xf numFmtId="0" fontId="6" fillId="0" borderId="1" xfId="0" applyFont="1" applyBorder="1" applyAlignment="1">
      <alignment horizontal="left" vertical="center"/>
    </xf>
    <xf numFmtId="0" fontId="2" fillId="0" borderId="34" xfId="0" applyFont="1" applyBorder="1" applyAlignment="1">
      <alignment horizontal="center" vertical="center"/>
    </xf>
    <xf numFmtId="0" fontId="2" fillId="0" borderId="19" xfId="0" applyFont="1" applyBorder="1" applyAlignment="1">
      <alignment horizontal="center" vertical="center"/>
    </xf>
    <xf numFmtId="0" fontId="7" fillId="2" borderId="43" xfId="0" applyFont="1" applyFill="1" applyBorder="1" applyAlignment="1">
      <alignment horizontal="center" vertical="center"/>
    </xf>
    <xf numFmtId="0" fontId="64" fillId="0" borderId="0" xfId="0" applyFont="1">
      <alignment vertical="center"/>
    </xf>
    <xf numFmtId="0" fontId="25" fillId="0" borderId="5" xfId="0" applyFont="1" applyFill="1" applyBorder="1" applyAlignment="1">
      <alignment horizontal="left" vertical="center" indent="1"/>
    </xf>
    <xf numFmtId="0" fontId="9" fillId="0" borderId="0" xfId="2" applyFill="1" applyAlignment="1">
      <alignment horizontal="left" vertical="center"/>
    </xf>
    <xf numFmtId="0" fontId="63" fillId="0" borderId="0" xfId="0" applyFont="1" applyFill="1" applyAlignment="1">
      <alignment horizontal="right" vertical="center"/>
    </xf>
    <xf numFmtId="0" fontId="6" fillId="0" borderId="5" xfId="0" applyFont="1" applyFill="1" applyBorder="1" applyAlignment="1">
      <alignment horizontal="left" vertical="center" indent="1"/>
    </xf>
    <xf numFmtId="0" fontId="0" fillId="0" borderId="5" xfId="0" applyBorder="1">
      <alignment vertical="center"/>
    </xf>
    <xf numFmtId="0" fontId="5" fillId="0" borderId="5" xfId="0" applyFont="1" applyFill="1" applyBorder="1">
      <alignment vertical="center"/>
    </xf>
    <xf numFmtId="0" fontId="6" fillId="0" borderId="1" xfId="0" applyFont="1" applyFill="1" applyBorder="1" applyAlignment="1">
      <alignment horizontal="left" vertical="center"/>
    </xf>
    <xf numFmtId="0" fontId="46" fillId="0" borderId="5" xfId="0" applyFont="1" applyFill="1" applyBorder="1">
      <alignment vertical="center"/>
    </xf>
    <xf numFmtId="0" fontId="6" fillId="0" borderId="31" xfId="0" applyFont="1" applyBorder="1" applyAlignment="1">
      <alignment vertical="center"/>
    </xf>
    <xf numFmtId="0" fontId="6" fillId="0" borderId="21" xfId="0" applyFont="1" applyBorder="1" applyAlignment="1">
      <alignment vertical="center"/>
    </xf>
    <xf numFmtId="0" fontId="6" fillId="0" borderId="5" xfId="0" applyFont="1" applyBorder="1" applyAlignment="1">
      <alignment vertical="center"/>
    </xf>
    <xf numFmtId="43" fontId="25" fillId="21" borderId="0" xfId="4" applyFont="1" applyFill="1" applyBorder="1" applyAlignment="1">
      <alignment horizontal="right" vertical="center"/>
    </xf>
    <xf numFmtId="0" fontId="6" fillId="0" borderId="0" xfId="0" applyFont="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xf>
    <xf numFmtId="0" fontId="6" fillId="0" borderId="0" xfId="0" applyFont="1" applyFill="1" applyBorder="1" applyAlignment="1">
      <alignment horizontal="right" vertical="center"/>
    </xf>
    <xf numFmtId="0" fontId="46" fillId="8" borderId="31" xfId="0" applyFont="1" applyFill="1" applyBorder="1" applyAlignment="1">
      <alignment vertical="center"/>
    </xf>
    <xf numFmtId="0" fontId="46" fillId="8" borderId="0" xfId="0" applyFont="1" applyFill="1" applyBorder="1" applyAlignment="1">
      <alignment vertical="center"/>
    </xf>
    <xf numFmtId="0" fontId="4" fillId="0" borderId="0" xfId="0" applyFont="1" applyAlignment="1">
      <alignment vertical="center" wrapText="1"/>
    </xf>
    <xf numFmtId="0" fontId="6" fillId="9" borderId="5" xfId="0" applyFont="1" applyFill="1" applyBorder="1" applyAlignment="1">
      <alignment horizontal="center" vertical="center" wrapText="1"/>
    </xf>
    <xf numFmtId="0" fontId="4" fillId="0" borderId="5" xfId="0" applyFont="1" applyFill="1" applyBorder="1" applyAlignment="1">
      <alignment horizontal="left" vertical="center"/>
    </xf>
    <xf numFmtId="0" fontId="8" fillId="0" borderId="25" xfId="0" applyNumberFormat="1" applyFont="1" applyFill="1" applyBorder="1" applyAlignment="1">
      <alignment horizontal="center" vertical="center"/>
    </xf>
    <xf numFmtId="0" fontId="8" fillId="0" borderId="25" xfId="0" applyNumberFormat="1" applyFont="1" applyFill="1" applyBorder="1" applyAlignment="1">
      <alignment horizontal="center" vertical="top"/>
    </xf>
    <xf numFmtId="0" fontId="8" fillId="0" borderId="20" xfId="0" applyNumberFormat="1" applyFont="1" applyFill="1" applyBorder="1" applyAlignment="1">
      <alignment horizontal="center" vertical="center"/>
    </xf>
    <xf numFmtId="0" fontId="8" fillId="0" borderId="17" xfId="0" applyNumberFormat="1" applyFont="1" applyFill="1" applyBorder="1" applyAlignment="1">
      <alignment horizontal="center" vertical="center"/>
    </xf>
    <xf numFmtId="0" fontId="25" fillId="0" borderId="0" xfId="0" applyNumberFormat="1" applyFont="1" applyFill="1" applyBorder="1" applyAlignment="1">
      <alignment horizontal="center" vertical="center"/>
    </xf>
    <xf numFmtId="0" fontId="5" fillId="0" borderId="0" xfId="0" applyNumberFormat="1" applyFont="1">
      <alignment vertical="center"/>
    </xf>
    <xf numFmtId="0" fontId="8" fillId="0" borderId="0" xfId="0" applyNumberFormat="1" applyFont="1" applyFill="1" applyBorder="1" applyAlignment="1">
      <alignment horizontal="center" vertical="center" wrapText="1"/>
    </xf>
    <xf numFmtId="0" fontId="8" fillId="0" borderId="0" xfId="0" applyNumberFormat="1" applyFont="1" applyFill="1" applyBorder="1" applyAlignment="1">
      <alignment horizontal="center" vertical="center"/>
    </xf>
    <xf numFmtId="0" fontId="8" fillId="0" borderId="5" xfId="0" applyNumberFormat="1" applyFont="1" applyFill="1" applyBorder="1" applyAlignment="1">
      <alignment horizontal="center" vertical="center"/>
    </xf>
    <xf numFmtId="0" fontId="8" fillId="0" borderId="5" xfId="0" applyNumberFormat="1" applyFont="1" applyFill="1" applyBorder="1" applyAlignment="1">
      <alignment horizontal="center" vertical="top"/>
    </xf>
    <xf numFmtId="0" fontId="8" fillId="0" borderId="19" xfId="0" applyNumberFormat="1" applyFont="1" applyFill="1" applyBorder="1" applyAlignment="1">
      <alignment horizontal="center" vertical="center"/>
    </xf>
    <xf numFmtId="0" fontId="8" fillId="0" borderId="0" xfId="0" applyNumberFormat="1" applyFont="1" applyFill="1" applyBorder="1" applyAlignment="1">
      <alignment horizontal="center" vertical="top"/>
    </xf>
    <xf numFmtId="0" fontId="7" fillId="2" borderId="5" xfId="0" applyNumberFormat="1" applyFont="1" applyFill="1" applyBorder="1" applyAlignment="1">
      <alignment horizontal="center" vertical="center"/>
    </xf>
    <xf numFmtId="0" fontId="7" fillId="2" borderId="29" xfId="0" applyNumberFormat="1" applyFont="1" applyFill="1" applyBorder="1" applyAlignment="1">
      <alignment horizontal="center" vertical="center"/>
    </xf>
    <xf numFmtId="0" fontId="7" fillId="2" borderId="12" xfId="0" applyNumberFormat="1" applyFont="1" applyFill="1" applyBorder="1" applyAlignment="1">
      <alignment horizontal="center" vertical="center"/>
    </xf>
    <xf numFmtId="0" fontId="68" fillId="2" borderId="12" xfId="0" applyNumberFormat="1" applyFont="1" applyFill="1" applyBorder="1" applyAlignment="1">
      <alignment horizontal="center" vertical="center"/>
    </xf>
    <xf numFmtId="0" fontId="7" fillId="2" borderId="26" xfId="0" applyNumberFormat="1" applyFont="1" applyFill="1" applyBorder="1" applyAlignment="1">
      <alignment horizontal="center" vertical="center"/>
    </xf>
    <xf numFmtId="0" fontId="7" fillId="2" borderId="0" xfId="0" applyNumberFormat="1" applyFont="1" applyFill="1" applyBorder="1" applyAlignment="1">
      <alignment horizontal="center" vertical="center"/>
    </xf>
    <xf numFmtId="0" fontId="4" fillId="0" borderId="0" xfId="0" applyNumberFormat="1" applyFont="1">
      <alignment vertical="center"/>
    </xf>
    <xf numFmtId="0" fontId="20" fillId="0" borderId="5" xfId="0" applyNumberFormat="1" applyFont="1" applyBorder="1" applyAlignment="1">
      <alignment horizontal="left" vertical="center" wrapText="1"/>
    </xf>
    <xf numFmtId="0" fontId="20" fillId="0" borderId="5" xfId="0" applyNumberFormat="1" applyFont="1" applyBorder="1" applyAlignment="1">
      <alignment horizontal="left" vertical="top" wrapText="1"/>
    </xf>
    <xf numFmtId="0" fontId="6" fillId="0" borderId="19" xfId="0" applyNumberFormat="1" applyFont="1" applyBorder="1" applyAlignment="1">
      <alignment horizontal="left" vertical="center"/>
    </xf>
    <xf numFmtId="0" fontId="46" fillId="0" borderId="5" xfId="0" applyNumberFormat="1" applyFont="1" applyBorder="1">
      <alignment vertical="center"/>
    </xf>
    <xf numFmtId="0" fontId="20" fillId="0" borderId="5" xfId="0" applyNumberFormat="1" applyFont="1" applyBorder="1" applyAlignment="1">
      <alignment horizontal="center" vertical="center" wrapText="1"/>
    </xf>
    <xf numFmtId="0" fontId="4" fillId="0" borderId="5" xfId="0" applyNumberFormat="1" applyFont="1" applyBorder="1">
      <alignment vertical="center"/>
    </xf>
    <xf numFmtId="0" fontId="4" fillId="9" borderId="5" xfId="0" applyNumberFormat="1" applyFont="1" applyFill="1" applyBorder="1" applyAlignment="1">
      <alignment horizontal="center" vertical="center"/>
    </xf>
    <xf numFmtId="0" fontId="4" fillId="0" borderId="5" xfId="0" applyNumberFormat="1" applyFont="1" applyBorder="1" applyAlignment="1">
      <alignment vertical="center" wrapText="1"/>
    </xf>
    <xf numFmtId="0" fontId="4" fillId="0" borderId="5" xfId="0" applyNumberFormat="1" applyFont="1" applyFill="1" applyBorder="1" applyAlignment="1">
      <alignment vertical="center"/>
    </xf>
    <xf numFmtId="0" fontId="4" fillId="0" borderId="5" xfId="0" applyNumberFormat="1" applyFont="1" applyFill="1" applyBorder="1" applyAlignment="1">
      <alignment horizontal="center" vertical="center"/>
    </xf>
    <xf numFmtId="0" fontId="4" fillId="14" borderId="5" xfId="4" applyNumberFormat="1" applyFont="1" applyFill="1" applyBorder="1" applyAlignment="1">
      <alignment vertical="top"/>
    </xf>
    <xf numFmtId="0" fontId="4" fillId="0" borderId="5" xfId="4" applyNumberFormat="1" applyFont="1" applyBorder="1">
      <alignment vertical="center"/>
    </xf>
    <xf numFmtId="0" fontId="6" fillId="0" borderId="5" xfId="0" applyNumberFormat="1" applyFont="1" applyFill="1" applyBorder="1" applyAlignment="1">
      <alignment horizontal="left" vertical="center"/>
    </xf>
    <xf numFmtId="0" fontId="4" fillId="0" borderId="5" xfId="0" applyNumberFormat="1" applyFont="1" applyBorder="1" applyAlignment="1">
      <alignment horizontal="right" vertical="center" wrapText="1"/>
    </xf>
    <xf numFmtId="0" fontId="4" fillId="0" borderId="5" xfId="0" applyNumberFormat="1" applyFont="1" applyFill="1" applyBorder="1" applyAlignment="1">
      <alignment horizontal="right" vertical="center"/>
    </xf>
    <xf numFmtId="0" fontId="4" fillId="0" borderId="5" xfId="4" applyNumberFormat="1" applyFont="1" applyFill="1" applyBorder="1" applyAlignment="1">
      <alignment vertical="top"/>
    </xf>
    <xf numFmtId="0" fontId="46" fillId="0" borderId="5" xfId="0" applyNumberFormat="1" applyFont="1" applyBorder="1" applyAlignment="1">
      <alignment horizontal="right" vertical="center"/>
    </xf>
    <xf numFmtId="0" fontId="20" fillId="0" borderId="22" xfId="0" applyNumberFormat="1" applyFont="1" applyBorder="1" applyAlignment="1">
      <alignment horizontal="center" vertical="center" wrapText="1"/>
    </xf>
    <xf numFmtId="0" fontId="4" fillId="0" borderId="19" xfId="0" applyNumberFormat="1" applyFont="1" applyBorder="1" applyAlignment="1">
      <alignment horizontal="left" vertical="center"/>
    </xf>
    <xf numFmtId="0" fontId="4" fillId="0" borderId="5" xfId="0" applyNumberFormat="1" applyFont="1" applyFill="1" applyBorder="1" applyAlignment="1">
      <alignment horizontal="left" vertical="center" indent="1"/>
    </xf>
    <xf numFmtId="0" fontId="20" fillId="0" borderId="26" xfId="0" applyNumberFormat="1" applyFont="1" applyBorder="1" applyAlignment="1">
      <alignment horizontal="center" vertical="center" wrapText="1"/>
    </xf>
    <xf numFmtId="0" fontId="4" fillId="0" borderId="5" xfId="0" applyNumberFormat="1" applyFont="1" applyBorder="1" applyAlignment="1">
      <alignment horizontal="center" vertical="center"/>
    </xf>
    <xf numFmtId="0" fontId="20" fillId="0" borderId="12" xfId="0" applyNumberFormat="1" applyFont="1" applyBorder="1" applyAlignment="1">
      <alignment horizontal="center" vertical="center" wrapText="1"/>
    </xf>
    <xf numFmtId="0" fontId="4" fillId="0" borderId="21" xfId="0" applyNumberFormat="1" applyFont="1" applyFill="1" applyBorder="1" applyAlignment="1">
      <alignment horizontal="right" vertical="center"/>
    </xf>
    <xf numFmtId="0" fontId="4" fillId="0" borderId="21" xfId="0" applyNumberFormat="1" applyFont="1" applyBorder="1" applyAlignment="1">
      <alignment horizontal="right" vertical="center"/>
    </xf>
    <xf numFmtId="0" fontId="6" fillId="0" borderId="5" xfId="0" applyNumberFormat="1" applyFont="1" applyFill="1" applyBorder="1">
      <alignment vertical="center"/>
    </xf>
    <xf numFmtId="0" fontId="4" fillId="0" borderId="5" xfId="0" applyNumberFormat="1" applyFont="1" applyFill="1" applyBorder="1" applyAlignment="1">
      <alignment horizontal="left" vertical="center"/>
    </xf>
    <xf numFmtId="0" fontId="20" fillId="0" borderId="5" xfId="0" applyNumberFormat="1" applyFont="1" applyFill="1" applyBorder="1" applyAlignment="1">
      <alignment horizontal="center" vertical="center" wrapText="1"/>
    </xf>
    <xf numFmtId="0" fontId="4" fillId="0" borderId="5" xfId="0" applyNumberFormat="1" applyFont="1" applyBorder="1" applyAlignment="1">
      <alignment horizontal="left" vertical="center" wrapText="1"/>
    </xf>
    <xf numFmtId="0" fontId="46" fillId="0" borderId="22" xfId="0" applyNumberFormat="1" applyFont="1" applyBorder="1">
      <alignment vertical="center"/>
    </xf>
    <xf numFmtId="0" fontId="4" fillId="0" borderId="22" xfId="0" applyNumberFormat="1" applyFont="1" applyBorder="1" applyAlignment="1">
      <alignment horizontal="right" vertical="center" wrapText="1"/>
    </xf>
    <xf numFmtId="0" fontId="4" fillId="0" borderId="31" xfId="0" applyNumberFormat="1" applyFont="1" applyBorder="1">
      <alignment vertical="center"/>
    </xf>
    <xf numFmtId="0" fontId="4" fillId="0" borderId="21" xfId="0" applyNumberFormat="1" applyFont="1" applyFill="1" applyBorder="1" applyAlignment="1">
      <alignment horizontal="left" vertical="center"/>
    </xf>
    <xf numFmtId="0" fontId="25" fillId="0" borderId="5" xfId="0" applyNumberFormat="1" applyFont="1" applyFill="1" applyBorder="1">
      <alignment vertical="center"/>
    </xf>
    <xf numFmtId="0" fontId="20" fillId="0" borderId="5" xfId="0" applyNumberFormat="1" applyFont="1" applyFill="1" applyBorder="1" applyAlignment="1">
      <alignment horizontal="left" vertical="center" wrapText="1"/>
    </xf>
    <xf numFmtId="0" fontId="20" fillId="0" borderId="5" xfId="0" applyNumberFormat="1" applyFont="1" applyFill="1" applyBorder="1" applyAlignment="1">
      <alignment horizontal="left" vertical="top" wrapText="1"/>
    </xf>
    <xf numFmtId="0" fontId="4" fillId="0" borderId="5" xfId="4" applyNumberFormat="1" applyFont="1" applyFill="1" applyBorder="1" applyAlignment="1">
      <alignment horizontal="right" vertical="center"/>
    </xf>
    <xf numFmtId="0" fontId="4" fillId="0" borderId="21" xfId="0" applyNumberFormat="1" applyFont="1" applyBorder="1" applyAlignment="1">
      <alignment horizontal="left" vertical="center"/>
    </xf>
    <xf numFmtId="0" fontId="6" fillId="0" borderId="35" xfId="0" applyNumberFormat="1" applyFont="1" applyBorder="1" applyAlignment="1">
      <alignment horizontal="left" vertical="center"/>
    </xf>
    <xf numFmtId="0" fontId="6" fillId="0" borderId="22" xfId="0" applyNumberFormat="1" applyFont="1" applyFill="1" applyBorder="1">
      <alignment vertical="center"/>
    </xf>
    <xf numFmtId="0" fontId="4" fillId="0" borderId="22" xfId="0" applyNumberFormat="1" applyFont="1" applyBorder="1">
      <alignment vertical="center"/>
    </xf>
    <xf numFmtId="0" fontId="4" fillId="9" borderId="22" xfId="0" applyNumberFormat="1" applyFont="1" applyFill="1" applyBorder="1" applyAlignment="1">
      <alignment horizontal="center" vertical="center"/>
    </xf>
    <xf numFmtId="0" fontId="4" fillId="0" borderId="22" xfId="0" applyNumberFormat="1" applyFont="1" applyFill="1" applyBorder="1" applyAlignment="1">
      <alignment vertical="center"/>
    </xf>
    <xf numFmtId="0" fontId="4" fillId="0" borderId="22" xfId="4" applyNumberFormat="1" applyFont="1" applyBorder="1">
      <alignment vertical="center"/>
    </xf>
    <xf numFmtId="0" fontId="20" fillId="0" borderId="5" xfId="0" applyNumberFormat="1" applyFont="1" applyBorder="1" applyAlignment="1">
      <alignment horizontal="center" vertical="top" wrapText="1"/>
    </xf>
    <xf numFmtId="0" fontId="6" fillId="0" borderId="31" xfId="0" applyNumberFormat="1" applyFont="1" applyBorder="1" applyAlignment="1">
      <alignment horizontal="left" vertical="center"/>
    </xf>
    <xf numFmtId="0" fontId="5" fillId="0" borderId="5" xfId="0" applyNumberFormat="1" applyFont="1" applyBorder="1" applyAlignment="1">
      <alignment vertical="center" wrapText="1"/>
    </xf>
    <xf numFmtId="0" fontId="6" fillId="0" borderId="5" xfId="0" applyNumberFormat="1" applyFont="1" applyBorder="1">
      <alignment vertical="center"/>
    </xf>
    <xf numFmtId="0" fontId="6" fillId="0" borderId="5" xfId="0" applyNumberFormat="1" applyFont="1" applyBorder="1" applyAlignment="1">
      <alignment vertical="top"/>
    </xf>
    <xf numFmtId="0" fontId="6" fillId="8" borderId="5" xfId="0" applyNumberFormat="1" applyFont="1" applyFill="1" applyBorder="1">
      <alignment vertical="center"/>
    </xf>
    <xf numFmtId="0" fontId="25" fillId="0" borderId="5" xfId="0" applyNumberFormat="1" applyFont="1" applyBorder="1" applyAlignment="1">
      <alignment horizontal="right" vertical="center"/>
    </xf>
    <xf numFmtId="0" fontId="6" fillId="0" borderId="5" xfId="0" applyNumberFormat="1" applyFont="1" applyBorder="1" applyAlignment="1">
      <alignment horizontal="center" vertical="center"/>
    </xf>
    <xf numFmtId="0" fontId="6" fillId="9" borderId="5" xfId="0" applyNumberFormat="1" applyFont="1" applyFill="1" applyBorder="1" applyAlignment="1">
      <alignment horizontal="center" vertical="center"/>
    </xf>
    <xf numFmtId="0" fontId="6" fillId="0" borderId="5" xfId="0" applyNumberFormat="1" applyFont="1" applyBorder="1" applyAlignment="1">
      <alignment horizontal="right" vertical="center" wrapText="1"/>
    </xf>
    <xf numFmtId="0" fontId="4" fillId="0" borderId="5" xfId="0" applyNumberFormat="1" applyFont="1" applyFill="1" applyBorder="1" applyAlignment="1">
      <alignment horizontal="right" vertical="center" wrapText="1"/>
    </xf>
    <xf numFmtId="0" fontId="25" fillId="21" borderId="5" xfId="4" applyNumberFormat="1" applyFont="1" applyFill="1" applyBorder="1">
      <alignment vertical="center"/>
    </xf>
    <xf numFmtId="0" fontId="5" fillId="0" borderId="0" xfId="0" applyNumberFormat="1" applyFont="1" applyAlignment="1">
      <alignment vertical="top"/>
    </xf>
    <xf numFmtId="0" fontId="5" fillId="0" borderId="0" xfId="0" applyNumberFormat="1" applyFont="1" applyAlignment="1">
      <alignment horizontal="left" vertical="center"/>
    </xf>
    <xf numFmtId="0" fontId="4" fillId="8" borderId="5" xfId="0" applyNumberFormat="1" applyFont="1" applyFill="1" applyBorder="1">
      <alignment vertical="center"/>
    </xf>
    <xf numFmtId="0" fontId="46" fillId="0" borderId="0" xfId="0" applyNumberFormat="1" applyFont="1" applyAlignment="1">
      <alignment horizontal="right" vertical="center"/>
    </xf>
    <xf numFmtId="0" fontId="5" fillId="0" borderId="0" xfId="0" applyNumberFormat="1" applyFont="1" applyAlignment="1">
      <alignment horizontal="center" vertical="center"/>
    </xf>
    <xf numFmtId="0" fontId="5" fillId="0" borderId="0" xfId="0" applyNumberFormat="1" applyFont="1" applyAlignment="1">
      <alignment horizontal="right" vertical="center" wrapText="1"/>
    </xf>
    <xf numFmtId="0" fontId="5" fillId="0" borderId="0" xfId="0" applyNumberFormat="1" applyFont="1" applyAlignment="1">
      <alignment horizontal="right" vertical="center"/>
    </xf>
    <xf numFmtId="0" fontId="4" fillId="0" borderId="0" xfId="4" applyNumberFormat="1" applyFont="1">
      <alignment vertical="center"/>
    </xf>
    <xf numFmtId="0" fontId="5" fillId="0" borderId="0" xfId="0" applyNumberFormat="1" applyFont="1" applyAlignment="1">
      <alignment horizontal="right" vertical="top"/>
    </xf>
    <xf numFmtId="0" fontId="5" fillId="0" borderId="0" xfId="0" applyNumberFormat="1" applyFont="1" applyFill="1">
      <alignment vertical="center"/>
    </xf>
    <xf numFmtId="0" fontId="5" fillId="0" borderId="0" xfId="0" applyNumberFormat="1" applyFont="1" applyAlignment="1">
      <alignment vertical="center" wrapText="1"/>
    </xf>
    <xf numFmtId="0" fontId="9" fillId="0" borderId="0" xfId="2" applyNumberFormat="1" applyAlignment="1">
      <alignment horizontal="left" vertical="center"/>
    </xf>
    <xf numFmtId="0" fontId="9" fillId="0" borderId="0" xfId="2" applyNumberFormat="1" applyFill="1" applyAlignment="1">
      <alignment vertical="top" wrapText="1"/>
    </xf>
    <xf numFmtId="0" fontId="8" fillId="0" borderId="42" xfId="0" applyNumberFormat="1" applyFont="1" applyFill="1" applyBorder="1" applyAlignment="1">
      <alignment vertical="center"/>
    </xf>
    <xf numFmtId="0" fontId="8" fillId="0" borderId="0" xfId="0" applyNumberFormat="1" applyFont="1" applyFill="1" applyBorder="1" applyAlignment="1">
      <alignment horizontal="center" vertical="top" wrapText="1"/>
    </xf>
    <xf numFmtId="0" fontId="8" fillId="0" borderId="33" xfId="0" applyNumberFormat="1" applyFont="1" applyFill="1" applyBorder="1" applyAlignment="1">
      <alignment vertical="center"/>
    </xf>
    <xf numFmtId="0" fontId="8" fillId="0" borderId="34" xfId="0" applyNumberFormat="1" applyFont="1" applyFill="1" applyBorder="1" applyAlignment="1">
      <alignment vertical="center"/>
    </xf>
    <xf numFmtId="0" fontId="25" fillId="0" borderId="0" xfId="0" applyNumberFormat="1" applyFont="1" applyFill="1" applyBorder="1" applyAlignment="1">
      <alignment horizontal="center" vertical="top"/>
    </xf>
    <xf numFmtId="0" fontId="8" fillId="0" borderId="0" xfId="0" applyNumberFormat="1" applyFont="1" applyFill="1" applyBorder="1" applyAlignment="1">
      <alignment horizontal="left" vertical="top"/>
    </xf>
    <xf numFmtId="0" fontId="48" fillId="0" borderId="0" xfId="0" applyNumberFormat="1" applyFont="1" applyAlignment="1">
      <alignment vertical="top"/>
    </xf>
    <xf numFmtId="0" fontId="5" fillId="0" borderId="0" xfId="0" applyNumberFormat="1" applyFont="1" applyAlignment="1">
      <alignment horizontal="left" vertical="top"/>
    </xf>
    <xf numFmtId="0" fontId="5" fillId="0" borderId="0" xfId="0" applyNumberFormat="1" applyFont="1" applyAlignment="1">
      <alignment horizontal="center" vertical="top"/>
    </xf>
    <xf numFmtId="0" fontId="4" fillId="0" borderId="0" xfId="0" applyNumberFormat="1" applyFont="1" applyAlignment="1">
      <alignment vertical="top"/>
    </xf>
    <xf numFmtId="0" fontId="5" fillId="0" borderId="0" xfId="0" applyNumberFormat="1" applyFont="1" applyFill="1" applyAlignment="1">
      <alignment horizontal="left" vertical="top"/>
    </xf>
    <xf numFmtId="0" fontId="5" fillId="0" borderId="0" xfId="0" applyNumberFormat="1" applyFont="1" applyFill="1" applyAlignment="1">
      <alignment horizontal="center" vertical="top"/>
    </xf>
    <xf numFmtId="0" fontId="4" fillId="0" borderId="0" xfId="0" applyNumberFormat="1" applyFont="1" applyFill="1" applyAlignment="1">
      <alignment vertical="top"/>
    </xf>
    <xf numFmtId="0" fontId="5" fillId="0" borderId="0" xfId="0" applyNumberFormat="1" applyFont="1" applyFill="1" applyAlignment="1">
      <alignment vertical="top"/>
    </xf>
    <xf numFmtId="0" fontId="5" fillId="0" borderId="0" xfId="4" applyNumberFormat="1" applyFont="1" applyAlignment="1">
      <alignment vertical="top"/>
    </xf>
    <xf numFmtId="0" fontId="8" fillId="0" borderId="36" xfId="0" applyNumberFormat="1" applyFont="1" applyFill="1" applyBorder="1" applyAlignment="1">
      <alignment horizontal="center" vertical="top"/>
    </xf>
    <xf numFmtId="0" fontId="5" fillId="0" borderId="0" xfId="0" applyNumberFormat="1" applyFont="1" applyBorder="1" applyAlignment="1">
      <alignment horizontal="left" vertical="center"/>
    </xf>
    <xf numFmtId="0" fontId="5" fillId="0" borderId="0" xfId="0" applyNumberFormat="1" applyFont="1" applyFill="1" applyAlignment="1">
      <alignment vertical="top" wrapText="1"/>
    </xf>
    <xf numFmtId="0" fontId="7" fillId="2" borderId="5" xfId="0" applyNumberFormat="1" applyFont="1" applyFill="1" applyBorder="1" applyAlignment="1">
      <alignment horizontal="center" vertical="center" wrapText="1"/>
    </xf>
    <xf numFmtId="0" fontId="7" fillId="2" borderId="0" xfId="0" applyNumberFormat="1" applyFont="1" applyFill="1" applyBorder="1" applyAlignment="1">
      <alignment horizontal="center" vertical="center" wrapText="1"/>
    </xf>
    <xf numFmtId="0" fontId="48" fillId="2" borderId="0" xfId="0" applyNumberFormat="1" applyFont="1" applyFill="1" applyAlignment="1">
      <alignment vertical="top"/>
    </xf>
    <xf numFmtId="0" fontId="7" fillId="2" borderId="35" xfId="0" applyNumberFormat="1" applyFont="1" applyFill="1" applyBorder="1" applyAlignment="1">
      <alignment horizontal="center" vertical="center" wrapText="1"/>
    </xf>
    <xf numFmtId="0" fontId="7" fillId="2" borderId="22" xfId="0" applyNumberFormat="1" applyFont="1" applyFill="1" applyBorder="1" applyAlignment="1">
      <alignment horizontal="center" vertical="center"/>
    </xf>
    <xf numFmtId="0" fontId="7" fillId="2" borderId="0" xfId="0" applyNumberFormat="1" applyFont="1" applyFill="1" applyAlignment="1">
      <alignment horizontal="center" vertical="center"/>
    </xf>
    <xf numFmtId="0" fontId="7" fillId="2" borderId="19" xfId="0" applyNumberFormat="1" applyFont="1" applyFill="1" applyBorder="1" applyAlignment="1">
      <alignment horizontal="center" vertical="center"/>
    </xf>
    <xf numFmtId="0" fontId="48" fillId="2" borderId="19" xfId="0" applyNumberFormat="1" applyFont="1" applyFill="1" applyBorder="1" applyAlignment="1">
      <alignment vertical="center"/>
    </xf>
    <xf numFmtId="0" fontId="7" fillId="2" borderId="5" xfId="0" applyNumberFormat="1" applyFont="1" applyFill="1" applyBorder="1" applyAlignment="1">
      <alignment horizontal="left" vertical="center" wrapText="1"/>
    </xf>
    <xf numFmtId="0" fontId="68" fillId="2" borderId="5" xfId="0" applyNumberFormat="1" applyFont="1" applyFill="1" applyBorder="1" applyAlignment="1">
      <alignment horizontal="center" vertical="center" wrapText="1"/>
    </xf>
    <xf numFmtId="0" fontId="5" fillId="0" borderId="0" xfId="0" applyNumberFormat="1" applyFont="1" applyFill="1" applyAlignment="1">
      <alignment vertical="center"/>
    </xf>
    <xf numFmtId="0" fontId="5" fillId="0" borderId="0" xfId="0" applyNumberFormat="1" applyFont="1" applyAlignment="1">
      <alignment vertical="center"/>
    </xf>
    <xf numFmtId="0" fontId="6" fillId="0" borderId="5" xfId="0" applyNumberFormat="1" applyFont="1" applyFill="1" applyBorder="1" applyAlignment="1">
      <alignment vertical="top" wrapText="1"/>
    </xf>
    <xf numFmtId="0" fontId="46" fillId="0" borderId="5" xfId="0" applyNumberFormat="1" applyFont="1" applyFill="1" applyBorder="1" applyAlignment="1">
      <alignment horizontal="right" vertical="top"/>
    </xf>
    <xf numFmtId="0" fontId="4" fillId="0" borderId="5" xfId="0" applyNumberFormat="1" applyFont="1" applyFill="1" applyBorder="1" applyAlignment="1">
      <alignment horizontal="center" vertical="top"/>
    </xf>
    <xf numFmtId="0" fontId="4" fillId="0" borderId="5" xfId="0" applyNumberFormat="1" applyFont="1" applyFill="1" applyBorder="1" applyAlignment="1">
      <alignment horizontal="left" vertical="top"/>
    </xf>
    <xf numFmtId="0" fontId="4" fillId="9" borderId="5" xfId="0" applyNumberFormat="1" applyFont="1" applyFill="1" applyBorder="1" applyAlignment="1">
      <alignment horizontal="center" vertical="top"/>
    </xf>
    <xf numFmtId="0" fontId="4" fillId="0" borderId="5" xfId="0" applyNumberFormat="1" applyFont="1" applyBorder="1" applyAlignment="1">
      <alignment horizontal="left" vertical="top"/>
    </xf>
    <xf numFmtId="0" fontId="4" fillId="20" borderId="5" xfId="0" applyNumberFormat="1" applyFont="1" applyFill="1" applyBorder="1" applyAlignment="1">
      <alignment vertical="top"/>
    </xf>
    <xf numFmtId="0" fontId="4" fillId="0" borderId="5" xfId="0" applyNumberFormat="1" applyFont="1" applyFill="1" applyBorder="1" applyAlignment="1">
      <alignment horizontal="right" vertical="top"/>
    </xf>
    <xf numFmtId="0" fontId="4" fillId="0" borderId="5" xfId="0" applyNumberFormat="1" applyFont="1" applyFill="1" applyBorder="1" applyAlignment="1">
      <alignment horizontal="left" vertical="top" wrapText="1"/>
    </xf>
    <xf numFmtId="0" fontId="46" fillId="0" borderId="5" xfId="0" applyNumberFormat="1" applyFont="1" applyBorder="1" applyAlignment="1">
      <alignment vertical="top"/>
    </xf>
    <xf numFmtId="0" fontId="5" fillId="0" borderId="5" xfId="0" applyNumberFormat="1" applyFont="1" applyBorder="1" applyAlignment="1">
      <alignment horizontal="center" vertical="top"/>
    </xf>
    <xf numFmtId="0" fontId="5" fillId="0" borderId="5" xfId="0" applyNumberFormat="1" applyFont="1" applyBorder="1" applyAlignment="1">
      <alignment horizontal="left" vertical="top"/>
    </xf>
    <xf numFmtId="0" fontId="4" fillId="0" borderId="5" xfId="4" applyNumberFormat="1" applyFont="1" applyFill="1" applyBorder="1" applyAlignment="1">
      <alignment horizontal="center" vertical="top"/>
    </xf>
    <xf numFmtId="0" fontId="4" fillId="0" borderId="5" xfId="0" quotePrefix="1" applyNumberFormat="1" applyFont="1" applyFill="1" applyBorder="1" applyAlignment="1">
      <alignment horizontal="center" vertical="top"/>
    </xf>
    <xf numFmtId="0" fontId="4" fillId="0" borderId="0" xfId="0" applyNumberFormat="1" applyFont="1" applyBorder="1" applyAlignment="1">
      <alignment vertical="top"/>
    </xf>
    <xf numFmtId="0" fontId="20" fillId="0" borderId="5" xfId="0" applyNumberFormat="1" applyFont="1" applyFill="1" applyBorder="1" applyAlignment="1">
      <alignment horizontal="right" vertical="top"/>
    </xf>
    <xf numFmtId="0" fontId="4" fillId="0" borderId="5" xfId="0" applyNumberFormat="1" applyFont="1" applyBorder="1" applyAlignment="1">
      <alignment horizontal="center" vertical="top"/>
    </xf>
    <xf numFmtId="0" fontId="20" fillId="0" borderId="5" xfId="0" applyNumberFormat="1" applyFont="1" applyFill="1" applyBorder="1" applyAlignment="1">
      <alignment vertical="top"/>
    </xf>
    <xf numFmtId="0" fontId="20" fillId="0" borderId="5" xfId="0" applyNumberFormat="1" applyFont="1" applyFill="1" applyBorder="1" applyAlignment="1">
      <alignment vertical="top" wrapText="1"/>
    </xf>
    <xf numFmtId="0" fontId="6" fillId="0" borderId="5" xfId="0" applyNumberFormat="1" applyFont="1" applyFill="1" applyBorder="1" applyAlignment="1">
      <alignment vertical="center"/>
    </xf>
    <xf numFmtId="0" fontId="48" fillId="8" borderId="5" xfId="0" applyNumberFormat="1" applyFont="1" applyFill="1" applyBorder="1" applyAlignment="1">
      <alignment horizontal="left" vertical="top"/>
    </xf>
    <xf numFmtId="0" fontId="4" fillId="0" borderId="0" xfId="0" applyNumberFormat="1" applyFont="1" applyAlignment="1">
      <alignment vertical="center"/>
    </xf>
    <xf numFmtId="0" fontId="46" fillId="0" borderId="5" xfId="0" applyNumberFormat="1" applyFont="1" applyFill="1" applyBorder="1" applyAlignment="1">
      <alignment vertical="top"/>
    </xf>
    <xf numFmtId="0" fontId="5" fillId="0" borderId="5" xfId="0" applyNumberFormat="1" applyFont="1" applyFill="1" applyBorder="1" applyAlignment="1">
      <alignment horizontal="center" vertical="top"/>
    </xf>
    <xf numFmtId="0" fontId="5" fillId="0" borderId="5" xfId="0" applyNumberFormat="1" applyFont="1" applyFill="1" applyBorder="1" applyAlignment="1">
      <alignment horizontal="left" vertical="top"/>
    </xf>
    <xf numFmtId="0" fontId="46" fillId="0" borderId="5" xfId="0" applyNumberFormat="1" applyFont="1" applyFill="1" applyBorder="1" applyAlignment="1">
      <alignment horizontal="left" vertical="center"/>
    </xf>
    <xf numFmtId="0" fontId="46" fillId="0" borderId="5" xfId="0" applyNumberFormat="1" applyFont="1" applyFill="1" applyBorder="1" applyAlignment="1">
      <alignment horizontal="left" vertical="top"/>
    </xf>
    <xf numFmtId="0" fontId="4" fillId="6" borderId="5" xfId="0" applyNumberFormat="1" applyFont="1" applyFill="1" applyBorder="1" applyAlignment="1">
      <alignment horizontal="center" vertical="top"/>
    </xf>
    <xf numFmtId="0" fontId="36" fillId="0" borderId="5" xfId="6" applyNumberFormat="1" applyFont="1" applyFill="1" applyBorder="1" applyAlignment="1">
      <alignment horizontal="left" vertical="top"/>
    </xf>
    <xf numFmtId="0" fontId="36" fillId="0" borderId="5" xfId="6" applyNumberFormat="1" applyFont="1" applyFill="1" applyBorder="1" applyAlignment="1">
      <alignment horizontal="left" vertical="top" wrapText="1"/>
    </xf>
    <xf numFmtId="0" fontId="6" fillId="0" borderId="5" xfId="0" applyNumberFormat="1" applyFont="1" applyFill="1" applyBorder="1" applyAlignment="1">
      <alignment vertical="top"/>
    </xf>
    <xf numFmtId="0" fontId="65" fillId="0" borderId="5" xfId="0" applyNumberFormat="1" applyFont="1" applyBorder="1" applyAlignment="1">
      <alignment horizontal="center" vertical="top"/>
    </xf>
    <xf numFmtId="0" fontId="46" fillId="0" borderId="5" xfId="0" applyNumberFormat="1" applyFont="1" applyBorder="1" applyAlignment="1">
      <alignment horizontal="right" vertical="top"/>
    </xf>
    <xf numFmtId="0" fontId="4" fillId="0" borderId="5" xfId="0" applyNumberFormat="1" applyFont="1" applyBorder="1" applyAlignment="1">
      <alignment horizontal="right" vertical="top"/>
    </xf>
    <xf numFmtId="0" fontId="4" fillId="0" borderId="5" xfId="4" applyNumberFormat="1" applyFont="1" applyBorder="1" applyAlignment="1">
      <alignment horizontal="left" vertical="top"/>
    </xf>
    <xf numFmtId="0" fontId="4" fillId="0" borderId="5" xfId="4" applyNumberFormat="1" applyFont="1" applyFill="1" applyBorder="1" applyAlignment="1">
      <alignment horizontal="left" vertical="top"/>
    </xf>
    <xf numFmtId="0" fontId="52" fillId="0" borderId="5" xfId="0" applyNumberFormat="1" applyFont="1" applyBorder="1" applyAlignment="1">
      <alignment horizontal="center" vertical="top"/>
    </xf>
    <xf numFmtId="0" fontId="52" fillId="0" borderId="5" xfId="0" applyNumberFormat="1" applyFont="1" applyBorder="1" applyAlignment="1">
      <alignment horizontal="left" vertical="top"/>
    </xf>
    <xf numFmtId="0" fontId="50" fillId="13" borderId="5" xfId="0" applyNumberFormat="1" applyFont="1" applyFill="1" applyBorder="1" applyAlignment="1">
      <alignment horizontal="center" vertical="top"/>
    </xf>
    <xf numFmtId="0" fontId="4" fillId="0" borderId="5" xfId="0" applyNumberFormat="1" applyFont="1" applyBorder="1" applyAlignment="1">
      <alignment vertical="top"/>
    </xf>
    <xf numFmtId="0" fontId="4" fillId="0" borderId="5" xfId="0" applyNumberFormat="1" applyFont="1" applyBorder="1" applyAlignment="1">
      <alignment vertical="top" wrapText="1"/>
    </xf>
    <xf numFmtId="0" fontId="4" fillId="8" borderId="5" xfId="0" applyNumberFormat="1" applyFont="1" applyFill="1" applyBorder="1" applyAlignment="1">
      <alignment horizontal="left" vertical="top"/>
    </xf>
    <xf numFmtId="0" fontId="4" fillId="0" borderId="5" xfId="0" applyNumberFormat="1" applyFont="1" applyBorder="1" applyAlignment="1">
      <alignment horizontal="right" vertical="top" wrapText="1"/>
    </xf>
    <xf numFmtId="0" fontId="50" fillId="0" borderId="5" xfId="0" applyNumberFormat="1" applyFont="1" applyFill="1" applyBorder="1" applyAlignment="1">
      <alignment horizontal="left" vertical="center"/>
    </xf>
    <xf numFmtId="0" fontId="6" fillId="0" borderId="12" xfId="0" applyNumberFormat="1" applyFont="1" applyFill="1" applyBorder="1" applyAlignment="1">
      <alignment vertical="top"/>
    </xf>
    <xf numFmtId="0" fontId="6" fillId="0" borderId="12" xfId="0" applyNumberFormat="1" applyFont="1" applyFill="1" applyBorder="1" applyAlignment="1">
      <alignment vertical="top" wrapText="1"/>
    </xf>
    <xf numFmtId="0" fontId="6" fillId="0" borderId="27" xfId="0" applyNumberFormat="1" applyFont="1" applyFill="1" applyBorder="1" applyAlignment="1">
      <alignment horizontal="left" vertical="center"/>
    </xf>
    <xf numFmtId="0" fontId="6" fillId="8" borderId="5" xfId="0" applyNumberFormat="1" applyFont="1" applyFill="1" applyBorder="1" applyAlignment="1">
      <alignment vertical="top" wrapText="1"/>
    </xf>
    <xf numFmtId="0" fontId="6" fillId="0" borderId="29" xfId="0" applyNumberFormat="1" applyFont="1" applyFill="1" applyBorder="1" applyAlignment="1">
      <alignment vertical="top"/>
    </xf>
    <xf numFmtId="0" fontId="6" fillId="0" borderId="12" xfId="0" applyNumberFormat="1" applyFont="1" applyFill="1" applyBorder="1" applyAlignment="1">
      <alignment horizontal="center" vertical="top"/>
    </xf>
    <xf numFmtId="0" fontId="6" fillId="0" borderId="12" xfId="0" applyNumberFormat="1" applyFont="1" applyFill="1" applyBorder="1" applyAlignment="1">
      <alignment horizontal="left" vertical="top"/>
    </xf>
    <xf numFmtId="0" fontId="6" fillId="9" borderId="12" xfId="0" applyNumberFormat="1" applyFont="1" applyFill="1" applyBorder="1" applyAlignment="1">
      <alignment vertical="top"/>
    </xf>
    <xf numFmtId="0" fontId="6" fillId="0" borderId="5" xfId="0" applyNumberFormat="1" applyFont="1" applyFill="1" applyBorder="1" applyAlignment="1">
      <alignment horizontal="left" vertical="top"/>
    </xf>
    <xf numFmtId="0" fontId="6" fillId="0" borderId="5" xfId="0" applyNumberFormat="1" applyFont="1" applyFill="1" applyBorder="1" applyAlignment="1">
      <alignment horizontal="center" vertical="top"/>
    </xf>
    <xf numFmtId="0" fontId="6" fillId="0" borderId="0" xfId="0" applyNumberFormat="1" applyFont="1" applyFill="1" applyBorder="1" applyAlignment="1">
      <alignment horizontal="center" vertical="top"/>
    </xf>
    <xf numFmtId="0" fontId="6" fillId="0" borderId="0" xfId="0" applyNumberFormat="1" applyFont="1" applyFill="1">
      <alignment vertical="center"/>
    </xf>
    <xf numFmtId="0" fontId="6" fillId="0" borderId="0" xfId="0" applyNumberFormat="1" applyFont="1" applyFill="1" applyAlignment="1">
      <alignment vertical="top"/>
    </xf>
    <xf numFmtId="0" fontId="4" fillId="0" borderId="0" xfId="0" applyNumberFormat="1" applyFont="1" applyAlignment="1">
      <alignment horizontal="right" vertical="top"/>
    </xf>
    <xf numFmtId="0" fontId="4" fillId="0" borderId="0" xfId="0" applyNumberFormat="1" applyFont="1" applyAlignment="1">
      <alignment horizontal="right" vertical="top" wrapText="1"/>
    </xf>
    <xf numFmtId="0" fontId="4" fillId="0" borderId="0" xfId="0" applyNumberFormat="1" applyFont="1" applyBorder="1" applyAlignment="1">
      <alignment horizontal="left" vertical="center"/>
    </xf>
    <xf numFmtId="0" fontId="4" fillId="0" borderId="0" xfId="0" applyNumberFormat="1" applyFont="1" applyAlignment="1">
      <alignment horizontal="center" vertical="top"/>
    </xf>
    <xf numFmtId="0" fontId="4" fillId="0" borderId="0" xfId="0" applyNumberFormat="1" applyFont="1" applyAlignment="1">
      <alignment horizontal="left" vertical="top"/>
    </xf>
    <xf numFmtId="0" fontId="4" fillId="8" borderId="22" xfId="0" applyNumberFormat="1" applyFont="1" applyFill="1" applyBorder="1" applyAlignment="1">
      <alignment horizontal="left" vertical="top"/>
    </xf>
    <xf numFmtId="0" fontId="4" fillId="0" borderId="0" xfId="0" applyNumberFormat="1" applyFont="1" applyFill="1" applyAlignment="1">
      <alignment horizontal="left" vertical="top"/>
    </xf>
    <xf numFmtId="0" fontId="4" fillId="0" borderId="0" xfId="0" applyNumberFormat="1" applyFont="1" applyFill="1" applyAlignment="1">
      <alignment horizontal="center" vertical="top"/>
    </xf>
    <xf numFmtId="0" fontId="4" fillId="0" borderId="0" xfId="4" applyNumberFormat="1" applyFont="1" applyAlignment="1">
      <alignment horizontal="left" vertical="top"/>
    </xf>
    <xf numFmtId="0" fontId="4" fillId="0" borderId="0" xfId="4" applyNumberFormat="1" applyFont="1" applyAlignment="1">
      <alignment horizontal="center" vertical="top"/>
    </xf>
    <xf numFmtId="0" fontId="4" fillId="0" borderId="0" xfId="0" applyNumberFormat="1" applyFont="1" applyFill="1" applyBorder="1" applyAlignment="1">
      <alignment horizontal="left" vertical="top"/>
    </xf>
    <xf numFmtId="0" fontId="69" fillId="8" borderId="5" xfId="4" applyNumberFormat="1" applyFont="1" applyFill="1" applyBorder="1" applyAlignment="1">
      <alignment vertical="top"/>
    </xf>
    <xf numFmtId="0" fontId="4" fillId="0" borderId="0" xfId="4" applyNumberFormat="1" applyFont="1" applyAlignment="1">
      <alignment horizontal="right" vertical="top"/>
    </xf>
    <xf numFmtId="0" fontId="60" fillId="0" borderId="0" xfId="0" applyNumberFormat="1" applyFont="1" applyAlignment="1">
      <alignment vertical="top"/>
    </xf>
    <xf numFmtId="0" fontId="4" fillId="20" borderId="5" xfId="0" applyNumberFormat="1" applyFont="1" applyFill="1" applyBorder="1" applyAlignment="1">
      <alignment horizontal="left" vertical="top"/>
    </xf>
    <xf numFmtId="0" fontId="60" fillId="0" borderId="5" xfId="4" applyNumberFormat="1" applyFont="1" applyBorder="1" applyAlignment="1">
      <alignment horizontal="center" vertical="top"/>
    </xf>
    <xf numFmtId="0" fontId="60" fillId="0" borderId="5" xfId="4" applyNumberFormat="1" applyFont="1" applyFill="1" applyBorder="1" applyAlignment="1">
      <alignment horizontal="center" vertical="top"/>
    </xf>
    <xf numFmtId="0" fontId="4" fillId="0" borderId="0" xfId="4" applyNumberFormat="1" applyFont="1" applyFill="1" applyAlignment="1">
      <alignment vertical="top"/>
    </xf>
    <xf numFmtId="0" fontId="60" fillId="0" borderId="0" xfId="0" applyNumberFormat="1" applyFont="1" applyAlignment="1">
      <alignment horizontal="right" vertical="top"/>
    </xf>
    <xf numFmtId="0" fontId="60" fillId="0" borderId="0" xfId="0" applyNumberFormat="1" applyFont="1" applyAlignment="1">
      <alignment horizontal="right" vertical="top" wrapText="1"/>
    </xf>
    <xf numFmtId="0" fontId="60" fillId="0" borderId="0" xfId="4" applyNumberFormat="1" applyFont="1" applyBorder="1" applyAlignment="1">
      <alignment horizontal="left" vertical="center"/>
    </xf>
    <xf numFmtId="0" fontId="6" fillId="8" borderId="5" xfId="0" applyNumberFormat="1" applyFont="1" applyFill="1" applyBorder="1" applyAlignment="1">
      <alignment vertical="top"/>
    </xf>
    <xf numFmtId="0" fontId="60" fillId="0" borderId="0" xfId="0" applyNumberFormat="1" applyFont="1" applyAlignment="1">
      <alignment horizontal="center" vertical="top"/>
    </xf>
    <xf numFmtId="0" fontId="60" fillId="0" borderId="0" xfId="4" applyNumberFormat="1" applyFont="1" applyAlignment="1">
      <alignment horizontal="left" vertical="top"/>
    </xf>
    <xf numFmtId="0" fontId="60" fillId="0" borderId="0" xfId="4" applyNumberFormat="1" applyFont="1" applyAlignment="1">
      <alignment vertical="top"/>
    </xf>
    <xf numFmtId="0" fontId="4" fillId="0" borderId="5" xfId="4" applyNumberFormat="1" applyFont="1" applyBorder="1" applyAlignment="1">
      <alignment horizontal="center" vertical="top"/>
    </xf>
    <xf numFmtId="0" fontId="60" fillId="0" borderId="0" xfId="4" applyNumberFormat="1" applyFont="1" applyFill="1" applyAlignment="1">
      <alignment vertical="top"/>
    </xf>
    <xf numFmtId="0" fontId="60" fillId="0" borderId="0" xfId="4" applyNumberFormat="1" applyFont="1">
      <alignment vertical="center"/>
    </xf>
    <xf numFmtId="0" fontId="4" fillId="0" borderId="0" xfId="4" applyNumberFormat="1" applyFont="1" applyAlignment="1">
      <alignment vertical="top"/>
    </xf>
    <xf numFmtId="0" fontId="4" fillId="0" borderId="0" xfId="4" applyNumberFormat="1" applyFont="1" applyAlignment="1">
      <alignment horizontal="right" vertical="top" wrapText="1"/>
    </xf>
    <xf numFmtId="0" fontId="4" fillId="0" borderId="0" xfId="4" applyNumberFormat="1" applyFont="1" applyBorder="1" applyAlignment="1">
      <alignment horizontal="left" vertical="center"/>
    </xf>
    <xf numFmtId="0" fontId="4" fillId="9" borderId="0" xfId="0" applyNumberFormat="1" applyFont="1" applyFill="1" applyAlignment="1">
      <alignment horizontal="center" vertical="top"/>
    </xf>
    <xf numFmtId="0" fontId="4" fillId="0" borderId="0" xfId="0" applyNumberFormat="1" applyFont="1" applyAlignment="1">
      <alignment horizontal="left" vertical="center"/>
    </xf>
    <xf numFmtId="0" fontId="4" fillId="0" borderId="0" xfId="0" applyNumberFormat="1" applyFont="1" applyFill="1" applyAlignment="1">
      <alignment vertical="top" wrapText="1"/>
    </xf>
    <xf numFmtId="0" fontId="4" fillId="0" borderId="0" xfId="4" applyNumberFormat="1" applyFont="1" applyFill="1" applyAlignment="1">
      <alignment horizontal="left" vertical="top"/>
    </xf>
    <xf numFmtId="0" fontId="9" fillId="0" borderId="0" xfId="2" applyNumberFormat="1" applyFill="1" applyAlignment="1">
      <alignment vertical="top"/>
    </xf>
    <xf numFmtId="0" fontId="5" fillId="0" borderId="0" xfId="0" applyNumberFormat="1" applyFont="1" applyAlignment="1">
      <alignment horizontal="right" vertical="top" wrapText="1"/>
    </xf>
    <xf numFmtId="0" fontId="5" fillId="0" borderId="0" xfId="4" applyNumberFormat="1" applyFont="1" applyFill="1" applyAlignment="1">
      <alignment vertical="top"/>
    </xf>
    <xf numFmtId="10" fontId="6" fillId="0" borderId="5" xfId="0" applyNumberFormat="1" applyFont="1" applyBorder="1" applyAlignment="1">
      <alignment vertical="center"/>
    </xf>
    <xf numFmtId="10" fontId="6" fillId="0" borderId="0" xfId="0" applyNumberFormat="1" applyFont="1" applyBorder="1" applyAlignment="1">
      <alignment vertical="center"/>
    </xf>
    <xf numFmtId="10" fontId="6" fillId="0" borderId="0" xfId="0" applyNumberFormat="1" applyFont="1" applyAlignment="1">
      <alignment vertical="center"/>
    </xf>
    <xf numFmtId="10" fontId="4" fillId="0" borderId="5" xfId="0" applyNumberFormat="1" applyFont="1" applyFill="1" applyBorder="1" applyAlignment="1">
      <alignment horizontal="center" vertical="center"/>
    </xf>
    <xf numFmtId="10" fontId="4" fillId="0" borderId="0" xfId="0" applyNumberFormat="1" applyFont="1" applyFill="1" applyAlignment="1">
      <alignment vertical="top"/>
    </xf>
    <xf numFmtId="10" fontId="6" fillId="0" borderId="5" xfId="0" applyNumberFormat="1" applyFont="1" applyFill="1" applyBorder="1" applyAlignment="1">
      <alignment horizontal="center" vertical="top"/>
    </xf>
    <xf numFmtId="10" fontId="4" fillId="20" borderId="5" xfId="0" applyNumberFormat="1" applyFont="1" applyFill="1" applyBorder="1" applyAlignment="1">
      <alignment vertical="top"/>
    </xf>
    <xf numFmtId="10" fontId="4" fillId="0" borderId="0" xfId="0" applyNumberFormat="1" applyFont="1" applyFill="1" applyBorder="1" applyAlignment="1">
      <alignment vertical="top"/>
    </xf>
    <xf numFmtId="0" fontId="11" fillId="0" borderId="5" xfId="0" applyFont="1" applyFill="1" applyBorder="1" applyAlignment="1">
      <alignment horizontal="center" vertical="center" wrapText="1"/>
    </xf>
    <xf numFmtId="10" fontId="91" fillId="52" borderId="62" xfId="6" applyNumberFormat="1" applyFont="1" applyFill="1" applyBorder="1" applyAlignment="1">
      <alignment horizontal="center" vertical="center"/>
    </xf>
    <xf numFmtId="10" fontId="0" fillId="0" borderId="38" xfId="0" applyNumberFormat="1" applyFill="1" applyBorder="1" applyAlignment="1">
      <alignment horizontal="center" vertical="center"/>
    </xf>
    <xf numFmtId="10" fontId="0" fillId="5" borderId="38" xfId="0" applyNumberFormat="1" applyFill="1" applyBorder="1" applyAlignment="1">
      <alignment horizontal="center" vertical="center"/>
    </xf>
    <xf numFmtId="0" fontId="6" fillId="5" borderId="5" xfId="0" applyFont="1" applyFill="1" applyBorder="1" applyAlignment="1">
      <alignment horizontal="center" vertical="center" wrapText="1"/>
    </xf>
    <xf numFmtId="0" fontId="6" fillId="5" borderId="2" xfId="0" applyFont="1" applyFill="1" applyBorder="1" applyAlignment="1">
      <alignment horizontal="center" vertical="center" wrapText="1"/>
    </xf>
    <xf numFmtId="176" fontId="0" fillId="0" borderId="5" xfId="0" applyNumberFormat="1" applyBorder="1">
      <alignment vertical="center"/>
    </xf>
    <xf numFmtId="10" fontId="0" fillId="0" borderId="5" xfId="0" applyNumberFormat="1" applyBorder="1">
      <alignment vertical="center"/>
    </xf>
    <xf numFmtId="0" fontId="0" fillId="0" borderId="5" xfId="0" applyNumberFormat="1" applyBorder="1">
      <alignment vertical="center"/>
    </xf>
    <xf numFmtId="0" fontId="0" fillId="0" borderId="5" xfId="0" applyNumberFormat="1" applyBorder="1" applyAlignment="1">
      <alignment horizontal="left" vertical="center"/>
    </xf>
    <xf numFmtId="10" fontId="91" fillId="52" borderId="62" xfId="6" applyNumberFormat="1" applyFont="1" applyFill="1" applyBorder="1" applyAlignment="1">
      <alignment horizontal="center" vertical="center" wrapText="1"/>
    </xf>
    <xf numFmtId="10" fontId="0" fillId="0" borderId="5" xfId="0" applyNumberFormat="1" applyFill="1" applyBorder="1">
      <alignment vertical="center"/>
    </xf>
    <xf numFmtId="10" fontId="0" fillId="0" borderId="22" xfId="0" applyNumberFormat="1" applyFill="1" applyBorder="1">
      <alignment vertical="center"/>
    </xf>
    <xf numFmtId="10" fontId="0" fillId="0" borderId="10" xfId="0" applyNumberFormat="1" applyFill="1" applyBorder="1">
      <alignment vertical="center"/>
    </xf>
    <xf numFmtId="10" fontId="0" fillId="0" borderId="32" xfId="0" applyNumberFormat="1" applyFill="1" applyBorder="1">
      <alignment vertical="center"/>
    </xf>
    <xf numFmtId="10" fontId="0" fillId="0" borderId="12" xfId="0" applyNumberFormat="1" applyFill="1" applyBorder="1">
      <alignment vertical="center"/>
    </xf>
    <xf numFmtId="10" fontId="0" fillId="5" borderId="5" xfId="0" applyNumberFormat="1" applyFill="1" applyBorder="1">
      <alignment vertical="center"/>
    </xf>
    <xf numFmtId="10" fontId="0" fillId="5" borderId="2" xfId="0" applyNumberFormat="1" applyFill="1" applyBorder="1">
      <alignment vertical="center"/>
    </xf>
    <xf numFmtId="10" fontId="0" fillId="0" borderId="37" xfId="0" applyNumberFormat="1" applyFill="1" applyBorder="1">
      <alignment vertical="center"/>
    </xf>
    <xf numFmtId="43" fontId="0" fillId="0" borderId="65" xfId="4" applyFont="1" applyFill="1" applyBorder="1">
      <alignment vertical="center"/>
    </xf>
    <xf numFmtId="10" fontId="0" fillId="0" borderId="17" xfId="0" applyNumberFormat="1" applyFill="1" applyBorder="1">
      <alignment vertical="center"/>
    </xf>
    <xf numFmtId="43" fontId="0" fillId="0" borderId="66" xfId="4" applyFont="1" applyFill="1" applyBorder="1">
      <alignment vertical="center"/>
    </xf>
    <xf numFmtId="0" fontId="11" fillId="0" borderId="11" xfId="0" applyFont="1" applyFill="1" applyBorder="1" applyAlignment="1">
      <alignment horizontal="center" vertical="center" wrapText="1"/>
    </xf>
    <xf numFmtId="10" fontId="0" fillId="0" borderId="26" xfId="0" applyNumberFormat="1" applyFill="1" applyBorder="1">
      <alignment vertical="center"/>
    </xf>
    <xf numFmtId="43" fontId="0" fillId="0" borderId="64" xfId="4" applyFont="1" applyFill="1" applyBorder="1">
      <alignment vertical="center"/>
    </xf>
    <xf numFmtId="0" fontId="6" fillId="0" borderId="17" xfId="0" applyFont="1" applyFill="1" applyBorder="1" applyAlignment="1">
      <alignment horizontal="center" vertical="center"/>
    </xf>
    <xf numFmtId="43" fontId="0" fillId="5" borderId="2" xfId="4" applyFont="1" applyFill="1" applyBorder="1">
      <alignment vertical="center"/>
    </xf>
    <xf numFmtId="0" fontId="6" fillId="5" borderId="5" xfId="0" applyNumberFormat="1" applyFont="1" applyFill="1" applyBorder="1" applyAlignment="1">
      <alignment horizontal="center" vertical="center"/>
    </xf>
    <xf numFmtId="0" fontId="0" fillId="5" borderId="5" xfId="0" applyNumberFormat="1" applyFill="1" applyBorder="1">
      <alignment vertical="center"/>
    </xf>
    <xf numFmtId="0" fontId="6" fillId="5" borderId="2" xfId="0" applyNumberFormat="1" applyFont="1" applyFill="1" applyBorder="1" applyAlignment="1">
      <alignment horizontal="center" vertical="center"/>
    </xf>
    <xf numFmtId="0" fontId="11" fillId="0" borderId="57" xfId="0" applyFont="1" applyFill="1" applyBorder="1" applyAlignment="1">
      <alignment horizontal="center" vertical="center" wrapText="1"/>
    </xf>
    <xf numFmtId="0" fontId="6" fillId="0" borderId="26" xfId="0" applyFont="1" applyFill="1" applyBorder="1" applyAlignment="1">
      <alignment horizontal="center" vertical="center"/>
    </xf>
    <xf numFmtId="43" fontId="0" fillId="0" borderId="50" xfId="4" applyFont="1" applyFill="1" applyBorder="1">
      <alignment vertical="center"/>
    </xf>
    <xf numFmtId="0" fontId="0" fillId="0" borderId="0" xfId="0" applyNumberFormat="1">
      <alignment vertical="center"/>
    </xf>
    <xf numFmtId="10" fontId="0" fillId="0" borderId="0" xfId="0" applyNumberFormat="1" applyAlignment="1">
      <alignment horizontal="center" vertical="center"/>
    </xf>
    <xf numFmtId="10" fontId="0" fillId="0" borderId="5" xfId="0" applyNumberFormat="1" applyBorder="1" applyAlignment="1">
      <alignment horizontal="center" vertical="center"/>
    </xf>
    <xf numFmtId="0" fontId="0" fillId="0" borderId="12" xfId="0" applyNumberFormat="1" applyBorder="1">
      <alignment vertical="center"/>
    </xf>
    <xf numFmtId="10" fontId="91" fillId="52" borderId="0" xfId="6" applyNumberFormat="1" applyFont="1" applyFill="1" applyBorder="1" applyAlignment="1">
      <alignment horizontal="center" vertical="center"/>
    </xf>
    <xf numFmtId="10" fontId="13" fillId="0" borderId="5" xfId="0" applyNumberFormat="1" applyFont="1" applyBorder="1" applyAlignment="1">
      <alignment horizontal="center" vertical="center"/>
    </xf>
    <xf numFmtId="10" fontId="0" fillId="0" borderId="31" xfId="0" applyNumberFormat="1" applyBorder="1">
      <alignment vertical="center"/>
    </xf>
    <xf numFmtId="0" fontId="0" fillId="0" borderId="0" xfId="0" pivotButton="1" applyNumberFormat="1">
      <alignment vertical="center"/>
    </xf>
    <xf numFmtId="0" fontId="0" fillId="0" borderId="31" xfId="0" applyNumberFormat="1" applyBorder="1" applyAlignment="1">
      <alignment horizontal="left" vertical="center"/>
    </xf>
    <xf numFmtId="181" fontId="68" fillId="2" borderId="26" xfId="0" applyNumberFormat="1" applyFont="1" applyFill="1" applyBorder="1" applyAlignment="1">
      <alignment horizontal="center" vertical="center"/>
    </xf>
    <xf numFmtId="181" fontId="0" fillId="0" borderId="10" xfId="0" applyNumberFormat="1" applyBorder="1">
      <alignment vertical="center"/>
    </xf>
    <xf numFmtId="181" fontId="0" fillId="8" borderId="10" xfId="0" applyNumberFormat="1" applyFill="1" applyBorder="1" applyAlignment="1">
      <alignment horizontal="center" vertical="center"/>
    </xf>
    <xf numFmtId="181" fontId="0" fillId="45" borderId="10" xfId="0" applyNumberFormat="1" applyFill="1" applyBorder="1" applyAlignment="1">
      <alignment horizontal="center" vertical="center"/>
    </xf>
    <xf numFmtId="181" fontId="0" fillId="14" borderId="10" xfId="0" applyNumberFormat="1" applyFill="1" applyBorder="1" applyAlignment="1">
      <alignment horizontal="center" vertical="center"/>
    </xf>
    <xf numFmtId="181" fontId="0" fillId="18" borderId="10" xfId="0" applyNumberFormat="1" applyFill="1" applyBorder="1" applyAlignment="1">
      <alignment horizontal="center" vertical="center"/>
    </xf>
    <xf numFmtId="181" fontId="0" fillId="38" borderId="47" xfId="0" applyNumberFormat="1" applyFill="1" applyBorder="1" applyAlignment="1">
      <alignment horizontal="center" vertical="center"/>
    </xf>
    <xf numFmtId="181" fontId="0" fillId="43" borderId="5" xfId="0" applyNumberFormat="1" applyFill="1" applyBorder="1" applyAlignment="1">
      <alignment horizontal="center" vertical="center"/>
    </xf>
    <xf numFmtId="181" fontId="0" fillId="0" borderId="5" xfId="0" applyNumberFormat="1" applyBorder="1" applyAlignment="1">
      <alignment horizontal="center" vertical="center"/>
    </xf>
    <xf numFmtId="181" fontId="0" fillId="45" borderId="5" xfId="0" applyNumberFormat="1" applyFill="1" applyBorder="1" applyAlignment="1">
      <alignment horizontal="center" vertical="center"/>
    </xf>
    <xf numFmtId="181" fontId="0" fillId="0" borderId="2" xfId="0" applyNumberFormat="1" applyBorder="1" applyAlignment="1">
      <alignment horizontal="center" vertical="center"/>
    </xf>
    <xf numFmtId="181" fontId="0" fillId="8" borderId="5" xfId="0" applyNumberFormat="1" applyFill="1" applyBorder="1" applyAlignment="1">
      <alignment horizontal="center" vertical="center"/>
    </xf>
    <xf numFmtId="181" fontId="0" fillId="14" borderId="5" xfId="0" applyNumberFormat="1" applyFill="1" applyBorder="1" applyAlignment="1">
      <alignment horizontal="center" vertical="center"/>
    </xf>
    <xf numFmtId="181" fontId="0" fillId="18" borderId="5" xfId="0" applyNumberFormat="1" applyFill="1" applyBorder="1" applyAlignment="1">
      <alignment horizontal="center" vertical="center"/>
    </xf>
    <xf numFmtId="181" fontId="0" fillId="38" borderId="2" xfId="0" applyNumberFormat="1" applyFill="1" applyBorder="1" applyAlignment="1">
      <alignment horizontal="center" vertical="center"/>
    </xf>
    <xf numFmtId="181" fontId="0" fillId="0" borderId="5" xfId="0" applyNumberFormat="1" applyFill="1" applyBorder="1">
      <alignment vertical="center"/>
    </xf>
    <xf numFmtId="181" fontId="0" fillId="0" borderId="5" xfId="0" applyNumberFormat="1" applyBorder="1">
      <alignment vertical="center"/>
    </xf>
    <xf numFmtId="181" fontId="0" fillId="43" borderId="32" xfId="0" applyNumberFormat="1" applyFill="1" applyBorder="1" applyAlignment="1">
      <alignment horizontal="center" vertical="center"/>
    </xf>
    <xf numFmtId="181" fontId="0" fillId="0" borderId="32" xfId="0" applyNumberFormat="1" applyBorder="1" applyAlignment="1">
      <alignment horizontal="center" vertical="center"/>
    </xf>
    <xf numFmtId="181" fontId="0" fillId="0" borderId="4" xfId="0" applyNumberFormat="1" applyBorder="1" applyAlignment="1">
      <alignment horizontal="center" vertical="center"/>
    </xf>
    <xf numFmtId="181" fontId="88" fillId="43" borderId="10" xfId="0" applyNumberFormat="1" applyFont="1" applyFill="1" applyBorder="1" applyAlignment="1">
      <alignment horizontal="center" vertical="center"/>
    </xf>
    <xf numFmtId="181" fontId="88" fillId="43" borderId="5" xfId="0" applyNumberFormat="1" applyFont="1" applyFill="1" applyBorder="1" applyAlignment="1">
      <alignment horizontal="center" vertical="center"/>
    </xf>
    <xf numFmtId="181" fontId="88" fillId="8" borderId="5" xfId="0" applyNumberFormat="1" applyFont="1" applyFill="1" applyBorder="1" applyAlignment="1">
      <alignment horizontal="center" vertical="center"/>
    </xf>
    <xf numFmtId="181" fontId="88" fillId="45" borderId="5" xfId="0" applyNumberFormat="1" applyFont="1" applyFill="1" applyBorder="1" applyAlignment="1">
      <alignment horizontal="center" vertical="center"/>
    </xf>
    <xf numFmtId="181" fontId="88" fillId="14" borderId="5" xfId="0" applyNumberFormat="1" applyFont="1" applyFill="1" applyBorder="1" applyAlignment="1">
      <alignment horizontal="center" vertical="center"/>
    </xf>
    <xf numFmtId="181" fontId="88" fillId="18" borderId="5" xfId="0" applyNumberFormat="1" applyFont="1" applyFill="1" applyBorder="1" applyAlignment="1">
      <alignment horizontal="center" vertical="center"/>
    </xf>
    <xf numFmtId="181" fontId="88" fillId="38" borderId="2" xfId="0" applyNumberFormat="1" applyFont="1" applyFill="1" applyBorder="1" applyAlignment="1">
      <alignment horizontal="center" vertical="center"/>
    </xf>
    <xf numFmtId="181" fontId="88" fillId="0" borderId="5" xfId="0" applyNumberFormat="1" applyFont="1" applyFill="1" applyBorder="1" applyAlignment="1">
      <alignment horizontal="center" vertical="center"/>
    </xf>
    <xf numFmtId="181" fontId="88" fillId="0" borderId="2" xfId="0" applyNumberFormat="1" applyFont="1" applyBorder="1" applyAlignment="1">
      <alignment horizontal="center" vertical="center"/>
    </xf>
    <xf numFmtId="181" fontId="88" fillId="0" borderId="5" xfId="0" applyNumberFormat="1" applyFont="1" applyBorder="1" applyAlignment="1">
      <alignment horizontal="center" vertical="center"/>
    </xf>
    <xf numFmtId="181" fontId="88" fillId="0" borderId="2" xfId="0" applyNumberFormat="1" applyFont="1" applyFill="1" applyBorder="1" applyAlignment="1">
      <alignment horizontal="center" vertical="center"/>
    </xf>
    <xf numFmtId="181" fontId="88" fillId="0" borderId="5" xfId="0" applyNumberFormat="1" applyFont="1" applyFill="1" applyBorder="1">
      <alignment vertical="center"/>
    </xf>
    <xf numFmtId="181" fontId="88" fillId="46" borderId="5" xfId="0" applyNumberFormat="1" applyFont="1" applyFill="1" applyBorder="1" applyAlignment="1">
      <alignment horizontal="center" vertical="center"/>
    </xf>
    <xf numFmtId="181" fontId="88" fillId="47" borderId="5" xfId="0" applyNumberFormat="1" applyFont="1" applyFill="1" applyBorder="1" applyAlignment="1">
      <alignment horizontal="center" vertical="center"/>
    </xf>
    <xf numFmtId="181" fontId="88" fillId="48" borderId="5" xfId="0" applyNumberFormat="1" applyFont="1" applyFill="1" applyBorder="1" applyAlignment="1">
      <alignment horizontal="center" vertical="center"/>
    </xf>
    <xf numFmtId="181" fontId="88" fillId="42" borderId="5" xfId="0" applyNumberFormat="1" applyFont="1" applyFill="1" applyBorder="1" applyAlignment="1">
      <alignment horizontal="center" vertical="center"/>
    </xf>
    <xf numFmtId="181" fontId="88" fillId="40" borderId="5" xfId="0" applyNumberFormat="1" applyFont="1" applyFill="1" applyBorder="1" applyAlignment="1">
      <alignment horizontal="center" vertical="center"/>
    </xf>
    <xf numFmtId="181" fontId="88" fillId="39" borderId="2" xfId="0" applyNumberFormat="1" applyFont="1" applyFill="1" applyBorder="1" applyAlignment="1">
      <alignment horizontal="center" vertical="center"/>
    </xf>
    <xf numFmtId="181" fontId="88" fillId="43" borderId="32" xfId="0" applyNumberFormat="1" applyFont="1" applyFill="1" applyBorder="1" applyAlignment="1">
      <alignment horizontal="center" vertical="center"/>
    </xf>
    <xf numFmtId="181" fontId="88" fillId="0" borderId="10" xfId="0" applyNumberFormat="1" applyFont="1" applyBorder="1" applyAlignment="1">
      <alignment horizontal="center" vertical="center"/>
    </xf>
    <xf numFmtId="181" fontId="88" fillId="0" borderId="47" xfId="0" applyNumberFormat="1" applyFont="1" applyBorder="1" applyAlignment="1">
      <alignment horizontal="center" vertical="center"/>
    </xf>
    <xf numFmtId="181" fontId="88" fillId="0" borderId="32" xfId="0" applyNumberFormat="1" applyFont="1" applyBorder="1" applyAlignment="1">
      <alignment horizontal="center" vertical="center"/>
    </xf>
    <xf numFmtId="181" fontId="88" fillId="0" borderId="4" xfId="0" applyNumberFormat="1" applyFont="1" applyBorder="1" applyAlignment="1">
      <alignment horizontal="center" vertical="center"/>
    </xf>
    <xf numFmtId="181" fontId="88" fillId="0" borderId="10" xfId="0" applyNumberFormat="1" applyFont="1" applyBorder="1">
      <alignment vertical="center"/>
    </xf>
    <xf numFmtId="181" fontId="88" fillId="8" borderId="10" xfId="0" applyNumberFormat="1" applyFont="1" applyFill="1" applyBorder="1" applyAlignment="1">
      <alignment horizontal="center" vertical="center"/>
    </xf>
    <xf numFmtId="181" fontId="88" fillId="45" borderId="10" xfId="0" applyNumberFormat="1" applyFont="1" applyFill="1" applyBorder="1" applyAlignment="1">
      <alignment horizontal="center" vertical="center"/>
    </xf>
    <xf numFmtId="181" fontId="88" fillId="14" borderId="10" xfId="0" applyNumberFormat="1" applyFont="1" applyFill="1" applyBorder="1" applyAlignment="1">
      <alignment horizontal="center" vertical="center"/>
    </xf>
    <xf numFmtId="181" fontId="88" fillId="18" borderId="10" xfId="0" applyNumberFormat="1" applyFont="1" applyFill="1" applyBorder="1" applyAlignment="1">
      <alignment horizontal="center" vertical="center"/>
    </xf>
    <xf numFmtId="181" fontId="88" fillId="38" borderId="47" xfId="0" applyNumberFormat="1" applyFont="1" applyFill="1" applyBorder="1" applyAlignment="1">
      <alignment horizontal="center" vertical="center"/>
    </xf>
    <xf numFmtId="181" fontId="88" fillId="0" borderId="5" xfId="0" applyNumberFormat="1" applyFont="1" applyBorder="1">
      <alignment vertical="center"/>
    </xf>
    <xf numFmtId="181" fontId="88" fillId="36" borderId="5" xfId="0" applyNumberFormat="1" applyFont="1" applyFill="1" applyBorder="1" applyAlignment="1">
      <alignment horizontal="center" vertical="center"/>
    </xf>
    <xf numFmtId="181" fontId="88" fillId="0" borderId="32" xfId="0" applyNumberFormat="1" applyFont="1" applyBorder="1">
      <alignment vertical="center"/>
    </xf>
    <xf numFmtId="181" fontId="88" fillId="8" borderId="32" xfId="0" applyNumberFormat="1" applyFont="1" applyFill="1" applyBorder="1" applyAlignment="1">
      <alignment horizontal="center" vertical="center"/>
    </xf>
    <xf numFmtId="181" fontId="88" fillId="0" borderId="52" xfId="0" applyNumberFormat="1" applyFont="1" applyBorder="1">
      <alignment vertical="center"/>
    </xf>
    <xf numFmtId="181" fontId="88" fillId="0" borderId="52" xfId="0" applyNumberFormat="1" applyFont="1" applyBorder="1" applyAlignment="1">
      <alignment horizontal="center" vertical="center"/>
    </xf>
    <xf numFmtId="181" fontId="88" fillId="45" borderId="52" xfId="0" applyNumberFormat="1" applyFont="1" applyFill="1" applyBorder="1" applyAlignment="1">
      <alignment horizontal="center" vertical="center"/>
    </xf>
    <xf numFmtId="181" fontId="88" fillId="14" borderId="52" xfId="0" applyNumberFormat="1" applyFont="1" applyFill="1" applyBorder="1" applyAlignment="1">
      <alignment horizontal="center" vertical="center"/>
    </xf>
    <xf numFmtId="181" fontId="88" fillId="0" borderId="53" xfId="0" applyNumberFormat="1" applyFont="1" applyBorder="1" applyAlignment="1">
      <alignment horizontal="center" vertical="center"/>
    </xf>
    <xf numFmtId="181" fontId="74" fillId="0" borderId="12" xfId="0" applyNumberFormat="1" applyFont="1" applyBorder="1">
      <alignment vertical="center"/>
    </xf>
    <xf numFmtId="181" fontId="0" fillId="0" borderId="0" xfId="0" applyNumberFormat="1">
      <alignment vertical="center"/>
    </xf>
    <xf numFmtId="181" fontId="0" fillId="0" borderId="0" xfId="0" applyNumberFormat="1" applyBorder="1">
      <alignment vertical="center"/>
    </xf>
    <xf numFmtId="0" fontId="4" fillId="0" borderId="5" xfId="0" applyFont="1" applyFill="1" applyBorder="1" applyAlignment="1">
      <alignment horizontal="center" vertical="center"/>
    </xf>
    <xf numFmtId="0" fontId="4" fillId="0" borderId="5" xfId="0" applyFont="1" applyFill="1" applyBorder="1" applyAlignment="1">
      <alignment horizontal="center" vertical="center"/>
    </xf>
    <xf numFmtId="10" fontId="4" fillId="3" borderId="5" xfId="0" applyNumberFormat="1" applyFont="1" applyFill="1" applyBorder="1" applyAlignment="1">
      <alignment horizontal="right" vertical="center"/>
    </xf>
    <xf numFmtId="0" fontId="20" fillId="0" borderId="5" xfId="0" applyFont="1" applyFill="1" applyBorder="1" applyAlignment="1">
      <alignment horizontal="left" vertical="center" wrapText="1"/>
    </xf>
    <xf numFmtId="0" fontId="20" fillId="0" borderId="5" xfId="0" applyNumberFormat="1" applyFont="1" applyBorder="1" applyAlignment="1">
      <alignment horizontal="left" vertical="center" wrapText="1"/>
    </xf>
    <xf numFmtId="0" fontId="31" fillId="0" borderId="5" xfId="0" applyFont="1" applyBorder="1" applyAlignment="1">
      <alignment horizontal="center" vertical="center" wrapText="1"/>
    </xf>
    <xf numFmtId="10" fontId="7" fillId="2" borderId="5" xfId="0" applyNumberFormat="1" applyFont="1" applyFill="1" applyBorder="1" applyAlignment="1">
      <alignment horizontal="center" vertical="center"/>
    </xf>
    <xf numFmtId="10" fontId="6" fillId="0" borderId="5" xfId="0" applyNumberFormat="1" applyFont="1" applyFill="1" applyBorder="1" applyAlignment="1">
      <alignment horizontal="center" vertical="center"/>
    </xf>
    <xf numFmtId="10" fontId="4" fillId="0" borderId="0" xfId="0" applyNumberFormat="1" applyFont="1" applyFill="1">
      <alignment vertical="center"/>
    </xf>
    <xf numFmtId="10" fontId="4" fillId="0" borderId="5" xfId="0" applyNumberFormat="1" applyFont="1" applyFill="1" applyBorder="1" applyAlignment="1">
      <alignment horizontal="left" vertical="top"/>
    </xf>
    <xf numFmtId="176" fontId="5" fillId="0" borderId="0" xfId="0" applyNumberFormat="1" applyFont="1" applyAlignment="1">
      <alignment horizontal="center" vertical="top"/>
    </xf>
    <xf numFmtId="176" fontId="7" fillId="2" borderId="5" xfId="0" applyNumberFormat="1" applyFont="1" applyFill="1" applyBorder="1" applyAlignment="1">
      <alignment horizontal="center" vertical="center" wrapText="1"/>
    </xf>
    <xf numFmtId="176" fontId="4" fillId="0" borderId="5" xfId="0" applyNumberFormat="1" applyFont="1" applyFill="1" applyBorder="1" applyAlignment="1">
      <alignment horizontal="center" vertical="top"/>
    </xf>
    <xf numFmtId="176" fontId="4" fillId="0" borderId="5" xfId="0" quotePrefix="1" applyNumberFormat="1" applyFont="1" applyFill="1" applyBorder="1" applyAlignment="1">
      <alignment horizontal="center" vertical="top"/>
    </xf>
    <xf numFmtId="176" fontId="4" fillId="6" borderId="5" xfId="0" applyNumberFormat="1" applyFont="1" applyFill="1" applyBorder="1" applyAlignment="1">
      <alignment horizontal="center" vertical="top"/>
    </xf>
    <xf numFmtId="176" fontId="4" fillId="0" borderId="5" xfId="4" applyNumberFormat="1" applyFont="1" applyFill="1" applyBorder="1" applyAlignment="1">
      <alignment horizontal="center" vertical="top"/>
    </xf>
    <xf numFmtId="176" fontId="6" fillId="0" borderId="5" xfId="0" applyNumberFormat="1" applyFont="1" applyFill="1" applyBorder="1" applyAlignment="1">
      <alignment horizontal="center" vertical="top"/>
    </xf>
    <xf numFmtId="176" fontId="4" fillId="0" borderId="0" xfId="0" applyNumberFormat="1" applyFont="1" applyAlignment="1">
      <alignment horizontal="center" vertical="top"/>
    </xf>
    <xf numFmtId="176" fontId="60" fillId="0" borderId="5" xfId="4" applyNumberFormat="1" applyFont="1" applyBorder="1" applyAlignment="1">
      <alignment horizontal="center" vertical="top"/>
    </xf>
    <xf numFmtId="176" fontId="4" fillId="0" borderId="5" xfId="4" applyNumberFormat="1" applyFont="1" applyBorder="1" applyAlignment="1">
      <alignment horizontal="center" vertical="top"/>
    </xf>
    <xf numFmtId="176" fontId="4" fillId="0" borderId="0" xfId="0" applyNumberFormat="1" applyFont="1">
      <alignment vertical="center"/>
    </xf>
    <xf numFmtId="176" fontId="4" fillId="0" borderId="0" xfId="0" applyNumberFormat="1" applyFont="1" applyAlignment="1">
      <alignment horizontal="center" vertical="center"/>
    </xf>
    <xf numFmtId="10" fontId="4" fillId="0" borderId="0" xfId="0" applyNumberFormat="1" applyFont="1" applyAlignment="1">
      <alignment vertical="center"/>
    </xf>
    <xf numFmtId="10" fontId="6" fillId="0" borderId="0" xfId="0" applyNumberFormat="1" applyFont="1" applyFill="1" applyBorder="1" applyAlignment="1">
      <alignment horizontal="center" vertical="center"/>
    </xf>
    <xf numFmtId="10" fontId="39" fillId="0" borderId="0" xfId="0" applyNumberFormat="1" applyFont="1" applyFill="1" applyBorder="1" applyAlignment="1">
      <alignment vertical="center"/>
    </xf>
    <xf numFmtId="10" fontId="4" fillId="20" borderId="5" xfId="0" applyNumberFormat="1" applyFont="1" applyFill="1" applyBorder="1" applyAlignment="1">
      <alignment horizontal="center" vertical="top"/>
    </xf>
    <xf numFmtId="10" fontId="4" fillId="0" borderId="0" xfId="0" applyNumberFormat="1" applyFont="1" applyFill="1" applyAlignment="1">
      <alignment vertical="center"/>
    </xf>
    <xf numFmtId="10" fontId="4" fillId="0" borderId="5" xfId="0" applyNumberFormat="1" applyFont="1" applyBorder="1" applyAlignment="1">
      <alignment horizontal="right" vertical="center"/>
    </xf>
    <xf numFmtId="10" fontId="4" fillId="0" borderId="5" xfId="3" applyNumberFormat="1" applyFont="1" applyFill="1" applyBorder="1" applyAlignment="1">
      <alignment horizontal="right" vertical="center"/>
    </xf>
    <xf numFmtId="176" fontId="4" fillId="0" borderId="5" xfId="0" applyNumberFormat="1" applyFont="1" applyFill="1" applyBorder="1" applyAlignment="1">
      <alignment horizontal="right" vertical="center"/>
    </xf>
    <xf numFmtId="10" fontId="4" fillId="0" borderId="21" xfId="0" applyNumberFormat="1" applyFont="1" applyFill="1" applyBorder="1" applyAlignment="1">
      <alignment horizontal="right" vertical="center"/>
    </xf>
    <xf numFmtId="176" fontId="4" fillId="0" borderId="5" xfId="0" applyNumberFormat="1" applyFont="1" applyFill="1" applyBorder="1" applyAlignment="1">
      <alignment horizontal="right" vertical="center" wrapText="1"/>
    </xf>
    <xf numFmtId="181" fontId="4" fillId="0" borderId="5" xfId="0" applyNumberFormat="1" applyFont="1" applyFill="1" applyBorder="1" applyAlignment="1">
      <alignment horizontal="right" vertical="center"/>
    </xf>
    <xf numFmtId="10" fontId="6" fillId="0" borderId="5" xfId="0" applyNumberFormat="1" applyFont="1" applyFill="1" applyBorder="1">
      <alignment vertical="center"/>
    </xf>
    <xf numFmtId="10" fontId="4" fillId="0" borderId="5" xfId="0" applyNumberFormat="1" applyFont="1" applyFill="1" applyBorder="1" applyAlignment="1">
      <alignment horizontal="left" vertical="center"/>
    </xf>
    <xf numFmtId="176" fontId="4" fillId="0" borderId="5" xfId="0" applyNumberFormat="1" applyFont="1" applyFill="1" applyBorder="1" applyAlignment="1">
      <alignment horizontal="left" vertical="center"/>
    </xf>
    <xf numFmtId="10" fontId="4" fillId="0" borderId="5" xfId="0" applyNumberFormat="1" applyFont="1" applyFill="1" applyBorder="1" applyAlignment="1">
      <alignment horizontal="center" vertical="top"/>
    </xf>
    <xf numFmtId="10" fontId="50" fillId="0" borderId="5" xfId="0" applyNumberFormat="1" applyFont="1" applyFill="1" applyBorder="1" applyAlignment="1">
      <alignment horizontal="left" vertical="center"/>
    </xf>
    <xf numFmtId="176" fontId="4" fillId="0" borderId="5" xfId="0" applyNumberFormat="1" applyFont="1" applyFill="1" applyBorder="1" applyAlignment="1">
      <alignment horizontal="left" vertical="top"/>
    </xf>
    <xf numFmtId="0" fontId="4" fillId="0" borderId="5" xfId="0" applyNumberFormat="1" applyFont="1" applyFill="1" applyBorder="1" applyAlignment="1">
      <alignment horizontal="left" vertical="top" wrapText="1"/>
    </xf>
    <xf numFmtId="176" fontId="4" fillId="0" borderId="5" xfId="0" applyNumberFormat="1" applyFont="1" applyFill="1" applyBorder="1" applyAlignment="1">
      <alignment horizontal="center" vertical="top"/>
    </xf>
    <xf numFmtId="10" fontId="4" fillId="0" borderId="5" xfId="0" applyNumberFormat="1" applyFont="1" applyBorder="1" applyAlignment="1">
      <alignment horizontal="left" vertical="top"/>
    </xf>
    <xf numFmtId="0" fontId="20" fillId="0" borderId="22" xfId="0" applyFont="1" applyFill="1" applyBorder="1" applyAlignment="1">
      <alignment horizontal="left" vertical="center" wrapText="1"/>
    </xf>
    <xf numFmtId="181" fontId="4" fillId="0" borderId="5" xfId="0" applyNumberFormat="1" applyFont="1" applyFill="1" applyBorder="1" applyAlignment="1">
      <alignment horizontal="center" vertical="top"/>
    </xf>
    <xf numFmtId="176" fontId="7" fillId="2" borderId="0" xfId="0" applyNumberFormat="1" applyFont="1" applyFill="1" applyBorder="1" applyAlignment="1">
      <alignment horizontal="center" vertical="center"/>
    </xf>
    <xf numFmtId="176" fontId="25" fillId="21" borderId="5" xfId="0" applyNumberFormat="1" applyFont="1" applyFill="1" applyBorder="1" applyAlignment="1">
      <alignment vertical="center"/>
    </xf>
    <xf numFmtId="176" fontId="6" fillId="0" borderId="0" xfId="0" applyNumberFormat="1" applyFont="1" applyAlignment="1">
      <alignment vertical="center"/>
    </xf>
    <xf numFmtId="10" fontId="4" fillId="0" borderId="5" xfId="0" applyNumberFormat="1" applyFont="1" applyFill="1" applyBorder="1" applyAlignment="1">
      <alignment vertical="center"/>
    </xf>
    <xf numFmtId="181" fontId="4" fillId="0" borderId="5" xfId="4" applyNumberFormat="1" applyFont="1" applyBorder="1" applyAlignment="1">
      <alignment horizontal="center" vertical="top"/>
    </xf>
    <xf numFmtId="181" fontId="4" fillId="20" borderId="5" xfId="0" applyNumberFormat="1" applyFont="1" applyFill="1" applyBorder="1" applyAlignment="1">
      <alignment vertical="top"/>
    </xf>
    <xf numFmtId="181" fontId="4" fillId="20" borderId="5" xfId="0" applyNumberFormat="1" applyFont="1" applyFill="1" applyBorder="1" applyAlignment="1">
      <alignment horizontal="left" vertical="top"/>
    </xf>
    <xf numFmtId="181" fontId="4" fillId="0" borderId="5" xfId="4" applyNumberFormat="1" applyFont="1" applyFill="1" applyBorder="1" applyAlignment="1">
      <alignment horizontal="center" vertical="top"/>
    </xf>
    <xf numFmtId="181" fontId="4" fillId="0" borderId="5" xfId="0" quotePrefix="1" applyNumberFormat="1" applyFont="1" applyFill="1" applyBorder="1" applyAlignment="1">
      <alignment horizontal="center" vertical="top"/>
    </xf>
    <xf numFmtId="181" fontId="4" fillId="6" borderId="5" xfId="0" applyNumberFormat="1" applyFont="1" applyFill="1" applyBorder="1" applyAlignment="1">
      <alignment horizontal="center" vertical="top"/>
    </xf>
    <xf numFmtId="181" fontId="5" fillId="0" borderId="0" xfId="0" applyNumberFormat="1" applyFont="1" applyFill="1" applyAlignment="1">
      <alignment horizontal="center" vertical="top"/>
    </xf>
    <xf numFmtId="181" fontId="7" fillId="2" borderId="5" xfId="0" applyNumberFormat="1" applyFont="1" applyFill="1" applyBorder="1" applyAlignment="1">
      <alignment horizontal="center" vertical="center" wrapText="1"/>
    </xf>
    <xf numFmtId="181" fontId="6" fillId="0" borderId="5" xfId="0" applyNumberFormat="1" applyFont="1" applyFill="1" applyBorder="1" applyAlignment="1">
      <alignment horizontal="center" vertical="top"/>
    </xf>
    <xf numFmtId="181" fontId="4" fillId="0" borderId="0" xfId="0" applyNumberFormat="1" applyFont="1" applyFill="1" applyAlignment="1">
      <alignment horizontal="center" vertical="top"/>
    </xf>
    <xf numFmtId="181" fontId="60" fillId="0" borderId="5" xfId="4" applyNumberFormat="1" applyFont="1" applyFill="1" applyBorder="1" applyAlignment="1">
      <alignment horizontal="center" vertical="top"/>
    </xf>
    <xf numFmtId="181" fontId="4" fillId="0" borderId="0" xfId="0" applyNumberFormat="1" applyFont="1">
      <alignment vertical="center"/>
    </xf>
    <xf numFmtId="181" fontId="5" fillId="0" borderId="0" xfId="0" applyNumberFormat="1" applyFont="1" applyAlignment="1">
      <alignment horizontal="center" vertical="top"/>
    </xf>
    <xf numFmtId="181" fontId="4" fillId="0" borderId="0" xfId="0" applyNumberFormat="1" applyFont="1" applyAlignment="1">
      <alignment horizontal="center" vertical="top"/>
    </xf>
    <xf numFmtId="181" fontId="60" fillId="0" borderId="5" xfId="4" applyNumberFormat="1" applyFont="1" applyBorder="1" applyAlignment="1">
      <alignment horizontal="center" vertical="top"/>
    </xf>
    <xf numFmtId="181" fontId="4" fillId="0" borderId="0" xfId="0" applyNumberFormat="1" applyFont="1" applyFill="1" applyBorder="1" applyAlignment="1">
      <alignment horizontal="center" vertical="top"/>
    </xf>
    <xf numFmtId="181" fontId="4" fillId="0" borderId="0" xfId="0" applyNumberFormat="1" applyFont="1" applyFill="1" applyAlignment="1">
      <alignment vertical="top"/>
    </xf>
    <xf numFmtId="181" fontId="5" fillId="0" borderId="0" xfId="0" applyNumberFormat="1" applyFont="1">
      <alignment vertical="center"/>
    </xf>
    <xf numFmtId="181" fontId="7" fillId="2" borderId="5" xfId="0" applyNumberFormat="1" applyFont="1" applyFill="1" applyBorder="1" applyAlignment="1">
      <alignment horizontal="center" vertical="center"/>
    </xf>
    <xf numFmtId="181" fontId="4" fillId="0" borderId="5" xfId="0" quotePrefix="1" applyNumberFormat="1" applyFont="1" applyFill="1" applyBorder="1" applyAlignment="1">
      <alignment horizontal="center" vertical="center"/>
    </xf>
    <xf numFmtId="181" fontId="4" fillId="0" borderId="5" xfId="0" applyNumberFormat="1" applyFont="1" applyFill="1" applyBorder="1">
      <alignment vertical="center"/>
    </xf>
    <xf numFmtId="181" fontId="4" fillId="0" borderId="5" xfId="0" applyNumberFormat="1" applyFont="1" applyFill="1" applyBorder="1" applyAlignment="1">
      <alignment horizontal="center" vertical="center"/>
    </xf>
    <xf numFmtId="181" fontId="6" fillId="0" borderId="5" xfId="0" applyNumberFormat="1" applyFont="1" applyFill="1" applyBorder="1" applyAlignment="1">
      <alignment horizontal="center" vertical="center"/>
    </xf>
    <xf numFmtId="181" fontId="4" fillId="0" borderId="0" xfId="0" applyNumberFormat="1" applyFont="1" applyFill="1">
      <alignment vertical="center"/>
    </xf>
    <xf numFmtId="181" fontId="51" fillId="0" borderId="5" xfId="4" applyNumberFormat="1" applyFont="1" applyBorder="1">
      <alignment vertical="center"/>
    </xf>
    <xf numFmtId="181" fontId="4" fillId="0" borderId="5" xfId="4" applyNumberFormat="1" applyFont="1" applyFill="1" applyBorder="1">
      <alignment vertical="center"/>
    </xf>
    <xf numFmtId="181" fontId="4" fillId="0" borderId="5" xfId="4" applyNumberFormat="1" applyFont="1" applyBorder="1">
      <alignment vertical="center"/>
    </xf>
    <xf numFmtId="181" fontId="5" fillId="0" borderId="0" xfId="0" applyNumberFormat="1" applyFont="1" applyFill="1">
      <alignment vertical="center"/>
    </xf>
    <xf numFmtId="181" fontId="4" fillId="0" borderId="0" xfId="0" applyNumberFormat="1" applyFont="1" applyAlignment="1">
      <alignment vertical="center"/>
    </xf>
    <xf numFmtId="181" fontId="46" fillId="0" borderId="5" xfId="0" applyNumberFormat="1" applyFont="1" applyFill="1" applyBorder="1" applyAlignment="1">
      <alignment horizontal="center" vertical="center"/>
    </xf>
    <xf numFmtId="181" fontId="4" fillId="0" borderId="5" xfId="4" applyNumberFormat="1" applyFont="1" applyFill="1" applyBorder="1" applyAlignment="1">
      <alignment horizontal="center" vertical="center"/>
    </xf>
    <xf numFmtId="181" fontId="6" fillId="0" borderId="0" xfId="0" applyNumberFormat="1" applyFont="1" applyFill="1" applyBorder="1" applyAlignment="1">
      <alignment horizontal="center" vertical="center"/>
    </xf>
    <xf numFmtId="181" fontId="39" fillId="0" borderId="0" xfId="0" applyNumberFormat="1" applyFont="1" applyFill="1" applyBorder="1" applyAlignment="1">
      <alignment vertical="center"/>
    </xf>
    <xf numFmtId="181" fontId="51" fillId="0" borderId="5" xfId="4" applyNumberFormat="1" applyFont="1" applyBorder="1" applyAlignment="1">
      <alignment vertical="center"/>
    </xf>
    <xf numFmtId="181" fontId="4" fillId="0" borderId="5" xfId="4" applyNumberFormat="1" applyFont="1" applyBorder="1" applyAlignment="1">
      <alignment vertical="center"/>
    </xf>
    <xf numFmtId="181" fontId="4" fillId="0" borderId="5" xfId="4" applyNumberFormat="1" applyFont="1" applyFill="1" applyBorder="1" applyAlignment="1">
      <alignment vertical="center"/>
    </xf>
    <xf numFmtId="181" fontId="4" fillId="0" borderId="0" xfId="0" applyNumberFormat="1" applyFont="1" applyFill="1" applyAlignment="1">
      <alignment vertical="center"/>
    </xf>
    <xf numFmtId="181" fontId="4" fillId="0" borderId="5" xfId="4" applyNumberFormat="1" applyFont="1" applyFill="1" applyBorder="1" applyAlignment="1">
      <alignment horizontal="right" vertical="center"/>
    </xf>
    <xf numFmtId="181" fontId="4" fillId="0" borderId="5" xfId="0" applyNumberFormat="1" applyFont="1" applyFill="1" applyBorder="1" applyAlignment="1">
      <alignment vertical="center"/>
    </xf>
    <xf numFmtId="176" fontId="4" fillId="0" borderId="5" xfId="4" applyNumberFormat="1" applyFont="1" applyBorder="1" applyAlignment="1">
      <alignment vertical="top"/>
    </xf>
    <xf numFmtId="176" fontId="4" fillId="20" borderId="5" xfId="0" applyNumberFormat="1" applyFont="1" applyFill="1" applyBorder="1" applyAlignment="1">
      <alignment vertical="top"/>
    </xf>
    <xf numFmtId="176" fontId="6" fillId="21" borderId="5" xfId="0" applyNumberFormat="1" applyFont="1" applyFill="1" applyBorder="1" applyAlignment="1">
      <alignment vertical="top"/>
    </xf>
    <xf numFmtId="176" fontId="6" fillId="21" borderId="21" xfId="0" applyNumberFormat="1" applyFont="1" applyFill="1" applyBorder="1" applyAlignment="1">
      <alignment vertical="top"/>
    </xf>
    <xf numFmtId="176" fontId="4" fillId="21" borderId="5" xfId="0" applyNumberFormat="1" applyFont="1" applyFill="1" applyBorder="1" applyAlignment="1">
      <alignment vertical="top"/>
    </xf>
    <xf numFmtId="176" fontId="25" fillId="21" borderId="5" xfId="4" applyNumberFormat="1" applyFont="1" applyFill="1" applyBorder="1">
      <alignment vertical="center"/>
    </xf>
    <xf numFmtId="176" fontId="4" fillId="21" borderId="5" xfId="4" applyNumberFormat="1" applyFont="1" applyFill="1" applyBorder="1">
      <alignment vertical="center"/>
    </xf>
    <xf numFmtId="176" fontId="6" fillId="21" borderId="5" xfId="0" applyNumberFormat="1" applyFont="1" applyFill="1" applyBorder="1">
      <alignment vertical="center"/>
    </xf>
    <xf numFmtId="176" fontId="6" fillId="21" borderId="5" xfId="4" applyNumberFormat="1" applyFont="1" applyFill="1" applyBorder="1">
      <alignment vertical="center"/>
    </xf>
    <xf numFmtId="0" fontId="0" fillId="0" borderId="0" xfId="0" applyAlignment="1">
      <alignment vertical="center" wrapText="1"/>
    </xf>
    <xf numFmtId="0" fontId="0" fillId="0" borderId="5" xfId="0" applyFill="1" applyBorder="1" applyAlignment="1">
      <alignment vertical="center" wrapText="1"/>
    </xf>
    <xf numFmtId="0" fontId="0" fillId="0" borderId="5" xfId="0" applyFill="1" applyBorder="1" applyAlignment="1">
      <alignment horizontal="center" vertical="center" wrapText="1"/>
    </xf>
    <xf numFmtId="0" fontId="19" fillId="57" borderId="5" xfId="0" applyFont="1" applyFill="1" applyBorder="1" applyAlignment="1">
      <alignment horizontal="center" vertical="center"/>
    </xf>
    <xf numFmtId="0" fontId="19" fillId="57" borderId="5" xfId="0" applyFont="1" applyFill="1" applyBorder="1" applyAlignment="1">
      <alignment vertical="center" wrapText="1"/>
    </xf>
    <xf numFmtId="0" fontId="19" fillId="57" borderId="5" xfId="0" applyFont="1" applyFill="1" applyBorder="1" applyAlignment="1">
      <alignment horizontal="left" vertical="center"/>
    </xf>
    <xf numFmtId="0" fontId="19" fillId="57" borderId="5" xfId="0" applyFont="1" applyFill="1" applyBorder="1" applyAlignment="1">
      <alignment horizontal="center" vertical="center" wrapText="1"/>
    </xf>
    <xf numFmtId="0" fontId="0" fillId="0" borderId="5" xfId="0" applyBorder="1" applyAlignment="1">
      <alignment horizontal="center" vertical="center" wrapText="1"/>
    </xf>
    <xf numFmtId="0" fontId="0" fillId="0" borderId="5" xfId="0" applyBorder="1" applyAlignment="1">
      <alignment vertical="center" wrapText="1"/>
    </xf>
    <xf numFmtId="0" fontId="0" fillId="0" borderId="5" xfId="0" applyBorder="1" applyAlignment="1">
      <alignment horizontal="left" vertical="center"/>
    </xf>
    <xf numFmtId="0" fontId="0" fillId="0" borderId="5" xfId="0" applyBorder="1" applyAlignment="1">
      <alignment horizontal="left" vertical="center" wrapText="1"/>
    </xf>
    <xf numFmtId="0" fontId="0" fillId="0" borderId="5" xfId="0" applyFont="1" applyBorder="1" applyAlignment="1">
      <alignment vertical="center" wrapText="1"/>
    </xf>
    <xf numFmtId="0" fontId="0" fillId="0" borderId="5" xfId="0" applyFill="1" applyBorder="1" applyAlignment="1">
      <alignment horizontal="left" vertical="center"/>
    </xf>
    <xf numFmtId="0" fontId="0" fillId="0" borderId="5" xfId="0" applyFill="1" applyBorder="1" applyAlignment="1">
      <alignment horizontal="left" vertical="center" wrapText="1"/>
    </xf>
    <xf numFmtId="0" fontId="0" fillId="0" borderId="12" xfId="0" applyBorder="1" applyAlignment="1">
      <alignment vertical="center" wrapText="1"/>
    </xf>
    <xf numFmtId="0" fontId="0" fillId="0" borderId="12" xfId="0" applyBorder="1" applyAlignment="1">
      <alignment horizontal="center" vertical="center" wrapText="1"/>
    </xf>
    <xf numFmtId="0" fontId="19" fillId="0" borderId="5" xfId="0" applyFont="1" applyFill="1" applyBorder="1" applyAlignment="1">
      <alignment vertical="center" wrapText="1"/>
    </xf>
    <xf numFmtId="0" fontId="0" fillId="0" borderId="12" xfId="0" applyBorder="1">
      <alignment vertical="center"/>
    </xf>
    <xf numFmtId="0" fontId="0" fillId="0" borderId="12" xfId="0" applyBorder="1" applyAlignment="1">
      <alignment horizontal="left" vertical="center" wrapText="1"/>
    </xf>
    <xf numFmtId="0" fontId="0" fillId="0" borderId="12" xfId="0" applyBorder="1" applyAlignment="1">
      <alignment horizontal="center" vertical="center"/>
    </xf>
    <xf numFmtId="0" fontId="4" fillId="0" borderId="5" xfId="0" applyNumberFormat="1" applyFont="1" applyFill="1" applyBorder="1" applyAlignment="1">
      <alignment horizontal="left" vertical="top" wrapText="1"/>
    </xf>
    <xf numFmtId="0" fontId="4" fillId="0" borderId="5" xfId="0" applyFont="1" applyFill="1" applyBorder="1" applyAlignment="1">
      <alignment horizontal="center" vertical="center"/>
    </xf>
    <xf numFmtId="0" fontId="4" fillId="0" borderId="5" xfId="0" applyFont="1" applyBorder="1" applyAlignment="1">
      <alignment horizontal="left" vertical="center"/>
    </xf>
    <xf numFmtId="0" fontId="4" fillId="0" borderId="5" xfId="0" applyFont="1" applyBorder="1" applyAlignment="1">
      <alignment horizontal="center" vertical="center"/>
    </xf>
    <xf numFmtId="0" fontId="4" fillId="0" borderId="5" xfId="0" applyFont="1" applyFill="1" applyBorder="1" applyAlignment="1">
      <alignment horizontal="right" vertical="center"/>
    </xf>
    <xf numFmtId="0" fontId="20" fillId="0" borderId="5" xfId="0" applyFont="1" applyFill="1" applyBorder="1" applyAlignment="1">
      <alignment horizontal="left" vertical="center" wrapText="1"/>
    </xf>
    <xf numFmtId="181" fontId="4" fillId="21" borderId="5" xfId="0" applyNumberFormat="1" applyFont="1" applyFill="1" applyBorder="1" applyAlignment="1">
      <alignment horizontal="center" vertical="center"/>
    </xf>
    <xf numFmtId="43" fontId="6" fillId="0" borderId="0" xfId="0" applyNumberFormat="1" applyFont="1" applyAlignment="1">
      <alignment vertical="center"/>
    </xf>
    <xf numFmtId="176" fontId="25" fillId="21" borderId="22" xfId="0" applyNumberFormat="1" applyFont="1" applyFill="1" applyBorder="1" applyAlignment="1">
      <alignment vertical="center"/>
    </xf>
    <xf numFmtId="176" fontId="6" fillId="21" borderId="5" xfId="0" applyNumberFormat="1" applyFont="1" applyFill="1" applyBorder="1" applyAlignment="1">
      <alignment vertical="center"/>
    </xf>
    <xf numFmtId="181" fontId="4" fillId="21" borderId="12" xfId="0" applyNumberFormat="1" applyFont="1" applyFill="1" applyBorder="1" applyAlignment="1">
      <alignment horizontal="center" vertical="center"/>
    </xf>
    <xf numFmtId="43" fontId="4" fillId="21" borderId="5" xfId="0" applyNumberFormat="1" applyFont="1" applyFill="1" applyBorder="1">
      <alignment vertical="center"/>
    </xf>
    <xf numFmtId="43" fontId="5" fillId="58" borderId="5" xfId="4" applyFont="1" applyFill="1" applyBorder="1" applyAlignment="1">
      <alignment horizontal="center" vertical="center"/>
    </xf>
    <xf numFmtId="0" fontId="4" fillId="0" borderId="0" xfId="0" applyNumberFormat="1" applyFont="1" applyFill="1" applyBorder="1" applyAlignment="1">
      <alignment vertical="top"/>
    </xf>
    <xf numFmtId="0" fontId="4" fillId="0" borderId="0" xfId="0" applyNumberFormat="1" applyFont="1" applyBorder="1" applyAlignment="1">
      <alignment horizontal="left" vertical="top"/>
    </xf>
    <xf numFmtId="0" fontId="4" fillId="0" borderId="0" xfId="0" applyNumberFormat="1" applyFont="1" applyBorder="1" applyAlignment="1">
      <alignment horizontal="center" vertical="top"/>
    </xf>
    <xf numFmtId="0" fontId="94" fillId="0" borderId="0" xfId="0" applyFont="1" applyBorder="1">
      <alignment vertical="center"/>
    </xf>
    <xf numFmtId="181" fontId="4" fillId="0" borderId="0" xfId="0" applyNumberFormat="1" applyFont="1" applyBorder="1" applyAlignment="1">
      <alignment horizontal="center" vertical="top"/>
    </xf>
    <xf numFmtId="10" fontId="4" fillId="0" borderId="0" xfId="0" applyNumberFormat="1" applyFont="1" applyBorder="1" applyAlignment="1">
      <alignment vertical="top"/>
    </xf>
    <xf numFmtId="0" fontId="94" fillId="0" borderId="0" xfId="0" applyFont="1" applyBorder="1" applyAlignment="1">
      <alignment horizontal="right" vertical="center"/>
    </xf>
    <xf numFmtId="0" fontId="94" fillId="0" borderId="0" xfId="0" applyFont="1" applyFill="1" applyBorder="1" applyAlignment="1">
      <alignment horizontal="right" vertical="center"/>
    </xf>
    <xf numFmtId="182" fontId="4" fillId="0" borderId="21" xfId="0" applyNumberFormat="1" applyFont="1" applyFill="1" applyBorder="1" applyAlignment="1">
      <alignment horizontal="right" vertical="center"/>
    </xf>
    <xf numFmtId="0" fontId="6" fillId="0" borderId="5" xfId="0" applyNumberFormat="1" applyFont="1" applyFill="1" applyBorder="1" applyAlignment="1">
      <alignment horizontal="center" vertical="center"/>
    </xf>
    <xf numFmtId="0" fontId="52" fillId="0" borderId="5" xfId="4" applyNumberFormat="1" applyFont="1" applyFill="1" applyBorder="1" applyAlignment="1">
      <alignment horizontal="center" vertical="center"/>
    </xf>
    <xf numFmtId="0" fontId="4" fillId="0" borderId="5" xfId="4" applyNumberFormat="1" applyFont="1" applyFill="1" applyBorder="1" applyAlignment="1">
      <alignment horizontal="center" vertical="center"/>
    </xf>
    <xf numFmtId="176" fontId="52" fillId="0" borderId="5" xfId="4" applyNumberFormat="1" applyFont="1" applyFill="1" applyBorder="1" applyAlignment="1">
      <alignment horizontal="center" vertical="center"/>
    </xf>
    <xf numFmtId="0" fontId="46" fillId="0" borderId="5" xfId="4" applyNumberFormat="1" applyFont="1" applyFill="1" applyBorder="1" applyAlignment="1">
      <alignment horizontal="center" vertical="center"/>
    </xf>
    <xf numFmtId="0" fontId="4" fillId="20" borderId="5" xfId="0" applyNumberFormat="1" applyFont="1" applyFill="1" applyBorder="1" applyAlignment="1">
      <alignment horizontal="center" vertical="center"/>
    </xf>
    <xf numFmtId="0" fontId="4" fillId="21" borderId="5" xfId="4" applyNumberFormat="1" applyFont="1" applyFill="1" applyBorder="1" applyAlignment="1">
      <alignment horizontal="center" vertical="center"/>
    </xf>
    <xf numFmtId="0" fontId="4" fillId="0" borderId="0" xfId="4" applyNumberFormat="1" applyFont="1" applyAlignment="1">
      <alignment horizontal="center" vertical="center"/>
    </xf>
    <xf numFmtId="0" fontId="60" fillId="0" borderId="0" xfId="4" applyNumberFormat="1" applyFont="1" applyAlignment="1">
      <alignment horizontal="center" vertical="center"/>
    </xf>
    <xf numFmtId="0" fontId="4" fillId="0" borderId="0" xfId="0" applyNumberFormat="1" applyFont="1" applyAlignment="1">
      <alignment horizontal="center" vertical="center"/>
    </xf>
    <xf numFmtId="0" fontId="6" fillId="23" borderId="5" xfId="0" applyNumberFormat="1" applyFont="1" applyFill="1" applyBorder="1" applyAlignment="1">
      <alignment vertical="top" wrapText="1"/>
    </xf>
    <xf numFmtId="0" fontId="7" fillId="2" borderId="0" xfId="4" applyNumberFormat="1" applyFont="1" applyFill="1" applyAlignment="1">
      <alignment horizontal="center" vertical="center"/>
    </xf>
    <xf numFmtId="0" fontId="4" fillId="14" borderId="5" xfId="4" applyNumberFormat="1" applyFont="1" applyFill="1" applyBorder="1" applyAlignment="1">
      <alignment horizontal="center" vertical="center"/>
    </xf>
    <xf numFmtId="176" fontId="4" fillId="21" borderId="5" xfId="0" applyNumberFormat="1" applyFont="1" applyFill="1" applyBorder="1" applyAlignment="1">
      <alignment horizontal="center" vertical="center"/>
    </xf>
    <xf numFmtId="0" fontId="6" fillId="23" borderId="5" xfId="0" applyFont="1" applyFill="1" applyBorder="1">
      <alignment vertical="center"/>
    </xf>
    <xf numFmtId="0" fontId="6" fillId="18" borderId="5" xfId="0" applyFont="1" applyFill="1" applyBorder="1">
      <alignment vertical="center"/>
    </xf>
    <xf numFmtId="9" fontId="4" fillId="0" borderId="5" xfId="3" applyFont="1" applyBorder="1" applyAlignment="1">
      <alignment horizontal="center" vertical="center"/>
    </xf>
    <xf numFmtId="43" fontId="4" fillId="0" borderId="5" xfId="4" applyFont="1" applyBorder="1" applyAlignment="1">
      <alignment horizontal="center" vertical="center" wrapText="1"/>
    </xf>
    <xf numFmtId="0" fontId="4" fillId="21" borderId="5" xfId="0" quotePrefix="1" applyFont="1" applyFill="1" applyBorder="1" applyAlignment="1">
      <alignment horizontal="center" vertical="center"/>
    </xf>
    <xf numFmtId="0" fontId="46" fillId="21" borderId="5" xfId="0" applyFont="1" applyFill="1" applyBorder="1" applyAlignment="1">
      <alignment horizontal="center" vertical="center"/>
    </xf>
    <xf numFmtId="0" fontId="6" fillId="14" borderId="5" xfId="0" applyFont="1" applyFill="1" applyBorder="1" applyAlignment="1">
      <alignment vertical="center"/>
    </xf>
    <xf numFmtId="10" fontId="4" fillId="0" borderId="5" xfId="4" applyNumberFormat="1" applyFont="1" applyBorder="1" applyAlignment="1">
      <alignment horizontal="center" vertical="center"/>
    </xf>
    <xf numFmtId="183" fontId="4" fillId="0" borderId="5" xfId="4" applyNumberFormat="1" applyFont="1" applyBorder="1" applyAlignment="1">
      <alignment horizontal="center" vertical="center"/>
    </xf>
    <xf numFmtId="183" fontId="46" fillId="0" borderId="5" xfId="4" applyNumberFormat="1" applyFont="1" applyBorder="1" applyAlignment="1">
      <alignment horizontal="center" vertical="center"/>
    </xf>
    <xf numFmtId="0" fontId="6" fillId="18" borderId="5" xfId="0" applyFont="1" applyFill="1" applyBorder="1" applyAlignment="1">
      <alignment vertical="center"/>
    </xf>
    <xf numFmtId="183" fontId="4" fillId="0" borderId="5" xfId="4" applyNumberFormat="1" applyFont="1" applyBorder="1" applyAlignment="1">
      <alignment vertical="center"/>
    </xf>
    <xf numFmtId="0" fontId="25" fillId="18" borderId="5" xfId="0" applyFont="1" applyFill="1" applyBorder="1">
      <alignment vertical="center"/>
    </xf>
    <xf numFmtId="0" fontId="25" fillId="18" borderId="5" xfId="0" applyFont="1" applyFill="1" applyBorder="1" applyAlignment="1">
      <alignment horizontal="left" vertical="center" indent="1"/>
    </xf>
    <xf numFmtId="176" fontId="52" fillId="0" borderId="5" xfId="0" applyNumberFormat="1" applyFont="1" applyFill="1" applyBorder="1" applyAlignment="1">
      <alignment horizontal="center" vertical="center"/>
    </xf>
    <xf numFmtId="0" fontId="52" fillId="0" borderId="5" xfId="0" applyFont="1" applyFill="1" applyBorder="1" applyAlignment="1">
      <alignment horizontal="center" vertical="center"/>
    </xf>
    <xf numFmtId="43" fontId="25" fillId="21" borderId="0" xfId="4" applyFont="1" applyFill="1" applyBorder="1" applyAlignment="1">
      <alignment horizontal="center" vertical="center"/>
    </xf>
    <xf numFmtId="181" fontId="52" fillId="0" borderId="5" xfId="0" applyNumberFormat="1" applyFont="1" applyFill="1" applyBorder="1" applyAlignment="1">
      <alignment horizontal="center" vertical="center"/>
    </xf>
    <xf numFmtId="0" fontId="6" fillId="14" borderId="5" xfId="0" applyNumberFormat="1" applyFont="1" applyFill="1" applyBorder="1" applyAlignment="1">
      <alignment horizontal="left" vertical="center"/>
    </xf>
    <xf numFmtId="0" fontId="6" fillId="18" borderId="5" xfId="0" applyNumberFormat="1" applyFont="1" applyFill="1" applyBorder="1" applyAlignment="1">
      <alignment vertical="top" wrapText="1"/>
    </xf>
    <xf numFmtId="0" fontId="6" fillId="18" borderId="5" xfId="0" applyFont="1" applyFill="1" applyBorder="1" applyAlignment="1">
      <alignment horizontal="left" vertical="center"/>
    </xf>
    <xf numFmtId="0" fontId="95" fillId="0" borderId="0" xfId="0" applyFont="1" applyFill="1" applyBorder="1" applyAlignment="1">
      <alignment horizontal="center" vertical="center"/>
    </xf>
    <xf numFmtId="0" fontId="96" fillId="0" borderId="0" xfId="0" applyFont="1" applyFill="1" applyBorder="1" applyAlignment="1">
      <alignment horizontal="right" vertical="center"/>
    </xf>
    <xf numFmtId="0" fontId="6" fillId="14" borderId="5" xfId="0" applyNumberFormat="1" applyFont="1" applyFill="1" applyBorder="1" applyAlignment="1">
      <alignment vertical="top" wrapText="1"/>
    </xf>
    <xf numFmtId="0" fontId="74" fillId="0" borderId="5" xfId="0" applyFont="1" applyFill="1" applyBorder="1" applyAlignment="1">
      <alignment horizontal="center" vertical="center"/>
    </xf>
    <xf numFmtId="0" fontId="74" fillId="0" borderId="5" xfId="0" applyFont="1" applyFill="1" applyBorder="1" applyAlignment="1">
      <alignment horizontal="center" vertical="center" wrapText="1"/>
    </xf>
    <xf numFmtId="0" fontId="19" fillId="0" borderId="5" xfId="0" applyFont="1" applyFill="1" applyBorder="1" applyAlignment="1">
      <alignment horizontal="center" vertical="center"/>
    </xf>
    <xf numFmtId="0" fontId="19" fillId="0" borderId="5" xfId="0" applyFont="1" applyFill="1" applyBorder="1" applyAlignment="1">
      <alignment horizontal="center" vertical="center" wrapText="1"/>
    </xf>
    <xf numFmtId="0" fontId="19" fillId="0" borderId="0" xfId="0" applyFont="1">
      <alignment vertical="center"/>
    </xf>
    <xf numFmtId="0" fontId="19" fillId="0" borderId="0" xfId="0" applyFont="1" applyAlignment="1">
      <alignment vertical="center" wrapText="1"/>
    </xf>
    <xf numFmtId="0" fontId="19" fillId="0" borderId="26" xfId="0" applyFont="1" applyFill="1" applyBorder="1" applyAlignment="1">
      <alignment horizontal="center" vertical="center" wrapText="1"/>
    </xf>
    <xf numFmtId="0" fontId="19" fillId="0" borderId="12" xfId="0" applyFont="1" applyFill="1" applyBorder="1" applyAlignment="1">
      <alignment horizontal="center" vertical="center"/>
    </xf>
    <xf numFmtId="0" fontId="0" fillId="0" borderId="5" xfId="0" applyFill="1" applyBorder="1" applyAlignment="1">
      <alignment vertical="center"/>
    </xf>
    <xf numFmtId="0" fontId="88" fillId="57" borderId="5" xfId="0" applyFont="1" applyFill="1" applyBorder="1" applyAlignment="1">
      <alignment horizontal="center" vertical="center" wrapText="1"/>
    </xf>
    <xf numFmtId="0" fontId="0" fillId="0" borderId="5" xfId="0" applyFill="1" applyBorder="1" applyAlignment="1" applyProtection="1">
      <alignment horizontal="center" vertical="center"/>
      <protection locked="0"/>
    </xf>
    <xf numFmtId="0" fontId="0" fillId="57" borderId="5" xfId="0" applyFill="1" applyBorder="1" applyAlignment="1">
      <alignment horizontal="center" vertical="center"/>
    </xf>
    <xf numFmtId="0" fontId="19" fillId="0" borderId="12" xfId="0" applyFont="1" applyFill="1" applyBorder="1" applyAlignment="1">
      <alignment vertical="center" wrapText="1"/>
    </xf>
    <xf numFmtId="0" fontId="19" fillId="0" borderId="5" xfId="0" applyFont="1" applyFill="1" applyBorder="1" applyAlignment="1">
      <alignment horizontal="left" vertical="center"/>
    </xf>
    <xf numFmtId="0" fontId="0" fillId="57" borderId="5" xfId="0" applyFill="1" applyBorder="1" applyAlignment="1">
      <alignment horizontal="left" vertical="center" wrapText="1"/>
    </xf>
    <xf numFmtId="0" fontId="0" fillId="0" borderId="0" xfId="0" applyAlignment="1">
      <alignment horizontal="left" vertical="center" wrapText="1"/>
    </xf>
    <xf numFmtId="0" fontId="6" fillId="0" borderId="5" xfId="0" applyFont="1" applyFill="1" applyBorder="1" applyAlignment="1">
      <alignment horizontal="left" vertical="center"/>
    </xf>
    <xf numFmtId="0" fontId="4" fillId="9" borderId="5" xfId="0" applyFont="1" applyFill="1" applyBorder="1" applyAlignment="1">
      <alignment horizontal="center" vertical="center"/>
    </xf>
    <xf numFmtId="0" fontId="4" fillId="0" borderId="5" xfId="0" applyFont="1" applyFill="1" applyBorder="1" applyAlignment="1">
      <alignment horizontal="center" vertical="center"/>
    </xf>
    <xf numFmtId="181" fontId="4" fillId="0" borderId="5" xfId="0" applyNumberFormat="1" applyFont="1" applyFill="1" applyBorder="1" applyAlignment="1">
      <alignment horizontal="center" vertical="center"/>
    </xf>
    <xf numFmtId="0" fontId="4" fillId="0" borderId="5" xfId="0" applyFont="1" applyBorder="1" applyAlignment="1">
      <alignment horizontal="left" vertical="center"/>
    </xf>
    <xf numFmtId="0" fontId="4" fillId="0" borderId="5" xfId="0" applyFont="1" applyBorder="1" applyAlignment="1">
      <alignment horizontal="center" vertical="center"/>
    </xf>
    <xf numFmtId="0" fontId="4" fillId="0" borderId="5" xfId="0" applyFont="1" applyFill="1" applyBorder="1" applyAlignment="1">
      <alignment horizontal="right" vertical="center"/>
    </xf>
    <xf numFmtId="0" fontId="70" fillId="2" borderId="21" xfId="0" applyFont="1" applyFill="1" applyBorder="1" applyAlignment="1">
      <alignment horizontal="center" vertical="center"/>
    </xf>
    <xf numFmtId="181" fontId="4" fillId="0" borderId="5" xfId="0" applyNumberFormat="1" applyFont="1" applyFill="1" applyBorder="1" applyAlignment="1">
      <alignment horizontal="right" vertical="center"/>
    </xf>
    <xf numFmtId="0" fontId="4" fillId="0" borderId="5" xfId="0" applyFont="1" applyFill="1" applyBorder="1" applyAlignment="1">
      <alignment horizontal="left" vertical="center"/>
    </xf>
    <xf numFmtId="10" fontId="4" fillId="3" borderId="5" xfId="0" applyNumberFormat="1" applyFont="1" applyFill="1" applyBorder="1" applyAlignment="1">
      <alignment horizontal="right" vertical="center"/>
    </xf>
    <xf numFmtId="0" fontId="22" fillId="7" borderId="5" xfId="6" applyFont="1" applyFill="1" applyBorder="1" applyAlignment="1">
      <alignment horizontal="center" vertical="center" wrapText="1"/>
    </xf>
    <xf numFmtId="0" fontId="20" fillId="0" borderId="5" xfId="0" applyFont="1" applyBorder="1" applyAlignment="1">
      <alignment horizontal="center" vertical="center" wrapText="1"/>
    </xf>
    <xf numFmtId="176" fontId="0" fillId="55" borderId="12" xfId="0" applyNumberFormat="1" applyFill="1" applyBorder="1" applyAlignment="1">
      <alignment horizontal="center" vertical="center"/>
    </xf>
    <xf numFmtId="0" fontId="0" fillId="21" borderId="5" xfId="0" applyFill="1" applyBorder="1" applyAlignment="1">
      <alignment horizontal="center" vertical="center"/>
    </xf>
    <xf numFmtId="0" fontId="2" fillId="0" borderId="5" xfId="0" applyFont="1" applyFill="1" applyBorder="1" applyAlignment="1">
      <alignment horizontal="left" vertical="center" wrapText="1"/>
    </xf>
    <xf numFmtId="10" fontId="4" fillId="3" borderId="5" xfId="0" applyNumberFormat="1" applyFont="1" applyFill="1" applyBorder="1" applyAlignment="1">
      <alignment horizontal="right" vertical="center"/>
    </xf>
    <xf numFmtId="176" fontId="0" fillId="9" borderId="5" xfId="0" applyNumberFormat="1" applyFill="1" applyBorder="1" applyAlignment="1">
      <alignment horizontal="center" vertical="center"/>
    </xf>
    <xf numFmtId="0" fontId="6" fillId="0" borderId="0" xfId="0" applyFont="1" applyBorder="1">
      <alignment vertical="center"/>
    </xf>
    <xf numFmtId="0" fontId="4" fillId="0" borderId="0" xfId="0" applyFont="1" applyFill="1" applyBorder="1" applyAlignment="1">
      <alignment horizontal="right" vertical="center"/>
    </xf>
    <xf numFmtId="10" fontId="4" fillId="0" borderId="0" xfId="0" applyNumberFormat="1" applyFont="1" applyFill="1" applyBorder="1" applyAlignment="1">
      <alignment horizontal="right" vertical="center"/>
    </xf>
    <xf numFmtId="43" fontId="4" fillId="0" borderId="31" xfId="4" applyFont="1" applyFill="1" applyBorder="1" applyAlignment="1">
      <alignment vertical="top"/>
    </xf>
    <xf numFmtId="0" fontId="46" fillId="0" borderId="31" xfId="0" applyFont="1" applyBorder="1">
      <alignment vertical="center"/>
    </xf>
    <xf numFmtId="0" fontId="4" fillId="8" borderId="31" xfId="0" applyFont="1" applyFill="1" applyBorder="1">
      <alignment vertical="center"/>
    </xf>
    <xf numFmtId="0" fontId="4" fillId="0" borderId="21" xfId="0" applyFont="1" applyBorder="1">
      <alignment vertical="center"/>
    </xf>
    <xf numFmtId="0" fontId="4" fillId="0" borderId="31" xfId="0" applyFont="1" applyBorder="1">
      <alignment vertical="center"/>
    </xf>
    <xf numFmtId="0" fontId="63" fillId="0" borderId="5" xfId="0" applyFont="1" applyBorder="1">
      <alignment vertical="center"/>
    </xf>
    <xf numFmtId="176" fontId="4" fillId="0" borderId="5" xfId="0" applyNumberFormat="1" applyFont="1" applyFill="1" applyBorder="1" applyAlignment="1">
      <alignment horizontal="center" vertical="center"/>
    </xf>
    <xf numFmtId="181" fontId="4" fillId="19" borderId="5" xfId="4" applyNumberFormat="1" applyFont="1" applyFill="1" applyBorder="1" applyAlignment="1">
      <alignment horizontal="center" vertical="center"/>
    </xf>
    <xf numFmtId="181" fontId="46" fillId="0" borderId="5" xfId="4" applyNumberFormat="1" applyFont="1" applyFill="1" applyBorder="1" applyAlignment="1">
      <alignment horizontal="center" vertical="center"/>
    </xf>
    <xf numFmtId="181" fontId="46" fillId="19" borderId="5" xfId="4" applyNumberFormat="1" applyFont="1" applyFill="1" applyBorder="1" applyAlignment="1">
      <alignment horizontal="center" vertical="center"/>
    </xf>
    <xf numFmtId="181" fontId="6" fillId="21" borderId="31" xfId="0" applyNumberFormat="1" applyFont="1" applyFill="1" applyBorder="1" applyAlignment="1">
      <alignment horizontal="center" vertical="center"/>
    </xf>
    <xf numFmtId="181" fontId="6" fillId="21" borderId="5" xfId="4" applyNumberFormat="1" applyFont="1" applyFill="1" applyBorder="1" applyAlignment="1">
      <alignment horizontal="center" vertical="center"/>
    </xf>
    <xf numFmtId="181" fontId="6" fillId="21" borderId="5" xfId="0" applyNumberFormat="1" applyFont="1" applyFill="1" applyBorder="1" applyAlignment="1">
      <alignment horizontal="center" vertical="center"/>
    </xf>
    <xf numFmtId="181" fontId="0" fillId="9" borderId="5" xfId="0" applyNumberFormat="1" applyFill="1" applyBorder="1" applyAlignment="1">
      <alignment horizontal="center" vertical="center"/>
    </xf>
    <xf numFmtId="183" fontId="0" fillId="0" borderId="5" xfId="0" applyNumberFormat="1" applyFill="1" applyBorder="1" applyAlignment="1">
      <alignment horizontal="center" vertical="center"/>
    </xf>
    <xf numFmtId="176" fontId="75" fillId="0" borderId="5" xfId="0" applyNumberFormat="1" applyFont="1" applyFill="1" applyBorder="1" applyAlignment="1">
      <alignment vertical="center"/>
    </xf>
    <xf numFmtId="0" fontId="6" fillId="9" borderId="12" xfId="0" quotePrefix="1" applyFont="1" applyFill="1" applyBorder="1" applyAlignment="1">
      <alignment horizontal="center" vertical="center"/>
    </xf>
    <xf numFmtId="43" fontId="46" fillId="21" borderId="12" xfId="4" applyFont="1" applyFill="1" applyBorder="1">
      <alignment vertical="center"/>
    </xf>
    <xf numFmtId="0" fontId="6" fillId="21" borderId="12" xfId="0" applyFont="1" applyFill="1" applyBorder="1">
      <alignment vertical="center"/>
    </xf>
    <xf numFmtId="181" fontId="4" fillId="0" borderId="31" xfId="0" applyNumberFormat="1" applyFont="1" applyFill="1" applyBorder="1" applyAlignment="1">
      <alignment horizontal="right" vertical="center"/>
    </xf>
    <xf numFmtId="181" fontId="70" fillId="2" borderId="5" xfId="0" applyNumberFormat="1" applyFont="1" applyFill="1" applyBorder="1" applyAlignment="1">
      <alignment horizontal="center" vertical="center"/>
    </xf>
    <xf numFmtId="10" fontId="70" fillId="2" borderId="5" xfId="0" applyNumberFormat="1" applyFont="1" applyFill="1" applyBorder="1" applyAlignment="1">
      <alignment horizontal="center" vertical="center"/>
    </xf>
    <xf numFmtId="176" fontId="4" fillId="1" borderId="5" xfId="0" applyNumberFormat="1" applyFont="1" applyFill="1" applyBorder="1" applyAlignment="1">
      <alignment horizontal="center" vertical="center"/>
    </xf>
    <xf numFmtId="0" fontId="68" fillId="2" borderId="22" xfId="0" applyNumberFormat="1" applyFont="1" applyFill="1" applyBorder="1" applyAlignment="1">
      <alignment horizontal="center" vertical="center"/>
    </xf>
    <xf numFmtId="0" fontId="46" fillId="0" borderId="5" xfId="4" applyNumberFormat="1" applyFont="1" applyFill="1" applyBorder="1" applyAlignment="1">
      <alignment horizontal="right" vertical="center"/>
    </xf>
    <xf numFmtId="176" fontId="44" fillId="0" borderId="0" xfId="0" applyNumberFormat="1" applyFont="1" applyBorder="1">
      <alignment vertical="center"/>
    </xf>
    <xf numFmtId="0" fontId="4" fillId="0" borderId="5" xfId="4" applyNumberFormat="1" applyFont="1" applyFill="1" applyBorder="1" applyAlignment="1">
      <alignment vertical="center"/>
    </xf>
    <xf numFmtId="0" fontId="20" fillId="0" borderId="5" xfId="0" applyNumberFormat="1" applyFont="1" applyFill="1" applyBorder="1" applyAlignment="1">
      <alignment horizontal="left" vertical="top" wrapText="1"/>
    </xf>
    <xf numFmtId="0" fontId="4" fillId="0" borderId="5" xfId="0" applyFont="1" applyFill="1" applyBorder="1" applyAlignment="1">
      <alignment horizontal="right" vertical="center"/>
    </xf>
    <xf numFmtId="10" fontId="4" fillId="0" borderId="5" xfId="4" applyNumberFormat="1" applyFont="1" applyFill="1" applyBorder="1" applyAlignment="1">
      <alignment horizontal="right" vertical="center"/>
    </xf>
    <xf numFmtId="0" fontId="4" fillId="0" borderId="5" xfId="0" applyFont="1" applyFill="1" applyBorder="1" applyAlignment="1">
      <alignment horizontal="right" vertical="center"/>
    </xf>
    <xf numFmtId="43" fontId="4" fillId="0" borderId="21" xfId="4" applyFont="1" applyBorder="1" applyAlignment="1">
      <alignment horizontal="left" vertical="center"/>
    </xf>
    <xf numFmtId="0" fontId="4" fillId="0" borderId="5" xfId="0" applyNumberFormat="1" applyFont="1" applyFill="1" applyBorder="1" applyAlignment="1">
      <alignment horizontal="left" vertical="top" wrapText="1"/>
    </xf>
    <xf numFmtId="0" fontId="4" fillId="0" borderId="5" xfId="0" applyNumberFormat="1" applyFont="1" applyFill="1" applyBorder="1" applyAlignment="1">
      <alignment horizontal="left" vertical="top" wrapText="1"/>
    </xf>
    <xf numFmtId="184" fontId="0" fillId="55" borderId="12" xfId="0" applyNumberFormat="1" applyFill="1" applyBorder="1" applyAlignment="1">
      <alignment horizontal="center" vertical="center"/>
    </xf>
    <xf numFmtId="176" fontId="4" fillId="0" borderId="5" xfId="0" applyNumberFormat="1" applyFont="1" applyBorder="1" applyAlignment="1">
      <alignment horizontal="left" vertical="top"/>
    </xf>
    <xf numFmtId="0" fontId="4" fillId="0" borderId="5" xfId="0" applyNumberFormat="1" applyFont="1" applyFill="1" applyBorder="1" applyAlignment="1">
      <alignment horizontal="left" vertical="top" wrapText="1"/>
    </xf>
    <xf numFmtId="181" fontId="88" fillId="43" borderId="5" xfId="0" applyNumberFormat="1" applyFont="1" applyFill="1" applyBorder="1" applyAlignment="1">
      <alignment horizontal="center" vertical="center"/>
    </xf>
    <xf numFmtId="0" fontId="0" fillId="0" borderId="7" xfId="0" applyBorder="1" applyAlignment="1">
      <alignment vertical="center" wrapText="1"/>
    </xf>
    <xf numFmtId="43" fontId="4" fillId="8" borderId="59" xfId="4" applyFont="1" applyFill="1" applyBorder="1" applyAlignment="1">
      <alignment horizontal="center" vertical="center"/>
    </xf>
    <xf numFmtId="43" fontId="4" fillId="8" borderId="63" xfId="4" applyFont="1" applyFill="1" applyBorder="1" applyAlignment="1">
      <alignment horizontal="center" vertical="center"/>
    </xf>
    <xf numFmtId="43" fontId="4" fillId="36" borderId="21" xfId="4" applyFont="1" applyFill="1" applyBorder="1" applyAlignment="1">
      <alignment horizontal="center" vertical="center"/>
    </xf>
    <xf numFmtId="43" fontId="4" fillId="36" borderId="61" xfId="4" applyFont="1" applyFill="1" applyBorder="1" applyAlignment="1">
      <alignment horizontal="center" vertical="center"/>
    </xf>
    <xf numFmtId="0" fontId="6" fillId="0" borderId="9"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6" fillId="0" borderId="9"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87" fillId="0" borderId="5" xfId="0" applyFont="1" applyFill="1" applyBorder="1" applyAlignment="1">
      <alignment horizontal="center" vertical="center" wrapText="1" readingOrder="1"/>
    </xf>
    <xf numFmtId="0" fontId="6" fillId="0" borderId="9" xfId="0" applyFont="1" applyFill="1" applyBorder="1" applyAlignment="1">
      <alignment horizontal="center" vertical="center" wrapText="1" readingOrder="1"/>
    </xf>
    <xf numFmtId="0" fontId="6" fillId="0" borderId="1" xfId="0" applyFont="1" applyFill="1" applyBorder="1" applyAlignment="1">
      <alignment horizontal="center" vertical="center" wrapText="1" readingOrder="1"/>
    </xf>
    <xf numFmtId="0" fontId="6" fillId="0" borderId="3" xfId="0" applyFont="1" applyFill="1" applyBorder="1" applyAlignment="1">
      <alignment horizontal="center" vertical="center" wrapText="1" readingOrder="1"/>
    </xf>
    <xf numFmtId="0" fontId="6" fillId="0" borderId="5" xfId="0" applyFont="1" applyFill="1" applyBorder="1" applyAlignment="1">
      <alignment horizontal="left" vertical="center" wrapText="1"/>
    </xf>
    <xf numFmtId="0" fontId="6" fillId="0" borderId="5" xfId="0" applyFont="1" applyFill="1" applyBorder="1" applyAlignment="1">
      <alignment horizontal="left" vertical="center"/>
    </xf>
    <xf numFmtId="43" fontId="4" fillId="36" borderId="58" xfId="4" applyFont="1" applyFill="1" applyBorder="1" applyAlignment="1">
      <alignment horizontal="center" vertical="center"/>
    </xf>
    <xf numFmtId="43" fontId="4" fillId="36" borderId="16" xfId="4" applyFont="1" applyFill="1" applyBorder="1" applyAlignment="1">
      <alignment horizontal="center" vertical="center"/>
    </xf>
    <xf numFmtId="0" fontId="7" fillId="2" borderId="30" xfId="0" applyFont="1" applyFill="1" applyBorder="1" applyAlignment="1">
      <alignment horizontal="center" vertical="center"/>
    </xf>
    <xf numFmtId="0" fontId="7" fillId="2" borderId="43" xfId="0" applyFont="1" applyFill="1" applyBorder="1" applyAlignment="1">
      <alignment horizontal="center" vertical="center"/>
    </xf>
    <xf numFmtId="181" fontId="88" fillId="43" borderId="5" xfId="0" applyNumberFormat="1" applyFont="1" applyFill="1" applyBorder="1" applyAlignment="1">
      <alignment horizontal="center" vertical="center"/>
    </xf>
    <xf numFmtId="43" fontId="46" fillId="53" borderId="21" xfId="4" applyFont="1" applyFill="1" applyBorder="1" applyAlignment="1">
      <alignment horizontal="center" vertical="center"/>
    </xf>
    <xf numFmtId="43" fontId="46" fillId="53" borderId="61" xfId="4" applyFont="1" applyFill="1" applyBorder="1" applyAlignment="1">
      <alignment horizontal="center" vertical="center"/>
    </xf>
    <xf numFmtId="43" fontId="4" fillId="0" borderId="21" xfId="4" applyFont="1" applyFill="1" applyBorder="1" applyAlignment="1">
      <alignment horizontal="center" vertical="center"/>
    </xf>
    <xf numFmtId="43" fontId="4" fillId="0" borderId="61" xfId="4" applyFont="1" applyFill="1" applyBorder="1" applyAlignment="1">
      <alignment horizontal="center" vertical="center"/>
    </xf>
    <xf numFmtId="176" fontId="6" fillId="0" borderId="20" xfId="0" applyNumberFormat="1" applyFont="1" applyFill="1" applyBorder="1" applyAlignment="1">
      <alignment horizontal="center" vertical="center" wrapText="1"/>
    </xf>
    <xf numFmtId="176" fontId="6" fillId="0" borderId="48" xfId="0" applyNumberFormat="1" applyFont="1" applyFill="1" applyBorder="1" applyAlignment="1">
      <alignment horizontal="center" vertical="center" wrapText="1"/>
    </xf>
    <xf numFmtId="176" fontId="6" fillId="0" borderId="49" xfId="0" applyNumberFormat="1" applyFont="1" applyFill="1" applyBorder="1" applyAlignment="1">
      <alignment horizontal="center" vertical="center" wrapText="1"/>
    </xf>
    <xf numFmtId="176" fontId="6" fillId="0" borderId="54" xfId="0" applyNumberFormat="1" applyFont="1" applyFill="1" applyBorder="1" applyAlignment="1">
      <alignment horizontal="center" vertical="center" wrapText="1"/>
    </xf>
    <xf numFmtId="176" fontId="6" fillId="0" borderId="55" xfId="0" applyNumberFormat="1" applyFont="1" applyFill="1" applyBorder="1" applyAlignment="1">
      <alignment horizontal="center" vertical="center" wrapText="1"/>
    </xf>
    <xf numFmtId="176" fontId="67" fillId="0" borderId="17" xfId="0" applyNumberFormat="1" applyFont="1" applyFill="1" applyBorder="1" applyAlignment="1">
      <alignment horizontal="center" vertical="center"/>
    </xf>
    <xf numFmtId="176" fontId="67" fillId="0" borderId="12" xfId="0" applyNumberFormat="1" applyFont="1" applyFill="1" applyBorder="1" applyAlignment="1">
      <alignment horizontal="center" vertical="center"/>
    </xf>
    <xf numFmtId="176" fontId="67" fillId="0" borderId="22" xfId="0" applyNumberFormat="1" applyFont="1" applyFill="1" applyBorder="1" applyAlignment="1">
      <alignment horizontal="center" vertical="center"/>
    </xf>
    <xf numFmtId="176" fontId="6" fillId="0" borderId="11" xfId="0" applyNumberFormat="1" applyFont="1" applyBorder="1" applyAlignment="1">
      <alignment horizontal="center" vertical="center" wrapText="1"/>
    </xf>
    <xf numFmtId="176" fontId="6" fillId="0" borderId="1" xfId="0" applyNumberFormat="1" applyFont="1" applyBorder="1" applyAlignment="1">
      <alignment horizontal="center" vertical="center" wrapText="1"/>
    </xf>
    <xf numFmtId="176" fontId="6" fillId="0" borderId="57" xfId="0" applyNumberFormat="1" applyFont="1" applyBorder="1" applyAlignment="1">
      <alignment horizontal="center" vertical="center" wrapText="1"/>
    </xf>
    <xf numFmtId="176" fontId="88" fillId="41" borderId="22" xfId="0" applyNumberFormat="1" applyFont="1" applyFill="1" applyBorder="1" applyAlignment="1">
      <alignment horizontal="center" vertical="center"/>
    </xf>
    <xf numFmtId="176" fontId="88" fillId="41" borderId="12" xfId="0" applyNumberFormat="1" applyFont="1" applyFill="1" applyBorder="1" applyAlignment="1">
      <alignment horizontal="center" vertical="center"/>
    </xf>
    <xf numFmtId="176" fontId="6" fillId="0" borderId="9" xfId="0" applyNumberFormat="1" applyFont="1" applyBorder="1" applyAlignment="1">
      <alignment horizontal="center" vertical="center" wrapText="1"/>
    </xf>
    <xf numFmtId="176" fontId="6" fillId="0" borderId="3" xfId="0" applyNumberFormat="1" applyFont="1" applyBorder="1" applyAlignment="1">
      <alignment horizontal="center" vertical="center" wrapText="1"/>
    </xf>
    <xf numFmtId="176" fontId="6" fillId="0" borderId="22" xfId="0" applyNumberFormat="1" applyFont="1" applyFill="1" applyBorder="1" applyAlignment="1">
      <alignment horizontal="center" vertical="center"/>
    </xf>
    <xf numFmtId="176" fontId="6" fillId="0" borderId="12" xfId="0" applyNumberFormat="1" applyFont="1" applyFill="1" applyBorder="1" applyAlignment="1">
      <alignment horizontal="center" vertical="center"/>
    </xf>
    <xf numFmtId="176" fontId="6" fillId="0" borderId="26" xfId="0" applyNumberFormat="1" applyFont="1" applyFill="1" applyBorder="1" applyAlignment="1">
      <alignment horizontal="center" vertical="center"/>
    </xf>
    <xf numFmtId="176" fontId="25" fillId="0" borderId="20" xfId="0" applyNumberFormat="1" applyFont="1" applyFill="1" applyBorder="1" applyAlignment="1">
      <alignment horizontal="center" vertical="center" wrapText="1"/>
    </xf>
    <xf numFmtId="176" fontId="25" fillId="0" borderId="48" xfId="0" applyNumberFormat="1" applyFont="1" applyFill="1" applyBorder="1" applyAlignment="1">
      <alignment horizontal="center" vertical="center" wrapText="1"/>
    </xf>
    <xf numFmtId="176" fontId="25" fillId="0" borderId="49" xfId="0" applyNumberFormat="1" applyFont="1" applyFill="1" applyBorder="1" applyAlignment="1">
      <alignment horizontal="center" vertical="center" wrapText="1"/>
    </xf>
    <xf numFmtId="176" fontId="0" fillId="10" borderId="25" xfId="0" applyNumberFormat="1" applyFont="1" applyFill="1" applyBorder="1" applyAlignment="1">
      <alignment horizontal="center" vertical="center"/>
    </xf>
    <xf numFmtId="176" fontId="0" fillId="10" borderId="27" xfId="0" applyNumberFormat="1" applyFont="1" applyFill="1" applyBorder="1" applyAlignment="1">
      <alignment horizontal="center" vertical="center"/>
    </xf>
    <xf numFmtId="176" fontId="0" fillId="10" borderId="23" xfId="0" applyNumberFormat="1" applyFont="1" applyFill="1" applyBorder="1" applyAlignment="1">
      <alignment horizontal="center" vertical="center"/>
    </xf>
    <xf numFmtId="176" fontId="87" fillId="0" borderId="17" xfId="0" applyNumberFormat="1" applyFont="1" applyBorder="1" applyAlignment="1">
      <alignment horizontal="center" vertical="center" wrapText="1" readingOrder="1"/>
    </xf>
    <xf numFmtId="176" fontId="87" fillId="0" borderId="12" xfId="0" applyNumberFormat="1" applyFont="1" applyBorder="1" applyAlignment="1">
      <alignment horizontal="center" vertical="center" wrapText="1" readingOrder="1"/>
    </xf>
    <xf numFmtId="176" fontId="87" fillId="0" borderId="22" xfId="0" applyNumberFormat="1" applyFont="1" applyBorder="1" applyAlignment="1">
      <alignment horizontal="center" vertical="center" wrapText="1" readingOrder="1"/>
    </xf>
    <xf numFmtId="176" fontId="6" fillId="0" borderId="17" xfId="0" applyNumberFormat="1" applyFont="1" applyBorder="1" applyAlignment="1">
      <alignment horizontal="center" vertical="center"/>
    </xf>
    <xf numFmtId="176" fontId="6" fillId="0" borderId="12" xfId="0" applyNumberFormat="1" applyFont="1" applyBorder="1" applyAlignment="1">
      <alignment horizontal="center" vertical="center"/>
    </xf>
    <xf numFmtId="176" fontId="6" fillId="0" borderId="22" xfId="0" applyNumberFormat="1" applyFont="1" applyBorder="1" applyAlignment="1">
      <alignment horizontal="center" vertical="center"/>
    </xf>
    <xf numFmtId="176" fontId="0" fillId="41" borderId="22" xfId="0" applyNumberFormat="1" applyFont="1" applyFill="1" applyBorder="1" applyAlignment="1">
      <alignment horizontal="center" vertical="center"/>
    </xf>
    <xf numFmtId="176" fontId="0" fillId="41" borderId="12" xfId="0" applyNumberFormat="1" applyFont="1" applyFill="1" applyBorder="1" applyAlignment="1">
      <alignment horizontal="center" vertical="center"/>
    </xf>
    <xf numFmtId="176" fontId="67" fillId="0" borderId="23" xfId="0" applyNumberFormat="1" applyFont="1" applyFill="1" applyBorder="1" applyAlignment="1">
      <alignment horizontal="center" vertical="center"/>
    </xf>
    <xf numFmtId="176" fontId="67" fillId="0" borderId="27" xfId="0" applyNumberFormat="1" applyFont="1" applyFill="1" applyBorder="1" applyAlignment="1">
      <alignment horizontal="center" vertical="center"/>
    </xf>
    <xf numFmtId="176" fontId="0" fillId="8" borderId="22" xfId="0" applyNumberFormat="1" applyFont="1" applyFill="1" applyBorder="1" applyAlignment="1">
      <alignment horizontal="center" vertical="center"/>
    </xf>
    <xf numFmtId="176" fontId="0" fillId="8" borderId="12" xfId="0" applyNumberFormat="1" applyFont="1" applyFill="1" applyBorder="1" applyAlignment="1">
      <alignment horizontal="center" vertical="center"/>
    </xf>
    <xf numFmtId="0" fontId="25" fillId="38" borderId="22" xfId="0" applyFont="1" applyFill="1" applyBorder="1" applyAlignment="1">
      <alignment horizontal="center" vertical="center" wrapText="1"/>
    </xf>
    <xf numFmtId="0" fontId="25" fillId="38" borderId="26" xfId="0" applyFont="1" applyFill="1" applyBorder="1" applyAlignment="1">
      <alignment horizontal="center" vertical="center" wrapText="1"/>
    </xf>
    <xf numFmtId="0" fontId="25" fillId="38" borderId="12" xfId="0" applyFont="1" applyFill="1" applyBorder="1" applyAlignment="1">
      <alignment horizontal="center" vertical="center" wrapText="1"/>
    </xf>
    <xf numFmtId="43" fontId="4" fillId="0" borderId="27" xfId="4" applyFont="1" applyFill="1" applyBorder="1" applyAlignment="1">
      <alignment horizontal="center" vertical="center"/>
    </xf>
    <xf numFmtId="43" fontId="4" fillId="0" borderId="7" xfId="4" applyFont="1" applyFill="1" applyBorder="1" applyAlignment="1">
      <alignment horizontal="center" vertical="center"/>
    </xf>
    <xf numFmtId="0" fontId="6" fillId="43" borderId="5" xfId="0" applyFont="1" applyFill="1" applyBorder="1" applyAlignment="1">
      <alignment horizontal="left" vertical="center" wrapText="1"/>
    </xf>
    <xf numFmtId="0" fontId="0" fillId="0" borderId="35" xfId="0" applyFill="1" applyBorder="1" applyAlignment="1">
      <alignment horizontal="center" vertical="center"/>
    </xf>
    <xf numFmtId="0" fontId="0" fillId="0" borderId="7" xfId="0" applyFill="1" applyBorder="1" applyAlignment="1">
      <alignment horizontal="center" vertical="center"/>
    </xf>
    <xf numFmtId="0" fontId="0" fillId="0" borderId="29" xfId="0" applyFill="1" applyBorder="1" applyAlignment="1">
      <alignment horizontal="center" vertical="center"/>
    </xf>
    <xf numFmtId="43" fontId="4" fillId="0" borderId="29" xfId="4" applyFont="1" applyFill="1" applyBorder="1" applyAlignment="1">
      <alignment horizontal="center" vertical="center"/>
    </xf>
    <xf numFmtId="0" fontId="25" fillId="14" borderId="28" xfId="0" applyFont="1" applyFill="1" applyBorder="1" applyAlignment="1">
      <alignment horizontal="center" vertical="center" wrapText="1"/>
    </xf>
    <xf numFmtId="0" fontId="25" fillId="14" borderId="43" xfId="0" applyFont="1" applyFill="1" applyBorder="1" applyAlignment="1">
      <alignment horizontal="center" vertical="center" wrapText="1"/>
    </xf>
    <xf numFmtId="0" fontId="25" fillId="14" borderId="29" xfId="0" applyFont="1" applyFill="1" applyBorder="1" applyAlignment="1">
      <alignment horizontal="center" vertical="center" wrapText="1"/>
    </xf>
    <xf numFmtId="0" fontId="8" fillId="8" borderId="21" xfId="0" applyFont="1" applyFill="1" applyBorder="1" applyAlignment="1">
      <alignment horizontal="center" vertical="center" wrapText="1"/>
    </xf>
    <xf numFmtId="0" fontId="8" fillId="8" borderId="31" xfId="0" applyFont="1" applyFill="1" applyBorder="1" applyAlignment="1">
      <alignment horizontal="center" vertical="center" wrapText="1"/>
    </xf>
    <xf numFmtId="0" fontId="25" fillId="18" borderId="22" xfId="0" applyFont="1" applyFill="1" applyBorder="1" applyAlignment="1">
      <alignment horizontal="center" vertical="center" wrapText="1"/>
    </xf>
    <xf numFmtId="0" fontId="25" fillId="18" borderId="26" xfId="0" applyFont="1" applyFill="1" applyBorder="1" applyAlignment="1">
      <alignment horizontal="center" vertical="center" wrapText="1"/>
    </xf>
    <xf numFmtId="0" fontId="25" fillId="18" borderId="22" xfId="0" applyFont="1" applyFill="1" applyBorder="1" applyAlignment="1">
      <alignment horizontal="left" vertical="center" wrapText="1"/>
    </xf>
    <xf numFmtId="0" fontId="25" fillId="18" borderId="12" xfId="0" applyFont="1" applyFill="1" applyBorder="1" applyAlignment="1">
      <alignment horizontal="left" vertical="center" wrapText="1"/>
    </xf>
    <xf numFmtId="0" fontId="6" fillId="43" borderId="22" xfId="0" applyFont="1" applyFill="1" applyBorder="1" applyAlignment="1">
      <alignment horizontal="left" vertical="center" wrapText="1"/>
    </xf>
    <xf numFmtId="0" fontId="6" fillId="43" borderId="12" xfId="0" applyFont="1" applyFill="1" applyBorder="1" applyAlignment="1">
      <alignment horizontal="left" vertical="center" wrapText="1"/>
    </xf>
    <xf numFmtId="0" fontId="25" fillId="43" borderId="5" xfId="0" applyFont="1" applyFill="1" applyBorder="1" applyAlignment="1">
      <alignment horizontal="center" vertical="center" wrapText="1"/>
    </xf>
    <xf numFmtId="0" fontId="34" fillId="0" borderId="14" xfId="0" applyFont="1" applyFill="1" applyBorder="1" applyAlignment="1">
      <alignment horizontal="center" vertical="center"/>
    </xf>
    <xf numFmtId="0" fontId="34" fillId="0" borderId="16" xfId="0" applyFont="1" applyFill="1" applyBorder="1" applyAlignment="1">
      <alignment horizontal="center" vertical="center"/>
    </xf>
    <xf numFmtId="0" fontId="7" fillId="29" borderId="5" xfId="0" applyFont="1" applyFill="1" applyBorder="1" applyAlignment="1">
      <alignment horizontal="center" vertical="center"/>
    </xf>
    <xf numFmtId="0" fontId="7" fillId="27" borderId="5" xfId="0" applyFont="1" applyFill="1" applyBorder="1" applyAlignment="1">
      <alignment horizontal="center" vertical="center"/>
    </xf>
    <xf numFmtId="0" fontId="7" fillId="26" borderId="21" xfId="0" applyFont="1" applyFill="1" applyBorder="1" applyAlignment="1">
      <alignment horizontal="center" vertical="center"/>
    </xf>
    <xf numFmtId="0" fontId="7" fillId="26" borderId="31" xfId="0" applyFont="1" applyFill="1" applyBorder="1" applyAlignment="1">
      <alignment horizontal="center" vertical="center"/>
    </xf>
    <xf numFmtId="0" fontId="7" fillId="26" borderId="5" xfId="0" applyFont="1" applyFill="1" applyBorder="1" applyAlignment="1">
      <alignment horizontal="center" vertical="center"/>
    </xf>
    <xf numFmtId="0" fontId="7" fillId="28" borderId="45" xfId="0" applyFont="1" applyFill="1" applyBorder="1" applyAlignment="1">
      <alignment horizontal="center" vertical="center"/>
    </xf>
    <xf numFmtId="0" fontId="74" fillId="30" borderId="5" xfId="0" applyFont="1" applyFill="1" applyBorder="1" applyAlignment="1">
      <alignment horizontal="center" vertical="center"/>
    </xf>
    <xf numFmtId="0" fontId="7" fillId="26" borderId="26" xfId="0" applyFont="1" applyFill="1" applyBorder="1" applyAlignment="1">
      <alignment horizontal="center" vertical="center"/>
    </xf>
    <xf numFmtId="0" fontId="7" fillId="26" borderId="12" xfId="0" applyFont="1" applyFill="1" applyBorder="1" applyAlignment="1">
      <alignment horizontal="center" vertical="center"/>
    </xf>
    <xf numFmtId="0" fontId="7" fillId="28" borderId="5" xfId="0" applyFont="1" applyFill="1" applyBorder="1" applyAlignment="1">
      <alignment horizontal="center" vertical="center" wrapText="1"/>
    </xf>
    <xf numFmtId="0" fontId="7" fillId="28" borderId="46" xfId="0" applyFont="1" applyFill="1" applyBorder="1" applyAlignment="1">
      <alignment horizontal="center" vertical="center"/>
    </xf>
    <xf numFmtId="0" fontId="7" fillId="28" borderId="45" xfId="0" applyFont="1" applyFill="1" applyBorder="1" applyAlignment="1">
      <alignment horizontal="center" vertical="center" wrapText="1"/>
    </xf>
    <xf numFmtId="0" fontId="7" fillId="27" borderId="46" xfId="0" applyFont="1" applyFill="1" applyBorder="1" applyAlignment="1">
      <alignment horizontal="center" vertical="center"/>
    </xf>
    <xf numFmtId="0" fontId="7" fillId="27" borderId="45" xfId="0" applyFont="1" applyFill="1" applyBorder="1" applyAlignment="1">
      <alignment horizontal="center" vertical="center"/>
    </xf>
    <xf numFmtId="0" fontId="7" fillId="28" borderId="44" xfId="0" applyFont="1" applyFill="1" applyBorder="1" applyAlignment="1">
      <alignment horizontal="center" vertical="center"/>
    </xf>
    <xf numFmtId="0" fontId="0" fillId="8" borderId="21" xfId="0" applyFill="1" applyBorder="1" applyAlignment="1">
      <alignment horizontal="left" vertical="center"/>
    </xf>
    <xf numFmtId="0" fontId="0" fillId="8" borderId="31" xfId="0" applyFill="1" applyBorder="1" applyAlignment="1">
      <alignment horizontal="left" vertical="center"/>
    </xf>
    <xf numFmtId="0" fontId="0" fillId="8" borderId="5" xfId="0" applyFill="1" applyBorder="1" applyAlignment="1">
      <alignment horizontal="left" vertical="center"/>
    </xf>
    <xf numFmtId="0" fontId="68" fillId="28" borderId="5" xfId="0" applyFont="1" applyFill="1" applyBorder="1" applyAlignment="1">
      <alignment horizontal="center" vertical="center" wrapText="1"/>
    </xf>
    <xf numFmtId="0" fontId="4" fillId="0" borderId="22" xfId="4" applyNumberFormat="1" applyFont="1" applyFill="1" applyBorder="1" applyAlignment="1">
      <alignment horizontal="center" vertical="center"/>
    </xf>
    <xf numFmtId="0" fontId="4" fillId="0" borderId="26" xfId="4" applyNumberFormat="1" applyFont="1" applyFill="1" applyBorder="1" applyAlignment="1">
      <alignment horizontal="center" vertical="center"/>
    </xf>
    <xf numFmtId="0" fontId="4" fillId="0" borderId="12" xfId="4" applyNumberFormat="1" applyFont="1" applyFill="1" applyBorder="1" applyAlignment="1">
      <alignment horizontal="center" vertical="center"/>
    </xf>
    <xf numFmtId="176" fontId="4" fillId="0" borderId="22" xfId="4" applyNumberFormat="1" applyFont="1" applyBorder="1" applyAlignment="1">
      <alignment horizontal="center" vertical="center"/>
    </xf>
    <xf numFmtId="176" fontId="4" fillId="0" borderId="26" xfId="4" applyNumberFormat="1" applyFont="1" applyBorder="1" applyAlignment="1">
      <alignment horizontal="center" vertical="center"/>
    </xf>
    <xf numFmtId="176" fontId="4" fillId="0" borderId="12" xfId="4" applyNumberFormat="1" applyFont="1" applyBorder="1" applyAlignment="1">
      <alignment horizontal="center" vertical="center"/>
    </xf>
    <xf numFmtId="181" fontId="4" fillId="0" borderId="5" xfId="0" applyNumberFormat="1" applyFont="1" applyFill="1" applyBorder="1" applyAlignment="1">
      <alignment horizontal="center" vertical="top"/>
    </xf>
    <xf numFmtId="0" fontId="4" fillId="0" borderId="5" xfId="0" applyNumberFormat="1" applyFont="1" applyFill="1" applyBorder="1" applyAlignment="1">
      <alignment horizontal="center" vertical="top"/>
    </xf>
    <xf numFmtId="0" fontId="4" fillId="6" borderId="5" xfId="0" applyNumberFormat="1" applyFont="1" applyFill="1" applyBorder="1" applyAlignment="1">
      <alignment horizontal="center" vertical="center" wrapText="1"/>
    </xf>
    <xf numFmtId="0" fontId="4" fillId="0" borderId="5" xfId="0" applyNumberFormat="1" applyFont="1" applyFill="1" applyBorder="1" applyAlignment="1">
      <alignment horizontal="center" vertical="center" wrapText="1"/>
    </xf>
    <xf numFmtId="181" fontId="4" fillId="0" borderId="5" xfId="0" applyNumberFormat="1" applyFont="1" applyFill="1" applyBorder="1" applyAlignment="1">
      <alignment horizontal="center" vertical="center" wrapText="1"/>
    </xf>
    <xf numFmtId="181" fontId="4" fillId="18" borderId="5" xfId="0" applyNumberFormat="1" applyFont="1" applyFill="1" applyBorder="1" applyAlignment="1">
      <alignment horizontal="center" vertical="center" wrapText="1"/>
    </xf>
    <xf numFmtId="0" fontId="7" fillId="2" borderId="23" xfId="0" applyNumberFormat="1" applyFont="1" applyFill="1" applyBorder="1" applyAlignment="1">
      <alignment horizontal="center" vertical="center" wrapText="1"/>
    </xf>
    <xf numFmtId="0" fontId="7" fillId="2" borderId="35" xfId="0" applyNumberFormat="1" applyFont="1" applyFill="1" applyBorder="1" applyAlignment="1">
      <alignment horizontal="center" vertical="center" wrapText="1"/>
    </xf>
    <xf numFmtId="0" fontId="7" fillId="2" borderId="28" xfId="0" applyNumberFormat="1" applyFont="1" applyFill="1" applyBorder="1" applyAlignment="1">
      <alignment horizontal="center" vertical="center" wrapText="1"/>
    </xf>
    <xf numFmtId="176" fontId="4" fillId="0" borderId="5" xfId="0" applyNumberFormat="1" applyFont="1" applyFill="1" applyBorder="1" applyAlignment="1">
      <alignment horizontal="center" vertical="center" wrapText="1"/>
    </xf>
    <xf numFmtId="10" fontId="4" fillId="0" borderId="5" xfId="0" applyNumberFormat="1" applyFont="1" applyFill="1" applyBorder="1" applyAlignment="1">
      <alignment horizontal="center" vertical="top"/>
    </xf>
    <xf numFmtId="10" fontId="4" fillId="6" borderId="5" xfId="0" applyNumberFormat="1" applyFont="1" applyFill="1" applyBorder="1" applyAlignment="1">
      <alignment horizontal="center" vertical="center" wrapText="1"/>
    </xf>
    <xf numFmtId="0" fontId="4" fillId="0" borderId="5" xfId="0" applyNumberFormat="1" applyFont="1" applyFill="1" applyBorder="1" applyAlignment="1">
      <alignment horizontal="left" vertical="top" wrapText="1"/>
    </xf>
    <xf numFmtId="0" fontId="4" fillId="0" borderId="5" xfId="0" applyNumberFormat="1" applyFont="1" applyBorder="1" applyAlignment="1">
      <alignment horizontal="left" vertical="top" wrapText="1"/>
    </xf>
    <xf numFmtId="0" fontId="4" fillId="0" borderId="5" xfId="4" applyNumberFormat="1" applyFont="1" applyBorder="1" applyAlignment="1">
      <alignment horizontal="left" vertical="top" wrapText="1"/>
    </xf>
    <xf numFmtId="0" fontId="4" fillId="0" borderId="22" xfId="4" applyNumberFormat="1" applyFont="1" applyBorder="1" applyAlignment="1">
      <alignment horizontal="left" vertical="top" wrapText="1"/>
    </xf>
    <xf numFmtId="0" fontId="4" fillId="0" borderId="26" xfId="0" applyNumberFormat="1" applyFont="1" applyBorder="1" applyAlignment="1">
      <alignment horizontal="left" vertical="top" wrapText="1"/>
    </xf>
    <xf numFmtId="0" fontId="4" fillId="0" borderId="12" xfId="0" applyNumberFormat="1" applyFont="1" applyBorder="1" applyAlignment="1">
      <alignment horizontal="left" vertical="top" wrapText="1"/>
    </xf>
    <xf numFmtId="0" fontId="4" fillId="0" borderId="5" xfId="0" applyNumberFormat="1" applyFont="1" applyBorder="1" applyAlignment="1">
      <alignment horizontal="center" vertical="top"/>
    </xf>
    <xf numFmtId="0" fontId="4" fillId="9" borderId="22" xfId="0" applyNumberFormat="1" applyFont="1" applyFill="1" applyBorder="1" applyAlignment="1">
      <alignment horizontal="center" vertical="center"/>
    </xf>
    <xf numFmtId="0" fontId="4" fillId="9" borderId="26" xfId="0" applyNumberFormat="1" applyFont="1" applyFill="1" applyBorder="1" applyAlignment="1">
      <alignment horizontal="center" vertical="center"/>
    </xf>
    <xf numFmtId="0" fontId="4" fillId="9" borderId="12" xfId="0" applyNumberFormat="1" applyFont="1" applyFill="1" applyBorder="1" applyAlignment="1">
      <alignment horizontal="center" vertical="center"/>
    </xf>
    <xf numFmtId="0" fontId="4" fillId="9" borderId="5" xfId="0" applyNumberFormat="1" applyFont="1" applyFill="1" applyBorder="1" applyAlignment="1">
      <alignment horizontal="center" vertical="top"/>
    </xf>
    <xf numFmtId="0" fontId="20" fillId="0" borderId="5" xfId="0" applyNumberFormat="1" applyFont="1" applyFill="1" applyBorder="1" applyAlignment="1">
      <alignment horizontal="left" vertical="top" wrapText="1"/>
    </xf>
    <xf numFmtId="176" fontId="4" fillId="0" borderId="5" xfId="0" applyNumberFormat="1" applyFont="1" applyFill="1" applyBorder="1" applyAlignment="1">
      <alignment horizontal="center" vertical="top"/>
    </xf>
    <xf numFmtId="0" fontId="20" fillId="0" borderId="5" xfId="0" applyNumberFormat="1" applyFont="1" applyBorder="1" applyAlignment="1">
      <alignment horizontal="left" vertical="top" wrapText="1"/>
    </xf>
    <xf numFmtId="0" fontId="36" fillId="0" borderId="5" xfId="6" applyNumberFormat="1" applyFont="1" applyFill="1" applyBorder="1" applyAlignment="1">
      <alignment horizontal="left" vertical="top" wrapText="1"/>
    </xf>
    <xf numFmtId="0" fontId="36" fillId="0" borderId="22" xfId="6" applyNumberFormat="1" applyFont="1" applyFill="1" applyBorder="1" applyAlignment="1">
      <alignment horizontal="left" vertical="top" wrapText="1"/>
    </xf>
    <xf numFmtId="0" fontId="20" fillId="0" borderId="26" xfId="0" applyNumberFormat="1" applyFont="1" applyBorder="1" applyAlignment="1">
      <alignment horizontal="left" vertical="top" wrapText="1"/>
    </xf>
    <xf numFmtId="0" fontId="20" fillId="0" borderId="12" xfId="0" applyNumberFormat="1" applyFont="1" applyBorder="1" applyAlignment="1">
      <alignment horizontal="left" vertical="top" wrapText="1"/>
    </xf>
    <xf numFmtId="0" fontId="52" fillId="0" borderId="22" xfId="4" applyNumberFormat="1" applyFont="1" applyFill="1" applyBorder="1" applyAlignment="1">
      <alignment horizontal="center" vertical="center"/>
    </xf>
    <xf numFmtId="0" fontId="52" fillId="0" borderId="12" xfId="4" applyNumberFormat="1" applyFont="1" applyFill="1" applyBorder="1" applyAlignment="1">
      <alignment horizontal="center" vertical="center"/>
    </xf>
    <xf numFmtId="0" fontId="4" fillId="14" borderId="22" xfId="4" applyNumberFormat="1" applyFont="1" applyFill="1" applyBorder="1" applyAlignment="1">
      <alignment horizontal="center" vertical="center"/>
    </xf>
    <xf numFmtId="0" fontId="4" fillId="14" borderId="12" xfId="4" applyNumberFormat="1" applyFont="1" applyFill="1" applyBorder="1" applyAlignment="1">
      <alignment horizontal="center" vertical="center"/>
    </xf>
    <xf numFmtId="0" fontId="7" fillId="2" borderId="21" xfId="0" applyNumberFormat="1" applyFont="1" applyFill="1" applyBorder="1" applyAlignment="1">
      <alignment horizontal="center" vertical="center" wrapText="1"/>
    </xf>
    <xf numFmtId="0" fontId="73" fillId="2" borderId="19" xfId="0" applyNumberFormat="1" applyFont="1" applyFill="1" applyBorder="1" applyAlignment="1">
      <alignment horizontal="center" vertical="center" wrapText="1"/>
    </xf>
    <xf numFmtId="0" fontId="73" fillId="2" borderId="31" xfId="0" applyNumberFormat="1" applyFont="1" applyFill="1" applyBorder="1" applyAlignment="1">
      <alignment horizontal="center" vertical="center" wrapText="1"/>
    </xf>
    <xf numFmtId="0" fontId="4" fillId="0" borderId="22" xfId="0" applyNumberFormat="1" applyFont="1" applyBorder="1" applyAlignment="1">
      <alignment horizontal="left" vertical="top"/>
    </xf>
    <xf numFmtId="0" fontId="4" fillId="0" borderId="26" xfId="0" applyNumberFormat="1" applyFont="1" applyBorder="1" applyAlignment="1">
      <alignment horizontal="left" vertical="top"/>
    </xf>
    <xf numFmtId="0" fontId="4" fillId="0" borderId="12" xfId="0" applyNumberFormat="1" applyFont="1" applyBorder="1" applyAlignment="1">
      <alignment horizontal="left" vertical="top"/>
    </xf>
    <xf numFmtId="0" fontId="7" fillId="2" borderId="19" xfId="0" applyNumberFormat="1" applyFont="1" applyFill="1" applyBorder="1" applyAlignment="1">
      <alignment horizontal="center" vertical="center" wrapText="1"/>
    </xf>
    <xf numFmtId="181" fontId="4" fillId="0" borderId="22" xfId="0" applyNumberFormat="1" applyFont="1" applyFill="1" applyBorder="1" applyAlignment="1">
      <alignment horizontal="center" vertical="center" wrapText="1"/>
    </xf>
    <xf numFmtId="181" fontId="4" fillId="0" borderId="26" xfId="0" applyNumberFormat="1" applyFont="1" applyFill="1" applyBorder="1" applyAlignment="1">
      <alignment horizontal="center" vertical="center" wrapText="1"/>
    </xf>
    <xf numFmtId="181" fontId="4" fillId="0" borderId="12" xfId="0" applyNumberFormat="1" applyFont="1" applyFill="1" applyBorder="1" applyAlignment="1">
      <alignment horizontal="center" vertical="center" wrapText="1"/>
    </xf>
    <xf numFmtId="0" fontId="4" fillId="0" borderId="5" xfId="0" applyFont="1" applyFill="1" applyBorder="1" applyAlignment="1">
      <alignment horizontal="center" vertical="center"/>
    </xf>
    <xf numFmtId="181" fontId="4" fillId="0" borderId="5" xfId="0" applyNumberFormat="1" applyFont="1" applyFill="1" applyBorder="1" applyAlignment="1">
      <alignment horizontal="center" vertical="center"/>
    </xf>
    <xf numFmtId="0" fontId="20" fillId="0" borderId="22" xfId="0" applyFont="1" applyBorder="1" applyAlignment="1">
      <alignment horizontal="left" vertical="center" wrapText="1"/>
    </xf>
    <xf numFmtId="0" fontId="20" fillId="0" borderId="26" xfId="0" applyFont="1" applyBorder="1" applyAlignment="1">
      <alignment horizontal="left" vertical="center" wrapText="1"/>
    </xf>
    <xf numFmtId="0" fontId="20" fillId="0" borderId="12" xfId="0" applyFont="1" applyBorder="1" applyAlignment="1">
      <alignment horizontal="left" vertical="center" wrapText="1"/>
    </xf>
    <xf numFmtId="0" fontId="20" fillId="0" borderId="23" xfId="0" applyFont="1" applyBorder="1" applyAlignment="1">
      <alignment horizontal="left" vertical="center" wrapText="1"/>
    </xf>
    <xf numFmtId="0" fontId="20" fillId="0" borderId="30" xfId="0" applyFont="1" applyBorder="1" applyAlignment="1">
      <alignment horizontal="left" vertical="center" wrapText="1"/>
    </xf>
    <xf numFmtId="0" fontId="20" fillId="0" borderId="27" xfId="0" applyFont="1" applyBorder="1" applyAlignment="1">
      <alignment horizontal="left" vertical="center" wrapText="1"/>
    </xf>
    <xf numFmtId="0" fontId="4" fillId="0" borderId="5" xfId="0" applyFont="1" applyBorder="1" applyAlignment="1">
      <alignment horizontal="left" vertical="center"/>
    </xf>
    <xf numFmtId="0" fontId="4" fillId="0" borderId="5" xfId="0" applyFont="1" applyBorder="1" applyAlignment="1">
      <alignment horizontal="center" vertical="center"/>
    </xf>
    <xf numFmtId="0" fontId="4" fillId="9" borderId="5" xfId="0" applyFont="1" applyFill="1" applyBorder="1" applyAlignment="1">
      <alignment horizontal="center" vertical="center"/>
    </xf>
    <xf numFmtId="43" fontId="4" fillId="0" borderId="22" xfId="4" applyFont="1" applyFill="1" applyBorder="1" applyAlignment="1">
      <alignment horizontal="center" vertical="center"/>
    </xf>
    <xf numFmtId="43" fontId="4" fillId="0" borderId="26" xfId="4" applyFont="1" applyFill="1" applyBorder="1" applyAlignment="1">
      <alignment horizontal="center" vertical="center"/>
    </xf>
    <xf numFmtId="43" fontId="4" fillId="0" borderId="12" xfId="4" applyFont="1" applyFill="1" applyBorder="1" applyAlignment="1">
      <alignment horizontal="center" vertical="center"/>
    </xf>
    <xf numFmtId="0" fontId="7" fillId="2" borderId="23" xfId="0" applyFont="1" applyFill="1" applyBorder="1" applyAlignment="1">
      <alignment horizontal="center" vertical="center"/>
    </xf>
    <xf numFmtId="0" fontId="7" fillId="2" borderId="35" xfId="0" applyFont="1" applyFill="1" applyBorder="1" applyAlignment="1">
      <alignment horizontal="center" vertical="center"/>
    </xf>
    <xf numFmtId="0" fontId="7" fillId="2" borderId="28" xfId="0" applyFont="1" applyFill="1" applyBorder="1" applyAlignment="1">
      <alignment horizontal="center" vertical="center"/>
    </xf>
    <xf numFmtId="0" fontId="20" fillId="0" borderId="22" xfId="0" applyFont="1" applyFill="1" applyBorder="1" applyAlignment="1">
      <alignment horizontal="left" vertical="center" wrapText="1"/>
    </xf>
    <xf numFmtId="0" fontId="20" fillId="0" borderId="26" xfId="0" applyFont="1" applyFill="1" applyBorder="1" applyAlignment="1">
      <alignment horizontal="left" vertical="center" wrapText="1"/>
    </xf>
    <xf numFmtId="0" fontId="20" fillId="0" borderId="12" xfId="0" applyFont="1" applyFill="1" applyBorder="1" applyAlignment="1">
      <alignment horizontal="left" vertical="center" wrapText="1"/>
    </xf>
    <xf numFmtId="0" fontId="20" fillId="0" borderId="23" xfId="0" applyFont="1" applyFill="1" applyBorder="1" applyAlignment="1">
      <alignment horizontal="left" vertical="center" wrapText="1"/>
    </xf>
    <xf numFmtId="0" fontId="20" fillId="0" borderId="30" xfId="0" applyFont="1" applyFill="1" applyBorder="1" applyAlignment="1">
      <alignment horizontal="left" vertical="center" wrapText="1"/>
    </xf>
    <xf numFmtId="0" fontId="20" fillId="0" borderId="27" xfId="0" applyFont="1" applyFill="1" applyBorder="1" applyAlignment="1">
      <alignment horizontal="left" vertical="center" wrapText="1"/>
    </xf>
    <xf numFmtId="0" fontId="7" fillId="2" borderId="21" xfId="0" applyFont="1" applyFill="1" applyBorder="1" applyAlignment="1">
      <alignment horizontal="center" vertical="center" wrapText="1"/>
    </xf>
    <xf numFmtId="0" fontId="7" fillId="2" borderId="19" xfId="0" applyFont="1" applyFill="1" applyBorder="1" applyAlignment="1">
      <alignment horizontal="center" vertical="center" wrapText="1"/>
    </xf>
    <xf numFmtId="0" fontId="4" fillId="0" borderId="22" xfId="0" applyFont="1" applyBorder="1" applyAlignment="1">
      <alignment horizontal="left" vertical="center"/>
    </xf>
    <xf numFmtId="0" fontId="4" fillId="0" borderId="12" xfId="0" applyFont="1" applyBorder="1" applyAlignment="1">
      <alignment horizontal="left" vertical="center"/>
    </xf>
    <xf numFmtId="43" fontId="4" fillId="0" borderId="22" xfId="4" applyFont="1" applyFill="1" applyBorder="1" applyAlignment="1">
      <alignment horizontal="center" vertical="top"/>
    </xf>
    <xf numFmtId="43" fontId="4" fillId="0" borderId="26" xfId="4" applyFont="1" applyFill="1" applyBorder="1" applyAlignment="1">
      <alignment horizontal="center" vertical="top"/>
    </xf>
    <xf numFmtId="43" fontId="4" fillId="0" borderId="12" xfId="4" applyFont="1" applyFill="1" applyBorder="1" applyAlignment="1">
      <alignment horizontal="center" vertical="top"/>
    </xf>
    <xf numFmtId="0" fontId="4" fillId="9" borderId="22" xfId="0" applyFont="1" applyFill="1" applyBorder="1" applyAlignment="1">
      <alignment horizontal="center" vertical="center"/>
    </xf>
    <xf numFmtId="0" fontId="4" fillId="9" borderId="26" xfId="0" applyFont="1" applyFill="1" applyBorder="1" applyAlignment="1">
      <alignment horizontal="center" vertical="center"/>
    </xf>
    <xf numFmtId="0" fontId="4" fillId="9" borderId="12" xfId="0" applyFont="1" applyFill="1" applyBorder="1" applyAlignment="1">
      <alignment horizontal="center" vertical="center"/>
    </xf>
    <xf numFmtId="0" fontId="4" fillId="0" borderId="22" xfId="0" applyFont="1" applyFill="1" applyBorder="1" applyAlignment="1">
      <alignment horizontal="center" vertical="center"/>
    </xf>
    <xf numFmtId="0" fontId="4" fillId="0" borderId="26" xfId="0" applyFont="1" applyFill="1" applyBorder="1" applyAlignment="1">
      <alignment horizontal="center" vertical="center"/>
    </xf>
    <xf numFmtId="0" fontId="4" fillId="0" borderId="12" xfId="0" applyFont="1" applyFill="1" applyBorder="1" applyAlignment="1">
      <alignment horizontal="center" vertical="center"/>
    </xf>
    <xf numFmtId="43" fontId="4" fillId="0" borderId="22" xfId="4" applyFont="1" applyBorder="1" applyAlignment="1">
      <alignment horizontal="center" vertical="top"/>
    </xf>
    <xf numFmtId="43" fontId="4" fillId="0" borderId="26" xfId="4" applyFont="1" applyBorder="1" applyAlignment="1">
      <alignment horizontal="center" vertical="top"/>
    </xf>
    <xf numFmtId="43" fontId="4" fillId="0" borderId="12" xfId="4" applyFont="1" applyBorder="1" applyAlignment="1">
      <alignment horizontal="center" vertical="top"/>
    </xf>
    <xf numFmtId="0" fontId="58" fillId="0" borderId="0" xfId="0" applyFont="1" applyAlignment="1">
      <alignment horizontal="justify" vertical="center"/>
    </xf>
    <xf numFmtId="0" fontId="56" fillId="0" borderId="0" xfId="0" applyFont="1" applyAlignment="1">
      <alignment horizontal="justify" vertical="center"/>
    </xf>
    <xf numFmtId="0" fontId="0" fillId="17" borderId="5" xfId="0" applyFill="1" applyBorder="1" applyAlignment="1">
      <alignment horizontal="center" vertical="center"/>
    </xf>
    <xf numFmtId="0" fontId="0" fillId="12" borderId="5" xfId="0" applyFill="1" applyBorder="1" applyAlignment="1">
      <alignment horizontal="center" vertical="center"/>
    </xf>
    <xf numFmtId="0" fontId="4" fillId="6" borderId="5" xfId="0" applyFont="1" applyFill="1" applyBorder="1" applyAlignment="1">
      <alignment horizontal="center" vertical="center"/>
    </xf>
    <xf numFmtId="181" fontId="4" fillId="6" borderId="5" xfId="0" applyNumberFormat="1" applyFont="1" applyFill="1" applyBorder="1" applyAlignment="1">
      <alignment horizontal="center" vertical="center"/>
    </xf>
    <xf numFmtId="0" fontId="4" fillId="0" borderId="5" xfId="0" applyFont="1" applyFill="1" applyBorder="1" applyAlignment="1">
      <alignment horizontal="right" vertical="center"/>
    </xf>
    <xf numFmtId="0" fontId="4" fillId="9" borderId="21" xfId="0" applyFont="1" applyFill="1" applyBorder="1" applyAlignment="1">
      <alignment horizontal="center" vertical="center"/>
    </xf>
    <xf numFmtId="181" fontId="4" fillId="0" borderId="5" xfId="0" applyNumberFormat="1" applyFont="1" applyFill="1" applyBorder="1" applyAlignment="1">
      <alignment horizontal="right" vertical="center"/>
    </xf>
    <xf numFmtId="0" fontId="4" fillId="0" borderId="22" xfId="0" applyFont="1" applyBorder="1" applyAlignment="1">
      <alignment horizontal="center" vertical="center"/>
    </xf>
    <xf numFmtId="0" fontId="4" fillId="0" borderId="26" xfId="0" applyFont="1" applyBorder="1" applyAlignment="1">
      <alignment horizontal="center" vertical="center"/>
    </xf>
    <xf numFmtId="0" fontId="4" fillId="0" borderId="12" xfId="0" applyFont="1" applyBorder="1" applyAlignment="1">
      <alignment horizontal="center" vertical="center"/>
    </xf>
    <xf numFmtId="0" fontId="4" fillId="0" borderId="5" xfId="0" applyFont="1" applyFill="1" applyBorder="1" applyAlignment="1">
      <alignment horizontal="left" vertical="center" wrapText="1"/>
    </xf>
    <xf numFmtId="0" fontId="4" fillId="0" borderId="5" xfId="0" applyFont="1" applyFill="1" applyBorder="1" applyAlignment="1">
      <alignment horizontal="left" vertical="center"/>
    </xf>
    <xf numFmtId="43" fontId="52" fillId="0" borderId="22" xfId="4" applyFont="1" applyBorder="1" applyAlignment="1">
      <alignment horizontal="center" vertical="center"/>
    </xf>
    <xf numFmtId="43" fontId="52" fillId="0" borderId="12" xfId="4" applyFont="1" applyBorder="1" applyAlignment="1">
      <alignment horizontal="center" vertical="center"/>
    </xf>
    <xf numFmtId="0" fontId="70" fillId="2" borderId="5" xfId="0" applyFont="1" applyFill="1" applyBorder="1" applyAlignment="1">
      <alignment horizontal="center" vertical="center"/>
    </xf>
    <xf numFmtId="0" fontId="4" fillId="0" borderId="5" xfId="0" applyFont="1" applyBorder="1" applyAlignment="1">
      <alignment horizontal="left" vertical="center" wrapText="1"/>
    </xf>
    <xf numFmtId="43" fontId="4" fillId="0" borderId="22" xfId="4" applyFont="1" applyBorder="1" applyAlignment="1">
      <alignment horizontal="center" vertical="center"/>
    </xf>
    <xf numFmtId="43" fontId="4" fillId="0" borderId="12" xfId="4" applyFont="1" applyBorder="1" applyAlignment="1">
      <alignment horizontal="center" vertical="center"/>
    </xf>
    <xf numFmtId="43" fontId="4" fillId="0" borderId="26" xfId="4" applyFont="1" applyBorder="1" applyAlignment="1">
      <alignment horizontal="center" vertical="center"/>
    </xf>
    <xf numFmtId="0" fontId="4" fillId="0" borderId="26" xfId="0" applyFont="1" applyBorder="1" applyAlignment="1">
      <alignment horizontal="left" vertical="center"/>
    </xf>
    <xf numFmtId="43" fontId="46" fillId="0" borderId="22" xfId="4" applyFont="1" applyBorder="1" applyAlignment="1">
      <alignment horizontal="center" vertical="center"/>
    </xf>
    <xf numFmtId="43" fontId="46" fillId="0" borderId="12" xfId="4" applyFont="1" applyBorder="1" applyAlignment="1">
      <alignment horizontal="center" vertical="center"/>
    </xf>
    <xf numFmtId="0" fontId="20" fillId="0" borderId="28" xfId="0" applyFont="1" applyFill="1" applyBorder="1" applyAlignment="1">
      <alignment horizontal="left" vertical="center" wrapText="1"/>
    </xf>
    <xf numFmtId="0" fontId="20" fillId="0" borderId="29" xfId="0" applyFont="1" applyFill="1" applyBorder="1" applyAlignment="1">
      <alignment horizontal="left" vertical="center" wrapText="1"/>
    </xf>
    <xf numFmtId="10" fontId="4" fillId="3" borderId="5" xfId="0" applyNumberFormat="1" applyFont="1" applyFill="1" applyBorder="1" applyAlignment="1">
      <alignment horizontal="right" vertical="center"/>
    </xf>
    <xf numFmtId="0" fontId="20" fillId="0" borderId="5" xfId="0" applyFont="1" applyFill="1" applyBorder="1" applyAlignment="1">
      <alignment horizontal="left" vertical="center" wrapText="1"/>
    </xf>
    <xf numFmtId="176" fontId="4" fillId="0" borderId="22" xfId="0" applyNumberFormat="1" applyFont="1" applyFill="1" applyBorder="1" applyAlignment="1">
      <alignment horizontal="center" vertical="center"/>
    </xf>
    <xf numFmtId="176" fontId="4" fillId="0" borderId="12" xfId="0" applyNumberFormat="1" applyFont="1" applyFill="1" applyBorder="1" applyAlignment="1">
      <alignment horizontal="center" vertical="center"/>
    </xf>
    <xf numFmtId="176" fontId="4" fillId="0" borderId="5" xfId="0" applyNumberFormat="1" applyFont="1" applyFill="1" applyBorder="1" applyAlignment="1">
      <alignment horizontal="center" vertical="center"/>
    </xf>
    <xf numFmtId="181" fontId="4" fillId="19" borderId="22" xfId="4" applyNumberFormat="1" applyFont="1" applyFill="1" applyBorder="1" applyAlignment="1">
      <alignment horizontal="center" vertical="center"/>
    </xf>
    <xf numFmtId="181" fontId="4" fillId="19" borderId="12" xfId="4" applyNumberFormat="1" applyFont="1" applyFill="1" applyBorder="1" applyAlignment="1">
      <alignment horizontal="center" vertical="center"/>
    </xf>
    <xf numFmtId="0" fontId="20" fillId="0" borderId="22" xfId="0" applyFont="1" applyFill="1" applyBorder="1" applyAlignment="1">
      <alignment horizontal="center" vertical="center" wrapText="1"/>
    </xf>
    <xf numFmtId="0" fontId="20" fillId="0" borderId="26" xfId="0" applyFont="1" applyFill="1" applyBorder="1" applyAlignment="1">
      <alignment horizontal="center" vertical="center" wrapText="1"/>
    </xf>
    <xf numFmtId="0" fontId="20" fillId="0" borderId="12" xfId="0" applyFont="1" applyFill="1" applyBorder="1" applyAlignment="1">
      <alignment horizontal="center" vertical="center" wrapText="1"/>
    </xf>
    <xf numFmtId="0" fontId="20" fillId="0" borderId="23"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0" borderId="27" xfId="0" applyFont="1" applyFill="1" applyBorder="1" applyAlignment="1">
      <alignment horizontal="center" vertical="center" wrapText="1"/>
    </xf>
    <xf numFmtId="181" fontId="4" fillId="0" borderId="5" xfId="0" quotePrefix="1" applyNumberFormat="1" applyFont="1" applyFill="1" applyBorder="1" applyAlignment="1">
      <alignment horizontal="center" vertical="center"/>
    </xf>
    <xf numFmtId="181" fontId="4" fillId="56" borderId="5" xfId="0" quotePrefix="1" applyNumberFormat="1" applyFont="1" applyFill="1" applyBorder="1" applyAlignment="1">
      <alignment horizontal="center" vertical="center"/>
    </xf>
    <xf numFmtId="0" fontId="20" fillId="0" borderId="22" xfId="0" applyFont="1" applyBorder="1" applyAlignment="1">
      <alignment horizontal="left" vertical="top" wrapText="1"/>
    </xf>
    <xf numFmtId="0" fontId="20" fillId="0" borderId="26" xfId="0" applyFont="1" applyBorder="1" applyAlignment="1">
      <alignment horizontal="left" vertical="top" wrapText="1"/>
    </xf>
    <xf numFmtId="0" fontId="20" fillId="0" borderId="12" xfId="0" applyFont="1" applyBorder="1" applyAlignment="1">
      <alignment horizontal="left" vertical="top" wrapText="1"/>
    </xf>
    <xf numFmtId="0" fontId="20" fillId="0" borderId="22" xfId="0" applyFont="1" applyFill="1" applyBorder="1" applyAlignment="1">
      <alignment horizontal="left" vertical="top" wrapText="1"/>
    </xf>
    <xf numFmtId="0" fontId="20" fillId="0" borderId="12" xfId="0" applyFont="1" applyFill="1" applyBorder="1" applyAlignment="1">
      <alignment horizontal="left" vertical="top" wrapText="1"/>
    </xf>
    <xf numFmtId="0" fontId="20" fillId="0" borderId="5" xfId="0" applyNumberFormat="1" applyFont="1" applyBorder="1" applyAlignment="1">
      <alignment horizontal="left" vertical="center" wrapText="1"/>
    </xf>
    <xf numFmtId="0" fontId="20" fillId="0" borderId="5" xfId="0" applyFont="1" applyBorder="1" applyAlignment="1">
      <alignment horizontal="left" vertical="center" wrapText="1"/>
    </xf>
    <xf numFmtId="0" fontId="20" fillId="0" borderId="21" xfId="0" applyFont="1" applyBorder="1" applyAlignment="1">
      <alignment horizontal="left" vertical="center" wrapText="1"/>
    </xf>
    <xf numFmtId="0" fontId="11" fillId="0" borderId="5" xfId="0" applyFont="1" applyFill="1" applyBorder="1" applyAlignment="1">
      <alignment vertical="center" wrapText="1"/>
    </xf>
    <xf numFmtId="0" fontId="11" fillId="0" borderId="5" xfId="0" applyFont="1" applyFill="1" applyBorder="1" applyAlignment="1">
      <alignment horizontal="center" vertical="center" wrapText="1"/>
    </xf>
    <xf numFmtId="0" fontId="36" fillId="0" borderId="5" xfId="0" applyFont="1" applyFill="1" applyBorder="1" applyAlignment="1">
      <alignment horizontal="left" vertical="center" wrapText="1"/>
    </xf>
    <xf numFmtId="0" fontId="36" fillId="0" borderId="21" xfId="0" applyFont="1" applyBorder="1" applyAlignment="1">
      <alignment horizontal="left" vertical="center" wrapText="1"/>
    </xf>
    <xf numFmtId="0" fontId="36" fillId="0" borderId="19" xfId="0" applyFont="1" applyBorder="1" applyAlignment="1">
      <alignment horizontal="left" vertical="center" wrapText="1"/>
    </xf>
    <xf numFmtId="0" fontId="36" fillId="0" borderId="31" xfId="0" applyFont="1" applyBorder="1" applyAlignment="1">
      <alignment horizontal="left" vertical="center" wrapText="1"/>
    </xf>
    <xf numFmtId="0" fontId="20" fillId="0" borderId="21" xfId="0" applyFont="1" applyFill="1" applyBorder="1" applyAlignment="1">
      <alignment horizontal="left" vertical="center" wrapText="1"/>
    </xf>
    <xf numFmtId="0" fontId="20" fillId="0" borderId="19" xfId="0" applyFont="1" applyFill="1" applyBorder="1" applyAlignment="1">
      <alignment horizontal="left" vertical="center" wrapText="1"/>
    </xf>
    <xf numFmtId="0" fontId="20" fillId="0" borderId="31" xfId="0" applyFont="1" applyFill="1" applyBorder="1" applyAlignment="1">
      <alignment horizontal="left" vertical="center" wrapText="1"/>
    </xf>
    <xf numFmtId="0" fontId="26" fillId="0" borderId="21" xfId="0" applyFont="1" applyFill="1" applyBorder="1" applyAlignment="1">
      <alignment horizontal="center" vertical="center" wrapText="1"/>
    </xf>
    <xf numFmtId="0" fontId="26" fillId="0" borderId="19" xfId="0" applyFont="1" applyFill="1" applyBorder="1" applyAlignment="1">
      <alignment horizontal="center" vertical="center" wrapText="1"/>
    </xf>
    <xf numFmtId="0" fontId="26" fillId="0" borderId="31" xfId="0" applyFont="1" applyFill="1" applyBorder="1" applyAlignment="1">
      <alignment horizontal="center" vertical="center" wrapText="1"/>
    </xf>
    <xf numFmtId="0" fontId="26" fillId="0" borderId="22" xfId="0" applyFont="1" applyFill="1" applyBorder="1" applyAlignment="1">
      <alignment horizontal="center" vertical="center" wrapText="1"/>
    </xf>
    <xf numFmtId="0" fontId="26" fillId="0" borderId="26" xfId="0" applyFont="1" applyFill="1" applyBorder="1" applyAlignment="1">
      <alignment horizontal="center" vertical="center" wrapText="1"/>
    </xf>
    <xf numFmtId="0" fontId="26" fillId="0" borderId="12" xfId="0" applyFont="1" applyFill="1" applyBorder="1" applyAlignment="1">
      <alignment horizontal="center" vertical="center" wrapText="1"/>
    </xf>
    <xf numFmtId="0" fontId="20" fillId="0" borderId="19" xfId="0" applyFont="1" applyBorder="1" applyAlignment="1">
      <alignment horizontal="left" vertical="center" wrapText="1"/>
    </xf>
    <xf numFmtId="0" fontId="20" fillId="0" borderId="31" xfId="0" applyFont="1" applyBorder="1" applyAlignment="1">
      <alignment horizontal="left" vertical="center" wrapText="1"/>
    </xf>
    <xf numFmtId="0" fontId="20" fillId="0" borderId="35" xfId="0" applyFont="1" applyBorder="1" applyAlignment="1">
      <alignment horizontal="left" vertical="center" wrapText="1"/>
    </xf>
    <xf numFmtId="0" fontId="20" fillId="0" borderId="28" xfId="0" applyFont="1" applyBorder="1" applyAlignment="1">
      <alignment horizontal="left" vertical="center" wrapText="1"/>
    </xf>
    <xf numFmtId="0" fontId="20" fillId="0" borderId="7" xfId="0" applyFont="1" applyBorder="1" applyAlignment="1">
      <alignment horizontal="left" vertical="center" wrapText="1"/>
    </xf>
    <xf numFmtId="0" fontId="20" fillId="0" borderId="29" xfId="0" applyFont="1" applyBorder="1" applyAlignment="1">
      <alignment horizontal="left" vertical="center" wrapText="1"/>
    </xf>
    <xf numFmtId="0" fontId="20" fillId="0" borderId="21" xfId="0" applyFont="1" applyBorder="1" applyAlignment="1">
      <alignment vertical="center" wrapText="1"/>
    </xf>
    <xf numFmtId="0" fontId="20" fillId="0" borderId="19" xfId="0" applyFont="1" applyBorder="1" applyAlignment="1">
      <alignment vertical="center" wrapText="1"/>
    </xf>
    <xf numFmtId="0" fontId="20" fillId="0" borderId="31" xfId="0" applyFont="1" applyBorder="1" applyAlignment="1">
      <alignment vertical="center" wrapText="1"/>
    </xf>
    <xf numFmtId="0" fontId="20" fillId="0" borderId="23" xfId="0" applyFont="1" applyBorder="1" applyAlignment="1">
      <alignment vertical="center" wrapText="1"/>
    </xf>
    <xf numFmtId="0" fontId="20" fillId="0" borderId="35" xfId="0" applyFont="1" applyBorder="1" applyAlignment="1">
      <alignment vertical="center" wrapText="1"/>
    </xf>
    <xf numFmtId="0" fontId="20" fillId="0" borderId="28" xfId="0" applyFont="1" applyBorder="1" applyAlignment="1">
      <alignment vertical="center" wrapText="1"/>
    </xf>
    <xf numFmtId="0" fontId="20" fillId="0" borderId="27" xfId="0" applyFont="1" applyBorder="1" applyAlignment="1">
      <alignment vertical="center" wrapText="1"/>
    </xf>
    <xf numFmtId="0" fontId="20" fillId="0" borderId="7" xfId="0" applyFont="1" applyBorder="1" applyAlignment="1">
      <alignment vertical="center" wrapText="1"/>
    </xf>
    <xf numFmtId="0" fontId="20" fillId="0" borderId="29" xfId="0" applyFont="1" applyBorder="1" applyAlignment="1">
      <alignment vertical="center" wrapText="1"/>
    </xf>
    <xf numFmtId="0" fontId="20" fillId="0" borderId="5" xfId="0" applyFont="1" applyFill="1" applyBorder="1" applyAlignment="1">
      <alignment horizontal="center" vertical="center" wrapText="1"/>
    </xf>
    <xf numFmtId="0" fontId="20" fillId="11" borderId="22" xfId="0" applyFont="1" applyFill="1" applyBorder="1" applyAlignment="1">
      <alignment horizontal="center" vertical="center" wrapText="1"/>
    </xf>
    <xf numFmtId="0" fontId="20" fillId="11" borderId="12" xfId="0" applyFont="1" applyFill="1" applyBorder="1" applyAlignment="1">
      <alignment horizontal="center" vertical="center" wrapText="1"/>
    </xf>
    <xf numFmtId="0" fontId="20" fillId="0" borderId="5" xfId="0" applyFont="1" applyBorder="1">
      <alignment vertical="center"/>
    </xf>
    <xf numFmtId="0" fontId="20" fillId="0" borderId="22" xfId="0" applyFont="1" applyBorder="1" applyAlignment="1">
      <alignment horizontal="center" vertical="center" wrapText="1"/>
    </xf>
    <xf numFmtId="0" fontId="20" fillId="0" borderId="12" xfId="0" applyFont="1" applyBorder="1" applyAlignment="1">
      <alignment horizontal="center" vertical="center" wrapText="1"/>
    </xf>
    <xf numFmtId="0" fontId="26" fillId="0" borderId="22" xfId="0" applyFont="1" applyBorder="1" applyAlignment="1">
      <alignment vertical="center" wrapText="1"/>
    </xf>
    <xf numFmtId="0" fontId="26" fillId="0" borderId="12" xfId="0" applyFont="1" applyBorder="1" applyAlignment="1">
      <alignment vertical="center" wrapText="1"/>
    </xf>
    <xf numFmtId="0" fontId="11" fillId="0" borderId="22" xfId="0" applyFont="1" applyBorder="1" applyAlignment="1">
      <alignment horizontal="center" vertical="center" wrapText="1"/>
    </xf>
    <xf numFmtId="0" fontId="11" fillId="0" borderId="26" xfId="0" applyFont="1" applyBorder="1" applyAlignment="1">
      <alignment horizontal="center" vertical="center" wrapText="1"/>
    </xf>
    <xf numFmtId="0" fontId="11" fillId="0" borderId="12" xfId="0" applyFont="1" applyBorder="1" applyAlignment="1">
      <alignment horizontal="center" vertical="center" wrapText="1"/>
    </xf>
    <xf numFmtId="0" fontId="24" fillId="0" borderId="22" xfId="6" applyFont="1" applyBorder="1" applyAlignment="1">
      <alignment horizontal="left" vertical="center" wrapText="1"/>
    </xf>
    <xf numFmtId="0" fontId="24" fillId="0" borderId="26" xfId="6" applyFont="1" applyBorder="1" applyAlignment="1">
      <alignment horizontal="left" vertical="center" wrapText="1"/>
    </xf>
    <xf numFmtId="0" fontId="24" fillId="0" borderId="12" xfId="6" applyFont="1" applyBorder="1" applyAlignment="1">
      <alignment horizontal="left" vertical="center" wrapText="1"/>
    </xf>
    <xf numFmtId="0" fontId="22" fillId="0" borderId="21" xfId="6" applyFont="1" applyBorder="1" applyAlignment="1">
      <alignment horizontal="center" vertical="center" wrapText="1"/>
    </xf>
    <xf numFmtId="0" fontId="22" fillId="0" borderId="31" xfId="6" applyFont="1" applyBorder="1" applyAlignment="1">
      <alignment horizontal="center" vertical="center" wrapText="1"/>
    </xf>
    <xf numFmtId="0" fontId="22" fillId="3" borderId="22" xfId="6" applyFont="1" applyFill="1" applyBorder="1" applyAlignment="1">
      <alignment horizontal="center" vertical="center" wrapText="1"/>
    </xf>
    <xf numFmtId="0" fontId="22" fillId="3" borderId="12" xfId="6" applyFont="1" applyFill="1" applyBorder="1" applyAlignment="1">
      <alignment horizontal="center" vertical="center" wrapText="1"/>
    </xf>
    <xf numFmtId="0" fontId="22" fillId="0" borderId="22" xfId="6" applyFont="1" applyBorder="1" applyAlignment="1">
      <alignment horizontal="center" vertical="center" wrapText="1"/>
    </xf>
    <xf numFmtId="0" fontId="22" fillId="0" borderId="26" xfId="6" applyFont="1" applyBorder="1" applyAlignment="1">
      <alignment horizontal="center" vertical="center" wrapText="1"/>
    </xf>
    <xf numFmtId="0" fontId="22" fillId="0" borderId="12" xfId="6" applyFont="1" applyBorder="1" applyAlignment="1">
      <alignment horizontal="center" vertical="center" wrapText="1"/>
    </xf>
    <xf numFmtId="0" fontId="21" fillId="0" borderId="7" xfId="6" applyFont="1" applyBorder="1" applyAlignment="1">
      <alignment horizontal="center" vertical="center"/>
    </xf>
    <xf numFmtId="0" fontId="22" fillId="7" borderId="5" xfId="6" applyFont="1" applyFill="1" applyBorder="1" applyAlignment="1">
      <alignment horizontal="center" vertical="center" wrapText="1"/>
    </xf>
    <xf numFmtId="0" fontId="24" fillId="0" borderId="22" xfId="6" applyFont="1" applyFill="1" applyBorder="1" applyAlignment="1">
      <alignment horizontal="left" vertical="center" wrapText="1"/>
    </xf>
    <xf numFmtId="0" fontId="24" fillId="0" borderId="26" xfId="6" applyFont="1" applyFill="1" applyBorder="1" applyAlignment="1">
      <alignment horizontal="left" vertical="center" wrapText="1"/>
    </xf>
    <xf numFmtId="0" fontId="24" fillId="0" borderId="12" xfId="6" applyFont="1" applyFill="1" applyBorder="1" applyAlignment="1">
      <alignment horizontal="left" vertical="center" wrapText="1"/>
    </xf>
    <xf numFmtId="0" fontId="28" fillId="0" borderId="5" xfId="0" applyFont="1" applyBorder="1" applyAlignment="1">
      <alignment horizontal="center" vertical="center"/>
    </xf>
    <xf numFmtId="0" fontId="31" fillId="0" borderId="5" xfId="0" applyFont="1" applyBorder="1" applyAlignment="1">
      <alignment vertical="center" wrapText="1"/>
    </xf>
    <xf numFmtId="0" fontId="33" fillId="0" borderId="5" xfId="0" applyFont="1" applyBorder="1" applyAlignment="1">
      <alignment horizontal="left" vertical="center" wrapText="1"/>
    </xf>
    <xf numFmtId="0" fontId="31" fillId="0" borderId="5" xfId="0" applyFont="1" applyBorder="1" applyAlignment="1">
      <alignment horizontal="left" vertical="center"/>
    </xf>
    <xf numFmtId="0" fontId="31" fillId="0" borderId="5" xfId="0" applyFont="1" applyBorder="1" applyAlignment="1">
      <alignment horizontal="center" vertical="center" wrapText="1"/>
    </xf>
    <xf numFmtId="0" fontId="31" fillId="0" borderId="5" xfId="0" applyFont="1" applyBorder="1" applyAlignment="1">
      <alignment horizontal="left" vertical="center" wrapText="1"/>
    </xf>
    <xf numFmtId="0" fontId="32" fillId="0" borderId="5" xfId="0" applyFont="1" applyBorder="1" applyAlignment="1">
      <alignment horizontal="center" vertical="center" wrapText="1"/>
    </xf>
    <xf numFmtId="0" fontId="32" fillId="0" borderId="5" xfId="0" applyFont="1" applyBorder="1" applyAlignment="1">
      <alignment horizontal="left" vertical="center" wrapText="1"/>
    </xf>
    <xf numFmtId="0" fontId="20" fillId="0" borderId="5" xfId="0" applyFont="1" applyBorder="1" applyAlignment="1">
      <alignment horizontal="center" vertical="center" wrapText="1"/>
    </xf>
    <xf numFmtId="0" fontId="41" fillId="0" borderId="7" xfId="0" applyFont="1" applyBorder="1" applyAlignment="1">
      <alignment horizontal="center" vertical="center"/>
    </xf>
    <xf numFmtId="0" fontId="20" fillId="0" borderId="5" xfId="0" applyFont="1" applyBorder="1" applyAlignment="1">
      <alignment horizontal="center" vertical="center"/>
    </xf>
    <xf numFmtId="0" fontId="99" fillId="0" borderId="0" xfId="0" applyFont="1" applyFill="1" applyBorder="1" applyAlignment="1">
      <alignment horizontal="center" vertical="center"/>
    </xf>
    <xf numFmtId="176" fontId="0" fillId="0" borderId="5" xfId="0" applyNumberFormat="1" applyBorder="1" applyAlignment="1">
      <alignment horizontal="center" vertical="center"/>
    </xf>
    <xf numFmtId="2" fontId="0" fillId="0" borderId="5" xfId="0" applyNumberFormat="1" applyBorder="1" applyAlignment="1">
      <alignment horizontal="right"/>
    </xf>
    <xf numFmtId="0" fontId="0" fillId="0" borderId="26" xfId="0" applyFill="1" applyBorder="1">
      <alignment vertical="center"/>
    </xf>
    <xf numFmtId="0" fontId="4" fillId="18" borderId="5" xfId="4" applyNumberFormat="1" applyFont="1" applyFill="1" applyBorder="1" applyAlignment="1">
      <alignment horizontal="center" vertical="center"/>
    </xf>
    <xf numFmtId="0" fontId="4" fillId="18" borderId="5" xfId="0" applyNumberFormat="1" applyFont="1" applyFill="1" applyBorder="1" applyAlignment="1">
      <alignment horizontal="center" vertical="center"/>
    </xf>
    <xf numFmtId="176" fontId="4" fillId="18" borderId="5" xfId="0" applyNumberFormat="1" applyFont="1" applyFill="1" applyBorder="1" applyAlignment="1">
      <alignment horizontal="center" vertical="center"/>
    </xf>
  </cellXfs>
  <cellStyles count="13">
    <cellStyle name="百分比" xfId="3" builtinId="5"/>
    <cellStyle name="百分比 2" xfId="7"/>
    <cellStyle name="百分比 2 2" xfId="8"/>
    <cellStyle name="常规" xfId="0" builtinId="0"/>
    <cellStyle name="常规 2" xfId="6"/>
    <cellStyle name="常规 2 2" xfId="9"/>
    <cellStyle name="常规 2 3" xfId="10"/>
    <cellStyle name="常规 2 3 2" xfId="5"/>
    <cellStyle name="常规 2 4" xfId="11"/>
    <cellStyle name="常规 3" xfId="12"/>
    <cellStyle name="常规 4" xfId="1"/>
    <cellStyle name="超链接" xfId="2" builtinId="8"/>
    <cellStyle name="千位分隔" xfId="4" builtinId="3"/>
  </cellStyles>
  <dxfs count="432">
    <dxf>
      <numFmt numFmtId="14" formatCode="0.00%"/>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numFmt numFmtId="176" formatCode="0.00_ "/>
    </dxf>
    <dxf>
      <font>
        <color rgb="FFC00000"/>
      </font>
      <fill>
        <patternFill>
          <bgColor theme="5" tint="0.79998168889431442"/>
        </patternFill>
      </fill>
    </dxf>
    <dxf>
      <font>
        <color auto="1"/>
      </font>
      <fill>
        <patternFill>
          <bgColor theme="9"/>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ill>
        <patternFill>
          <bgColor rgb="FFFF0000"/>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9"/>
        </patternFill>
      </fill>
    </dxf>
    <dxf>
      <fill>
        <patternFill>
          <bgColor theme="5" tint="0.59996337778862885"/>
        </patternFill>
      </fill>
    </dxf>
    <dxf>
      <fill>
        <patternFill>
          <bgColor rgb="FFFF0000"/>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ill>
        <patternFill>
          <bgColor theme="5" tint="0.39994506668294322"/>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ill>
        <patternFill>
          <bgColor theme="9"/>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9"/>
        </patternFill>
      </fill>
    </dxf>
    <dxf>
      <fill>
        <patternFill>
          <bgColor theme="9"/>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0000"/>
        </patternFill>
      </fill>
    </dxf>
    <dxf>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0000"/>
        </patternFill>
      </fill>
    </dxf>
    <dxf>
      <fill>
        <patternFill>
          <bgColor rgb="FFFF0000"/>
        </patternFill>
      </fill>
    </dxf>
    <dxf>
      <fill>
        <patternFill>
          <bgColor theme="9"/>
        </patternFill>
      </fill>
    </dxf>
    <dxf>
      <fill>
        <patternFill>
          <bgColor theme="9"/>
        </patternFill>
      </fill>
    </dxf>
    <dxf>
      <fill>
        <patternFill>
          <bgColor theme="9"/>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0000"/>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0000"/>
        </patternFill>
      </fill>
    </dxf>
    <dxf>
      <fill>
        <patternFill>
          <bgColor rgb="FFFF0000"/>
        </patternFill>
      </fill>
    </dxf>
    <dxf>
      <fill>
        <patternFill>
          <bgColor theme="5"/>
        </patternFill>
      </fill>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ont>
        <condense val="0"/>
        <extend val="0"/>
        <color rgb="FF9C0006"/>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C00000"/>
      </font>
      <fill>
        <patternFill>
          <fgColor auto="1"/>
          <bgColor theme="5" tint="0.79998168889431442"/>
        </patternFill>
      </fill>
    </dxf>
    <dxf>
      <font>
        <condense val="0"/>
        <extend val="0"/>
        <color rgb="FF9C0006"/>
      </font>
      <fill>
        <patternFill>
          <bgColor rgb="FFFFC7CE"/>
        </patternFill>
      </fill>
    </dxf>
    <dxf>
      <font>
        <condense val="0"/>
        <extend val="0"/>
        <color rgb="FF9C0006"/>
      </font>
      <fill>
        <patternFill>
          <bgColor rgb="FFFFC7CE"/>
        </patternFill>
      </fill>
    </dxf>
    <dxf>
      <font>
        <color rgb="FFC00000"/>
      </font>
      <fill>
        <patternFill>
          <fgColor auto="1"/>
          <bgColor theme="5" tint="0.79998168889431442"/>
        </patternFill>
      </fill>
    </dxf>
    <dxf>
      <font>
        <condense val="0"/>
        <extend val="0"/>
        <color rgb="FF9C0006"/>
      </font>
      <fill>
        <patternFill>
          <bgColor rgb="FFFFC7CE"/>
        </patternFill>
      </fill>
    </dxf>
    <dxf>
      <font>
        <color theme="5" tint="-0.499984740745262"/>
      </font>
      <fill>
        <patternFill>
          <bgColor theme="5" tint="0.79998168889431442"/>
        </patternFill>
      </fill>
    </dxf>
    <dxf>
      <font>
        <color rgb="FFC00000"/>
      </font>
      <fill>
        <patternFill>
          <fgColor auto="1"/>
          <bgColor theme="5" tint="0.79998168889431442"/>
        </patternFill>
      </fill>
    </dxf>
    <dxf>
      <font>
        <color rgb="FFC00000"/>
      </font>
      <fill>
        <patternFill>
          <bgColor theme="5" tint="0.59996337778862885"/>
        </patternFill>
      </fill>
    </dxf>
    <dxf>
      <fill>
        <patternFill>
          <bgColor theme="5" tint="0.79998168889431442"/>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ont>
        <condense val="0"/>
        <extend val="0"/>
        <color rgb="FF9C0006"/>
      </font>
      <fill>
        <patternFill>
          <bgColor rgb="FFFFC7CE"/>
        </patternFill>
      </fill>
    </dxf>
    <dxf>
      <font>
        <condense val="0"/>
        <extend val="0"/>
        <color rgb="FF9C0006"/>
      </font>
      <fill>
        <patternFill>
          <bgColor rgb="FFFFC7CE"/>
        </patternFill>
      </fill>
    </dxf>
    <dxf>
      <numFmt numFmtId="176" formatCode="0.00_ "/>
    </dxf>
    <dxf>
      <numFmt numFmtId="0" formatCode="General"/>
    </dxf>
    <dxf>
      <fill>
        <patternFill patternType="darkGray"/>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4" formatCode="0.00%"/>
    </dxf>
    <dxf>
      <numFmt numFmtId="176" formatCode="0.00_ "/>
    </dxf>
    <dxf>
      <numFmt numFmtId="176" formatCode="0.00_ "/>
    </dxf>
    <dxf>
      <numFmt numFmtId="14" formatCode="0.00%"/>
    </dxf>
    <dxf>
      <numFmt numFmtId="0" formatCode="General"/>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numFmt numFmtId="14" formatCode="0.00%"/>
    </dxf>
    <dxf>
      <numFmt numFmtId="0" formatCode="General"/>
    </dxf>
    <dxf>
      <border>
        <left style="thin">
          <color indexed="64"/>
        </left>
        <right style="thin">
          <color indexed="64"/>
        </right>
        <vertical style="thin">
          <color indexed="64"/>
        </vertical>
        <horizontal style="thin">
          <color indexed="64"/>
        </horizontal>
      </border>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numFmt numFmtId="14" formatCode="0.00%"/>
    </dxf>
    <dxf>
      <numFmt numFmtId="176" formatCode="0.00_ "/>
    </dxf>
    <dxf>
      <numFmt numFmtId="0" formatCode="General"/>
    </dxf>
    <dxf>
      <font>
        <color rgb="FFC00000"/>
      </font>
      <fill>
        <patternFill>
          <bgColor theme="5" tint="0.79998168889431442"/>
        </patternFill>
      </fill>
    </dxf>
    <dxf>
      <numFmt numFmtId="14" formatCode="0.00%"/>
    </dxf>
    <dxf>
      <numFmt numFmtId="0" formatCode="General"/>
    </dxf>
    <dxf>
      <border>
        <bottom style="thin">
          <color indexed="64"/>
        </bottom>
      </border>
    </dxf>
    <dxf>
      <border>
        <left style="thin">
          <color indexed="64"/>
        </left>
        <right style="thin">
          <color indexed="64"/>
        </right>
        <vertical style="thin">
          <color indexed="64"/>
        </vertical>
        <horizontal style="thin">
          <color indexed="64"/>
        </horizontal>
      </border>
    </dxf>
    <dxf>
      <font>
        <color rgb="FFC00000"/>
      </font>
      <fill>
        <patternFill>
          <bgColor theme="5" tint="0.79998168889431442"/>
        </patternFill>
      </fill>
    </dxf>
    <dxf>
      <numFmt numFmtId="176" formatCode="0.00_ "/>
    </dxf>
    <dxf>
      <numFmt numFmtId="14" formatCode="0.00%"/>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s>
  <tableStyles count="0" defaultTableStyle="TableStyleMedium2" defaultPivotStyle="PivotStyleLight16"/>
  <colors>
    <mruColors>
      <color rgb="FFFFFF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pivotCacheDefinition" Target="pivotCache/pivotCacheDefinition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pivotCacheDefinition" Target="pivotCache/pivotCacheDefinition2.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1.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pivotCacheDefinition" Target="pivotCache/pivotCacheDefinition4.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zh-CN"/>
              <a:t>2019Q1-2019Q2</a:t>
            </a:r>
            <a:r>
              <a:rPr lang="zh-CN" altLang="en-US"/>
              <a:t>变动情况</a:t>
            </a:r>
            <a:endParaRPr lang="en-US" altLang="zh-CN"/>
          </a:p>
        </c:rich>
      </c:tx>
      <c:layout/>
    </c:title>
    <c:plotArea>
      <c:layout/>
      <c:barChart>
        <c:barDir val="col"/>
        <c:grouping val="stacked"/>
        <c:ser>
          <c:idx val="0"/>
          <c:order val="0"/>
          <c:spPr>
            <a:solidFill>
              <a:srgbClr val="002060"/>
            </a:solidFill>
          </c:spPr>
          <c:dPt>
            <c:idx val="1"/>
            <c:spPr>
              <a:noFill/>
            </c:spPr>
          </c:dPt>
          <c:dPt>
            <c:idx val="2"/>
            <c:spPr>
              <a:noFill/>
            </c:spPr>
          </c:dPt>
          <c:dPt>
            <c:idx val="3"/>
            <c:spPr>
              <a:noFill/>
            </c:spPr>
          </c:dPt>
          <c:dPt>
            <c:idx val="4"/>
            <c:spPr>
              <a:noFill/>
            </c:spPr>
          </c:dPt>
          <c:dLbls>
            <c:dLbl>
              <c:idx val="1"/>
              <c:delete val="1"/>
            </c:dLbl>
            <c:dLbl>
              <c:idx val="2"/>
              <c:delete val="1"/>
            </c:dLbl>
            <c:dLbl>
              <c:idx val="3"/>
              <c:delete val="1"/>
            </c:dLbl>
            <c:dLbl>
              <c:idx val="4"/>
              <c:delete val="1"/>
            </c:dLbl>
            <c:dLbl>
              <c:idx val="6"/>
              <c:delete val="1"/>
            </c:dLbl>
            <c:dLbl>
              <c:idx val="7"/>
              <c:delete val="1"/>
            </c:dLbl>
            <c:dLbl>
              <c:idx val="8"/>
              <c:delete val="1"/>
            </c:dLbl>
            <c:numFmt formatCode="#,##0.00;[Red]\-#,##0.00" sourceLinked="0"/>
            <c:spPr>
              <a:noFill/>
            </c:spPr>
            <c:txPr>
              <a:bodyPr/>
              <a:lstStyle/>
              <a:p>
                <a:pPr>
                  <a:defRPr b="1">
                    <a:solidFill>
                      <a:schemeClr val="bg1"/>
                    </a:solidFill>
                  </a:defRPr>
                </a:pPr>
                <a:endParaRPr lang="zh-CN"/>
              </a:p>
            </c:txPr>
            <c:showVal val="1"/>
          </c:dLbls>
          <c:cat>
            <c:strRef>
              <c:f>权重!$P$4:$P$9</c:f>
              <c:strCache>
                <c:ptCount val="6"/>
                <c:pt idx="0">
                  <c:v>Q1得分</c:v>
                </c:pt>
                <c:pt idx="1">
                  <c:v>销售、承保、保全业务线</c:v>
                </c:pt>
                <c:pt idx="2">
                  <c:v>理赔业务线</c:v>
                </c:pt>
                <c:pt idx="3">
                  <c:v>案件管理</c:v>
                </c:pt>
                <c:pt idx="4">
                  <c:v>流动性风险</c:v>
                </c:pt>
                <c:pt idx="5">
                  <c:v>Q2得分</c:v>
                </c:pt>
              </c:strCache>
            </c:strRef>
          </c:cat>
          <c:val>
            <c:numRef>
              <c:f>权重!$Q$4:$Q$9</c:f>
              <c:numCache>
                <c:formatCode>General</c:formatCode>
                <c:ptCount val="6"/>
                <c:pt idx="0">
                  <c:v>91.526744519331288</c:v>
                </c:pt>
                <c:pt idx="1">
                  <c:v>91.441895254136554</c:v>
                </c:pt>
                <c:pt idx="2">
                  <c:v>91.313561920803224</c:v>
                </c:pt>
                <c:pt idx="3">
                  <c:v>91.299673031914338</c:v>
                </c:pt>
                <c:pt idx="4">
                  <c:v>91.299673031914338</c:v>
                </c:pt>
                <c:pt idx="5">
                  <c:v>92.410784143025452</c:v>
                </c:pt>
              </c:numCache>
            </c:numRef>
          </c:val>
        </c:ser>
        <c:ser>
          <c:idx val="1"/>
          <c:order val="1"/>
          <c:spPr>
            <a:solidFill>
              <a:srgbClr val="92D050"/>
            </a:solidFill>
          </c:spPr>
          <c:dLbls>
            <c:dLbl>
              <c:idx val="0"/>
              <c:delete val="1"/>
            </c:dLbl>
            <c:dLbl>
              <c:idx val="1"/>
              <c:layout>
                <c:manualLayout>
                  <c:x val="2.9433911567678418E-3"/>
                  <c:y val="-2.4858878941502191E-3"/>
                </c:manualLayout>
              </c:layout>
              <c:tx>
                <c:rich>
                  <a:bodyPr/>
                  <a:lstStyle/>
                  <a:p>
                    <a:r>
                      <a:rPr lang="en-US" altLang="zh-CN"/>
                      <a:t>-0.085</a:t>
                    </a:r>
                    <a:endParaRPr lang="en-US" altLang="en-US"/>
                  </a:p>
                </c:rich>
              </c:tx>
              <c:showVal val="1"/>
            </c:dLbl>
            <c:dLbl>
              <c:idx val="2"/>
              <c:layout>
                <c:manualLayout>
                  <c:x val="2.9433911567678418E-3"/>
                  <c:y val="-2.0803221515118837E-3"/>
                </c:manualLayout>
              </c:layout>
              <c:tx>
                <c:rich>
                  <a:bodyPr/>
                  <a:lstStyle/>
                  <a:p>
                    <a:r>
                      <a:rPr lang="en-US" altLang="en-US"/>
                      <a:t>-0.128</a:t>
                    </a:r>
                  </a:p>
                </c:rich>
              </c:tx>
              <c:showVal val="1"/>
            </c:dLbl>
            <c:dLbl>
              <c:idx val="3"/>
              <c:layout>
                <c:manualLayout>
                  <c:x val="7.8916328492976582E-5"/>
                  <c:y val="-4.2109804767554646E-3"/>
                </c:manualLayout>
              </c:layout>
              <c:tx>
                <c:rich>
                  <a:bodyPr/>
                  <a:lstStyle/>
                  <a:p>
                    <a:r>
                      <a:rPr lang="en-US" altLang="zh-CN"/>
                      <a:t>-0.014</a:t>
                    </a:r>
                    <a:endParaRPr lang="en-US" altLang="en-US"/>
                  </a:p>
                </c:rich>
              </c:tx>
              <c:showVal val="1"/>
            </c:dLbl>
            <c:dLbl>
              <c:idx val="4"/>
              <c:layout>
                <c:manualLayout>
                  <c:x val="-7.9386068543530689E-5"/>
                  <c:y val="-3.8050551900190538E-3"/>
                </c:manualLayout>
              </c:layout>
              <c:tx>
                <c:rich>
                  <a:bodyPr/>
                  <a:lstStyle/>
                  <a:p>
                    <a:r>
                      <a:rPr lang="en-US" altLang="zh-CN"/>
                      <a:t>+</a:t>
                    </a:r>
                    <a:r>
                      <a:rPr lang="en-US" altLang="en-US"/>
                      <a:t> 1.111</a:t>
                    </a:r>
                  </a:p>
                </c:rich>
              </c:tx>
              <c:showVal val="1"/>
            </c:dLbl>
            <c:dLbl>
              <c:idx val="5"/>
              <c:delete val="1"/>
            </c:dLbl>
            <c:dLbl>
              <c:idx val="6"/>
              <c:layout>
                <c:manualLayout>
                  <c:x val="0"/>
                  <c:y val="-7.3059360730593614E-3"/>
                </c:manualLayout>
              </c:layout>
              <c:tx>
                <c:rich>
                  <a:bodyPr/>
                  <a:lstStyle/>
                  <a:p>
                    <a:r>
                      <a:rPr lang="en-US" altLang="zh-CN"/>
                      <a:t>+</a:t>
                    </a:r>
                    <a:r>
                      <a:rPr lang="en-US" altLang="en-US"/>
                      <a:t>0.014</a:t>
                    </a:r>
                  </a:p>
                </c:rich>
              </c:tx>
              <c:showVal val="1"/>
            </c:dLbl>
            <c:dLbl>
              <c:idx val="7"/>
              <c:delete val="1"/>
            </c:dLbl>
            <c:dLbl>
              <c:idx val="8"/>
              <c:delete val="1"/>
            </c:dLbl>
            <c:dLbl>
              <c:idx val="9"/>
              <c:delete val="1"/>
            </c:dLbl>
            <c:showVal val="1"/>
          </c:dLbls>
          <c:cat>
            <c:strRef>
              <c:f>权重!$P$4:$P$9</c:f>
              <c:strCache>
                <c:ptCount val="6"/>
                <c:pt idx="0">
                  <c:v>Q1得分</c:v>
                </c:pt>
                <c:pt idx="1">
                  <c:v>销售、承保、保全业务线</c:v>
                </c:pt>
                <c:pt idx="2">
                  <c:v>理赔业务线</c:v>
                </c:pt>
                <c:pt idx="3">
                  <c:v>案件管理</c:v>
                </c:pt>
                <c:pt idx="4">
                  <c:v>流动性风险</c:v>
                </c:pt>
                <c:pt idx="5">
                  <c:v>Q2得分</c:v>
                </c:pt>
              </c:strCache>
            </c:strRef>
          </c:cat>
          <c:val>
            <c:numRef>
              <c:f>权重!$R$4:$R$9</c:f>
              <c:numCache>
                <c:formatCode>#,##0.0000_);\(#,##0.0000\)</c:formatCode>
                <c:ptCount val="6"/>
                <c:pt idx="0">
                  <c:v>0</c:v>
                </c:pt>
                <c:pt idx="1">
                  <c:v>0</c:v>
                </c:pt>
                <c:pt idx="2">
                  <c:v>0</c:v>
                </c:pt>
                <c:pt idx="3">
                  <c:v>0</c:v>
                </c:pt>
                <c:pt idx="4">
                  <c:v>1.1111111111111125</c:v>
                </c:pt>
                <c:pt idx="5">
                  <c:v>0</c:v>
                </c:pt>
              </c:numCache>
            </c:numRef>
          </c:val>
        </c:ser>
        <c:ser>
          <c:idx val="2"/>
          <c:order val="2"/>
          <c:spPr>
            <a:solidFill>
              <a:schemeClr val="accent6">
                <a:lumMod val="75000"/>
              </a:schemeClr>
            </a:solidFill>
          </c:spPr>
          <c:dLbls>
            <c:dLbl>
              <c:idx val="7"/>
              <c:layout>
                <c:manualLayout>
                  <c:x val="0"/>
                  <c:y val="9.1324200913242767E-3"/>
                </c:manualLayout>
              </c:layout>
              <c:tx>
                <c:rich>
                  <a:bodyPr/>
                  <a:lstStyle/>
                  <a:p>
                    <a:r>
                      <a:rPr lang="en-US" altLang="zh-CN"/>
                      <a:t>+0.150</a:t>
                    </a:r>
                    <a:endParaRPr lang="en-US" altLang="en-US"/>
                  </a:p>
                </c:rich>
              </c:tx>
            </c:dLbl>
            <c:dLbl>
              <c:idx val="8"/>
              <c:tx>
                <c:rich>
                  <a:bodyPr/>
                  <a:lstStyle/>
                  <a:p>
                    <a:r>
                      <a:rPr lang="en-US" altLang="en-US"/>
                      <a:t>-1.111 </a:t>
                    </a:r>
                  </a:p>
                </c:rich>
              </c:tx>
              <c:showVal val="1"/>
            </c:dLbl>
            <c:delete val="1"/>
          </c:dLbls>
          <c:cat>
            <c:strRef>
              <c:f>权重!$P$4:$P$9</c:f>
              <c:strCache>
                <c:ptCount val="6"/>
                <c:pt idx="0">
                  <c:v>Q1得分</c:v>
                </c:pt>
                <c:pt idx="1">
                  <c:v>销售、承保、保全业务线</c:v>
                </c:pt>
                <c:pt idx="2">
                  <c:v>理赔业务线</c:v>
                </c:pt>
                <c:pt idx="3">
                  <c:v>案件管理</c:v>
                </c:pt>
                <c:pt idx="4">
                  <c:v>流动性风险</c:v>
                </c:pt>
                <c:pt idx="5">
                  <c:v>Q2得分</c:v>
                </c:pt>
              </c:strCache>
            </c:strRef>
          </c:cat>
          <c:val>
            <c:numRef>
              <c:f>权重!$S$4:$S$9</c:f>
              <c:numCache>
                <c:formatCode>#,##0.0000_);\(#,##0.0000\)</c:formatCode>
                <c:ptCount val="6"/>
                <c:pt idx="0">
                  <c:v>0</c:v>
                </c:pt>
                <c:pt idx="1">
                  <c:v>8.4849265194739037E-2</c:v>
                </c:pt>
                <c:pt idx="2">
                  <c:v>0.12833333333333308</c:v>
                </c:pt>
                <c:pt idx="3">
                  <c:v>1.3888888888888888E-2</c:v>
                </c:pt>
                <c:pt idx="4">
                  <c:v>0</c:v>
                </c:pt>
                <c:pt idx="5">
                  <c:v>0</c:v>
                </c:pt>
              </c:numCache>
            </c:numRef>
          </c:val>
        </c:ser>
        <c:gapWidth val="0"/>
        <c:overlap val="100"/>
        <c:axId val="50662016"/>
        <c:axId val="50692480"/>
      </c:barChart>
      <c:catAx>
        <c:axId val="50662016"/>
        <c:scaling>
          <c:orientation val="minMax"/>
        </c:scaling>
        <c:axPos val="b"/>
        <c:tickLblPos val="nextTo"/>
        <c:crossAx val="50692480"/>
        <c:crosses val="autoZero"/>
        <c:auto val="1"/>
        <c:lblAlgn val="ctr"/>
        <c:lblOffset val="100"/>
      </c:catAx>
      <c:valAx>
        <c:axId val="50692480"/>
        <c:scaling>
          <c:orientation val="minMax"/>
        </c:scaling>
        <c:delete val="1"/>
        <c:axPos val="l"/>
        <c:numFmt formatCode="General" sourceLinked="1"/>
        <c:tickLblPos val="nextTo"/>
        <c:crossAx val="50662016"/>
        <c:crosses val="autoZero"/>
        <c:crossBetween val="between"/>
      </c:valAx>
      <c:spPr>
        <a:noFill/>
        <a:ln w="25400">
          <a:noFill/>
        </a:ln>
      </c:spPr>
    </c:plotArea>
    <c:plotVisOnly val="1"/>
  </c:chart>
  <c:spPr>
    <a:noFill/>
    <a:ln>
      <a:noFill/>
    </a:ln>
  </c:spPr>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zh-CN"/>
  <c:chart>
    <c:plotArea>
      <c:layout/>
      <c:pieChart>
        <c:varyColors val="1"/>
        <c:ser>
          <c:idx val="0"/>
          <c:order val="0"/>
          <c:dLbls>
            <c:dLblPos val="bestFit"/>
            <c:showVal val="1"/>
            <c:showLeaderLines val="1"/>
          </c:dLbls>
          <c:cat>
            <c:strRef>
              <c:f>权重!$A$143:$B$148</c:f>
              <c:strCache>
                <c:ptCount val="5"/>
                <c:pt idx="0">
                  <c:v>行业无法确定</c:v>
                </c:pt>
                <c:pt idx="1">
                  <c:v>监管评分</c:v>
                </c:pt>
                <c:pt idx="2">
                  <c:v>操作风险  直接扣分</c:v>
                </c:pt>
                <c:pt idx="3">
                  <c:v>战略风险  直接扣分</c:v>
                </c:pt>
                <c:pt idx="4">
                  <c:v>流动性风险  直接扣分</c:v>
                </c:pt>
              </c:strCache>
            </c:strRef>
          </c:cat>
          <c:val>
            <c:numRef>
              <c:f>权重!$C$143:$C$147</c:f>
              <c:numCache>
                <c:formatCode>_ * #,##0.00_ ;_ * \-#,##0.00_ ;_ * "-"??_ ;_ @_ </c:formatCode>
                <c:ptCount val="5"/>
                <c:pt idx="0">
                  <c:v>3.2055555555555557</c:v>
                </c:pt>
                <c:pt idx="1">
                  <c:v>1.7472222222222222</c:v>
                </c:pt>
                <c:pt idx="2">
                  <c:v>1.0753269680856627</c:v>
                </c:pt>
                <c:pt idx="3">
                  <c:v>0.44999999999999996</c:v>
                </c:pt>
                <c:pt idx="4">
                  <c:v>1.1111111111111107</c:v>
                </c:pt>
              </c:numCache>
            </c:numRef>
          </c:val>
        </c:ser>
        <c:firstSliceAng val="0"/>
      </c:pieChart>
    </c:plotArea>
    <c:legend>
      <c:legendPos val="r"/>
      <c:layout>
        <c:manualLayout>
          <c:xMode val="edge"/>
          <c:yMode val="edge"/>
          <c:x val="0.57984635347552083"/>
          <c:y val="8.9948823286721269E-2"/>
          <c:w val="0.3801421383931593"/>
          <c:h val="0.83793963254597292"/>
        </c:manualLayout>
      </c:layout>
    </c:legend>
    <c:plotVisOnly val="1"/>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66676</xdr:colOff>
      <xdr:row>0</xdr:row>
      <xdr:rowOff>0</xdr:rowOff>
    </xdr:from>
    <xdr:to>
      <xdr:col>13</xdr:col>
      <xdr:colOff>590550</xdr:colOff>
      <xdr:row>14</xdr:row>
      <xdr:rowOff>142875</xdr:rowOff>
    </xdr:to>
    <xdr:graphicFrame macro="">
      <xdr:nvGraphicFramePr>
        <xdr:cNvPr id="7" name="图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695325</xdr:colOff>
      <xdr:row>149</xdr:row>
      <xdr:rowOff>133349</xdr:rowOff>
    </xdr:from>
    <xdr:to>
      <xdr:col>9</xdr:col>
      <xdr:colOff>295275</xdr:colOff>
      <xdr:row>166</xdr:row>
      <xdr:rowOff>66674</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ra%20Y%20Shen/Desktop/&#20108;&#25903;&#26609;/&#20803;&#32032;&#28165;&#21333;/IRR&#20803;&#32032;&#28165;&#21333;-06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ora%20Y%20Shen/Desktop/YUE-IRR&#20803;&#32032;&#28165;&#21333;-062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0445;&#30417;&#20250;&#25968;&#25454;&#38656;&#27714;/&#20445;&#30417;&#20250;&#20607;&#20108;&#20195;&#20108;&#23395;&#24230;&#25253;&#36865;&#20934;&#22791;/&#20445;&#38505;&#20844;&#21496;&#22635;&#25253;&#34920;&#26679;/cross-&#20108;&#25903;&#26609;/cross-&#20108;&#25903;&#26609;/IRR&#20998;&#31867;&#26631;&#20934;&#65288;&#33609;&#31295;&#29256;-20160704&#65289;/&#38468;&#20214;&#65306;&#20445;&#38505;&#20844;&#21496;&#38590;&#20197;&#37327;&#21270;&#39118;&#38505;&#30340;&#35780;&#20215;&#26631;&#20934;&#65288;&#20462;&#25913;&#21518;&#24453;&#21508;&#37096;&#38376;&#30830;&#35748;&#65289;-20160702-074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封面"/>
      <sheetName val="Database-指标数据类型"/>
      <sheetName val="Database-下拉框"/>
      <sheetName val="Database-分值计算"/>
      <sheetName val="OR01-产险销售"/>
      <sheetName val="OR02-寿险销售"/>
      <sheetName val="OR03-分支产险销售"/>
      <sheetName val="OR04-分支寿险销售"/>
      <sheetName val="OR05-产险理赔"/>
      <sheetName val="Database-参数列表"/>
      <sheetName val="OR06-寿险理赔"/>
      <sheetName val="OR07-分支产险理赔"/>
      <sheetName val="OR08-分支寿险理赔"/>
      <sheetName val="OR09-再保险业务"/>
      <sheetName val="OR10-资金运用业务"/>
      <sheetName val="OR11-公司治理"/>
      <sheetName val="OR12-法人财务"/>
      <sheetName val="OR13-分支财务"/>
      <sheetName val="OR14-产险准备金"/>
      <sheetName val="OR15-寿险准备金"/>
      <sheetName val="OR17-案件管理 "/>
      <sheetName val="OR18-合规风险"/>
      <sheetName val="SR01-战略风险"/>
      <sheetName val="RR01-声誉风险"/>
      <sheetName val="LR01-流动性风险-财产险和再保险"/>
      <sheetName val="LR02-流动性风险-人身险"/>
    </sheetNames>
    <sheetDataSet>
      <sheetData sheetId="0"/>
      <sheetData sheetId="1"/>
      <sheetData sheetId="2">
        <row r="2">
          <cell r="B2" t="str">
            <v>是</v>
          </cell>
        </row>
        <row r="3">
          <cell r="B3" t="str">
            <v>否</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封面"/>
      <sheetName val="Database-指标数据类型"/>
      <sheetName val="Database-下拉框"/>
      <sheetName val="Database-分值计算"/>
      <sheetName val="Database-参数列表"/>
      <sheetName val="OR01-产险销售"/>
      <sheetName val="OR02-寿险销售"/>
      <sheetName val="OR03-分支产险销售"/>
      <sheetName val="OR04-分支寿险销售"/>
      <sheetName val="OR05-产险理赔"/>
      <sheetName val="OR06-寿险理赔"/>
      <sheetName val="OR07-分支产险理赔"/>
      <sheetName val="OR08-分支寿险理赔"/>
      <sheetName val="OR09-再保险业务"/>
      <sheetName val="OR10-资金运用业务"/>
      <sheetName val="OR11-公司治理"/>
      <sheetName val="OR12-法人财务"/>
      <sheetName val="OR13-分支财务"/>
      <sheetName val="OR14-产险准备金"/>
      <sheetName val="OR15-寿险准备金"/>
      <sheetName val="OR17-案件管理 "/>
      <sheetName val="OR18-合规风险"/>
      <sheetName val="SR01-战略风险"/>
      <sheetName val="RR01-声誉风险"/>
      <sheetName val="LR01-流动性风险-财产险和再保险"/>
      <sheetName val="LR02-流动性风险-人身险"/>
    </sheetNames>
    <sheetDataSet>
      <sheetData sheetId="0">
        <row r="4">
          <cell r="B4" t="str">
            <v>人身险公司</v>
          </cell>
        </row>
        <row r="25">
          <cell r="B25" t="str">
            <v>否</v>
          </cell>
        </row>
      </sheetData>
      <sheetData sheetId="1"/>
      <sheetData sheetId="2">
        <row r="2">
          <cell r="B2" t="str">
            <v>是</v>
          </cell>
        </row>
        <row r="4">
          <cell r="B4" t="str">
            <v>1|销售人员管理体系完善，制定和实施了详细的培训计划</v>
          </cell>
        </row>
        <row r="5">
          <cell r="B5" t="str">
            <v>2|销售人员管理体系完善，未制定和实施详细的培训计划</v>
          </cell>
        </row>
        <row r="6">
          <cell r="B6" t="str">
            <v>3|销售人员管理体系不完善，未制定和实施详细的培训计划</v>
          </cell>
        </row>
        <row r="7">
          <cell r="B7" t="str">
            <v>1|保险公司明确了核保人员资质条件，定期举行核保人员上岗资格考试</v>
          </cell>
        </row>
        <row r="8">
          <cell r="B8" t="str">
            <v>2|保险公司明确了核保人员资质条件，未举行核保人员上岗资格考试</v>
          </cell>
        </row>
        <row r="9">
          <cell r="B9" t="str">
            <v>3|保险公司未明确核保人员资质条件，不举行核保人员上岗资格考试，不开展核保人员培训</v>
          </cell>
        </row>
        <row r="10">
          <cell r="B10" t="str">
            <v>1|保险公司核保分级授权清晰，明确了核保人员授权标准且定期更新，核保授权固化到系统</v>
          </cell>
        </row>
        <row r="11">
          <cell r="B11" t="str">
            <v>2|保险公司有核保分级授权，但不够完善，对核保人员核保授权未固化到系统</v>
          </cell>
        </row>
        <row r="12">
          <cell r="B12" t="str">
            <v>3|保险公司未明确核保人员资质条件，不举行核保人员上岗资格考试，不开展核保人员培训</v>
          </cell>
        </row>
        <row r="13">
          <cell r="B13" t="str">
            <v>1|对需审批的保险条款和费率，均经保险会批准后使用</v>
          </cell>
        </row>
        <row r="14">
          <cell r="B14" t="str">
            <v>2|对需审批的保险条款和费率，未经保险会批准使用</v>
          </cell>
        </row>
        <row r="15">
          <cell r="B15" t="str">
            <v>1|对不需审批的保险条款和费率，均在使用后十个工作内报保监会备案</v>
          </cell>
        </row>
        <row r="16">
          <cell r="B16" t="str">
            <v>2|对不需审批的保险条款和费率，未在使用后十个工作内报保监会备案</v>
          </cell>
        </row>
        <row r="17">
          <cell r="B17" t="str">
            <v>1|严格执行经保监会批准或备案的保险条款和费率</v>
          </cell>
        </row>
        <row r="18">
          <cell r="B18" t="str">
            <v>2|未严格执行经保监会批准或备案的保险条款和费率，擅自改变条款或费率</v>
          </cell>
        </row>
        <row r="19">
          <cell r="B19" t="str">
            <v>1|制定符合产品特点的应收保费管理细则</v>
          </cell>
        </row>
        <row r="20">
          <cell r="B20" t="str">
            <v>2|未制定符合产品特点的应收保费管理细则</v>
          </cell>
        </row>
        <row r="21">
          <cell r="B21" t="str">
            <v>1|根据应收保费管理细则实施应收保费的日常管理，监控应收保费余额、增速、账龄、应收率等指标</v>
          </cell>
        </row>
        <row r="22">
          <cell r="B22" t="str">
            <v>2|未根据应收保费管理细则实施应收保费的日常管理，监控应收保费余额、增速、账龄、应收率等指标</v>
          </cell>
        </row>
        <row r="23">
          <cell r="B23" t="str">
            <v>1|对应收账龄超过3个月的应收保费开展催收（不包括单笔金额小于1万元应收保费）</v>
          </cell>
        </row>
        <row r="24">
          <cell r="B24" t="str">
            <v>2|未对应收账龄超过3个月的应收保费开展催收（不包括单笔金额小于1万元应收保费）</v>
          </cell>
        </row>
        <row r="25">
          <cell r="B25" t="str">
            <v>1|总公司开展应收保费考核</v>
          </cell>
        </row>
        <row r="26">
          <cell r="B26" t="str">
            <v>2|总公司未开展应收保费考核</v>
          </cell>
        </row>
        <row r="27">
          <cell r="B27" t="str">
            <v>1|未出现利用广告后其他宣传方式对保险条款内容和服务质量等做引人误解的宣传的情况</v>
          </cell>
        </row>
        <row r="28">
          <cell r="B28" t="str">
            <v>2|利用广告后其他宣传方式对保险条款内容和服务质量等做引人误解的宣传</v>
          </cell>
        </row>
        <row r="29">
          <cell r="B29" t="str">
            <v>1|未出现销售活动中阻碍消费者履行如实告知义务或诱导其不履行如实告知义务的情况</v>
          </cell>
        </row>
        <row r="30">
          <cell r="B30" t="str">
            <v>2|销售活动中阻碍消费者履行如实告知义务或诱导其不履行如实告知义务</v>
          </cell>
        </row>
        <row r="31">
          <cell r="B31" t="str">
            <v>1|未出现夸大保险产品保障的情况</v>
          </cell>
        </row>
        <row r="32">
          <cell r="B32" t="str">
            <v>2|夸大保险产品保障</v>
          </cell>
        </row>
        <row r="33">
          <cell r="B33" t="str">
            <v>1|未出现隐瞒合同重要内容，如免责、退保等内容的情况</v>
          </cell>
        </row>
        <row r="34">
          <cell r="B34" t="str">
            <v>2|隐瞒合同重要内容，如免责、退保等内容</v>
          </cell>
        </row>
        <row r="35">
          <cell r="B35" t="str">
            <v>1|未出现提供虚假产品信息的情况</v>
          </cell>
        </row>
        <row r="36">
          <cell r="B36" t="str">
            <v>2|提供虚假产品信息</v>
          </cell>
        </row>
        <row r="37">
          <cell r="B37" t="str">
            <v>1|保险公司档案管理制度完善，承保档案保管范围、期限符合规定，保单按流水号装订，附件齐全，相关单证资料及时归档，集中管理，完整妥善保管</v>
          </cell>
        </row>
        <row r="38">
          <cell r="B38" t="str">
            <v>2|保险公司建立了档案管理制度，承保档案保管、装订、归档符合规定，但承保档案未集中管理</v>
          </cell>
        </row>
        <row r="39">
          <cell r="B39" t="str">
            <v>3|保险公司未建立承保业务档案管理制度，或存在承保档案不全或遗失的情况</v>
          </cell>
        </row>
        <row r="40">
          <cell r="B40" t="str">
            <v>1|新险种未及时实现承保业务信息系统管理</v>
          </cell>
        </row>
        <row r="41">
          <cell r="B41" t="str">
            <v>2|新险种及时实现承保业务信息系统管理</v>
          </cell>
        </row>
        <row r="42">
          <cell r="B42" t="str">
            <v>1|新险种未及时实现承保业务统计分析系统管理</v>
          </cell>
        </row>
        <row r="43">
          <cell r="B43" t="str">
            <v>2|新险种及时实现承保业务统计分析系统管理</v>
          </cell>
        </row>
        <row r="44">
          <cell r="B44" t="str">
            <v>1|承保业务系统未实现与再保、财务系统无缝对接</v>
          </cell>
        </row>
        <row r="45">
          <cell r="B45" t="str">
            <v>2|承保业务系统实现与再保、财务系统无缝对接</v>
          </cell>
        </row>
        <row r="46">
          <cell r="B46" t="str">
            <v>1|保险公司建立了销售管理系统，在系统中能够对资质、合同、渠道代码进行维护和管理，且能够与出单等系统关联，通过信息系统实时记录每张保单保单号、投保人名称、保险标的、保险费、佣金计算标准及金额、代理机构或人员名称等</v>
          </cell>
        </row>
        <row r="47">
          <cell r="B47" t="str">
            <v>2|保险公司建立了销售管理系统，在系统中能够对资质、合同、渠道代码进行维护和管理，但信息系统不能够与出单等系统关联，不能实时或完整记录每张保单保单号、投保人名称、保险标的、保险费、佣金计算标准及金额、代理机构或人员名称等</v>
          </cell>
        </row>
        <row r="48">
          <cell r="B48" t="str">
            <v>3|保险公司未建立销售管理系统</v>
          </cell>
        </row>
        <row r="49">
          <cell r="B49" t="str">
            <v>1|保险公司在承保业务系统中，对客户信息和保险标的信息的核心内容、投保险种、保险金额、保费金额、保险费率、责任限额、信用限额（信用险）、被保险人申报的交易（信用险）、保险期间等关键承保信息，全部设置为必录项，系统中数据记录完整、真实</v>
          </cell>
        </row>
        <row r="50">
          <cell r="B50" t="str">
            <v>2|保险公司在承保业务系统中，对客户信息和保险标的信息的核心内容、投保险种、保险金额、保费金额、保险费率、责任限额、信用限额（信用险）、被保险人申报的交易（信用险）、保险期间等关键承保信息，部分设置为必录项</v>
          </cell>
        </row>
        <row r="51">
          <cell r="B51" t="str">
            <v>3|保险公司在承保业务系统中未对关键承保信息设置为必录项，系统中数据记录不完整、不真实</v>
          </cell>
        </row>
        <row r="52">
          <cell r="B52" t="str">
            <v>1|保险公司农业保险承保到户，并能够根据需要提供保险单或保险凭证</v>
          </cell>
        </row>
        <row r="53">
          <cell r="B53" t="str">
            <v>2|其他情况</v>
          </cell>
        </row>
        <row r="54">
          <cell r="B54" t="str">
            <v>1|全部采用银（邮）保通系统出单</v>
          </cell>
        </row>
        <row r="55">
          <cell r="B55" t="str">
            <v>2|未全部采用银（邮）保通系统出单</v>
          </cell>
        </row>
        <row r="56">
          <cell r="B56" t="str">
            <v>1|意外险出单系统不存在未与核心业务系统实时对接的问题</v>
          </cell>
        </row>
        <row r="57">
          <cell r="B57" t="str">
            <v>2|意外险出单系统存在未与核心业务系统实时对接的问题</v>
          </cell>
        </row>
        <row r="58">
          <cell r="B58" t="str">
            <v>1|核心业务系统完整记录意外险保单信息内容</v>
          </cell>
        </row>
        <row r="59">
          <cell r="B59" t="str">
            <v>2|核心业务系统未完整记录意外险保单信息内容</v>
          </cell>
        </row>
        <row r="60">
          <cell r="B60" t="str">
            <v>1|不具备完整性控制功能</v>
          </cell>
        </row>
        <row r="61">
          <cell r="B61" t="str">
            <v>2|具备完整性控制功能，但功能不完备</v>
          </cell>
        </row>
        <row r="62">
          <cell r="B62" t="str">
            <v>3|具备完整性控制功能，且功能完备</v>
          </cell>
        </row>
        <row r="63">
          <cell r="B63" t="str">
            <v>1|不具备完整性控制功能</v>
          </cell>
        </row>
        <row r="64">
          <cell r="B64" t="str">
            <v>2|具备完整性控制功能，但功能不完备</v>
          </cell>
        </row>
        <row r="65">
          <cell r="B65" t="str">
            <v>3|具备完整性控制功能，且功能完备</v>
          </cell>
        </row>
        <row r="66">
          <cell r="B66" t="str">
            <v>1|佣金和手续费由总公司通过银行转账等非现金方式集中支付</v>
          </cell>
        </row>
        <row r="67">
          <cell r="B67" t="str">
            <v>2|佣金和手续费由省级分公司通过银行转账等非现金方式集中支付</v>
          </cell>
        </row>
        <row r="68">
          <cell r="B68" t="str">
            <v>3|其他</v>
          </cell>
        </row>
        <row r="69">
          <cell r="B69" t="str">
            <v>1|全部业务均由省公司及以上机构集中核保</v>
          </cell>
        </row>
        <row r="70">
          <cell r="B70" t="str">
            <v>2|中支机构具有核保权限，且支公司及以下分支机构不具有核保权限</v>
          </cell>
        </row>
        <row r="71">
          <cell r="B71" t="str">
            <v>3|支公司及以下分支机构具有核保权限</v>
          </cell>
        </row>
        <row r="72">
          <cell r="B72" t="str">
            <v>1|将操作风险纳入省级分公司和中心支公司销售、承保、保全部门负责人考核体系</v>
          </cell>
        </row>
        <row r="73">
          <cell r="B73" t="str">
            <v>2|未将操作风险纳入省级分公司和中心支公司销售、承保、保全部门负责人考核体系</v>
          </cell>
        </row>
        <row r="74">
          <cell r="B74" t="str">
            <v>1|公司建立了保险标的核验和风险评估制度，并能严格按制度规定展开核验</v>
          </cell>
        </row>
        <row r="75">
          <cell r="B75" t="str">
            <v>2|其他情况</v>
          </cell>
        </row>
        <row r="76">
          <cell r="B76" t="str">
            <v>1|评估期，涉及保费批减、退保的资金未发生支付至投保人、被保险人或取得相应授权的合法第三方以外情况</v>
          </cell>
        </row>
        <row r="77">
          <cell r="B77" t="str">
            <v>2|评估期，涉及保费批减、退保的资金发生支付至投保人、被保险人或取得相应授权的合法第三方以外情况</v>
          </cell>
        </row>
        <row r="78">
          <cell r="B78" t="str">
            <v>1|评估期各业务条线佣金及手续费均通过系统跟单自动计提</v>
          </cell>
        </row>
        <row r="79">
          <cell r="B79" t="str">
            <v>2|其他情况</v>
          </cell>
        </row>
        <row r="80">
          <cell r="B80" t="str">
            <v>1|将操作风险纳入省级分公司和中心支公司销售、承保、保全部门负责人考核体系</v>
          </cell>
        </row>
        <row r="81">
          <cell r="B81" t="str">
            <v>2|未将操作风险纳入省级分公司和中心支公司销售、承保、保全部门负责人考核体系</v>
          </cell>
        </row>
        <row r="82">
          <cell r="B82" t="str">
            <v>1|公司建立了保险标的生调、体检等核验和风险评估制度，并能严格按制度规定展开核验</v>
          </cell>
        </row>
        <row r="83">
          <cell r="B83" t="str">
            <v>2|其他情况</v>
          </cell>
        </row>
        <row r="84">
          <cell r="B84" t="str">
            <v>1|评估期，保单质押贷款均通过银行转账支付至投保人银行账户</v>
          </cell>
        </row>
        <row r="85">
          <cell r="B85" t="str">
            <v>2|其他情况</v>
          </cell>
        </row>
        <row r="86">
          <cell r="B86" t="str">
            <v>1|评估期各业务条线佣金及手续费均通过系统跟单自动计提</v>
          </cell>
        </row>
        <row r="87">
          <cell r="B87" t="str">
            <v>2|其他情况</v>
          </cell>
        </row>
        <row r="88">
          <cell r="B88" t="str">
            <v>1|同一赔案中，理赔不相容岗位分离设置如下：车险理赔：查勘岗与核损岗、定损岗与核损岗、人伤跟踪岗与医疗审核岗、核损岗与核赔岗、医疗审核岗与核赔岗、理算岗与核赔岗；非车险理赔：案件处理岗与核赔岗、理算岗与核赔岗；做到6项以上</v>
          </cell>
        </row>
        <row r="89">
          <cell r="B89" t="str">
            <v>2|同一赔案中，理赔不相容岗位分离设置如下：车险理赔：查勘岗与核损岗、定损岗与核损岗、人伤跟踪岗与医疗审核岗、核损岗与核赔岗、医疗审核岗与核赔岗、理算岗与核赔岗；非车险理赔：案件处理岗与核赔岗、理算岗与核赔岗；少于6项但查勘、定损与核赔岗位，核损与核赔岗位分离</v>
          </cell>
        </row>
        <row r="90">
          <cell r="B90" t="str">
            <v>3|其他</v>
          </cell>
        </row>
        <row r="91">
          <cell r="B91" t="str">
            <v>1|理赔流程中的特殊环节由总公司集中管理，并制定统一的管理流程，其中农业保险报案由省级分公司或总公司集中受理</v>
          </cell>
        </row>
        <row r="92">
          <cell r="B92" t="str">
            <v>2|其他</v>
          </cell>
        </row>
        <row r="93">
          <cell r="B93" t="str">
            <v>1|理赔系统中开发独立的反欺诈模块</v>
          </cell>
        </row>
        <row r="94">
          <cell r="B94" t="str">
            <v>2|未开发独立系统模块，但建立了独立的反欺诈机制</v>
          </cell>
        </row>
        <row r="95">
          <cell r="B95" t="str">
            <v>3|其他</v>
          </cell>
        </row>
        <row r="96">
          <cell r="B96" t="str">
            <v>1|保险公司建立农业保险内部稽核制度，根据《农业保险条例》、有关监管规定以及公司内控制度，定期对分支机构农业保险业务进行核查，并将核查结果及时报告保险监管部门</v>
          </cell>
        </row>
        <row r="97">
          <cell r="B97" t="str">
            <v>2|保险公司建立了农业保险内部稽核制度，定期对分支机构农业保险业务进行核查，但未将核查结果及时报告保险监管部门</v>
          </cell>
        </row>
        <row r="98">
          <cell r="B98" t="str">
            <v>3|保险公司建立了农业保险内部稽核制度，但未对分支机构农业保险业务进行核查</v>
          </cell>
        </row>
        <row r="99">
          <cell r="B99" t="str">
            <v>4|保险公司未建立农业保险内部稽核制度</v>
          </cell>
        </row>
        <row r="100">
          <cell r="B100" t="str">
            <v>1|省级分公司和中心支公司理赔部门负责人的业绩考核与操作风险相挂钩</v>
          </cell>
        </row>
        <row r="101">
          <cell r="B101" t="str">
            <v>2|省级分公司和中心支公司理赔部门负责人的业绩考核与操作风险未挂钩</v>
          </cell>
        </row>
        <row r="102">
          <cell r="B102" t="str">
            <v>1|公司对分支机构实行分类授权理赔管理，根据赔案类型，理赔工作环节，分支机构经营管理水平、风险控制能力及服务需求，理赔人员专业技能、考试评级结果等因素，明确各级机构或人员定损权限及核赔权限</v>
          </cell>
        </row>
        <row r="103">
          <cell r="B103" t="str">
            <v>2|其他情况</v>
          </cell>
        </row>
        <row r="104">
          <cell r="B104" t="str">
            <v>1|公司理赔信息系统设置了反欺诈识别提醒功能，对出险时间与起保或终止时间接近、保险年度内索赔次数异常等情况进行提示的，对重点领域和环节设立欺诈案件和可疑赔案筛查功能</v>
          </cell>
        </row>
        <row r="105">
          <cell r="B105" t="str">
            <v>2|其他情况</v>
          </cell>
        </row>
        <row r="106">
          <cell r="B106" t="str">
            <v>1|公司理赔信息系统与接报案系统对接，理赔信息系统中报案时间由接报案系统直接导入，报案时间无法手工修改</v>
          </cell>
        </row>
        <row r="107">
          <cell r="B107" t="str">
            <v>2|其他情况</v>
          </cell>
        </row>
        <row r="108">
          <cell r="B108" t="str">
            <v>1|省级分公司和中心支公司理赔部门负责人的业绩考核与操作风险相挂钩</v>
          </cell>
        </row>
        <row r="109">
          <cell r="B109" t="str">
            <v>2|省级分公司和中心支公司理赔部门负责人的业绩考核与操作风险未挂钩</v>
          </cell>
        </row>
        <row r="110">
          <cell r="B110" t="str">
            <v>1|公司理赔信息系统设置了反欺诈识别提醒功能，对出险时间与起保或终止时间接近、保险年度内索赔次数异常等情况进行提示的，对重点领域和环节设立欺诈案件和可疑赔案筛查功能</v>
          </cell>
        </row>
        <row r="111">
          <cell r="B111" t="str">
            <v>2|其他情况</v>
          </cell>
        </row>
        <row r="112">
          <cell r="B112" t="str">
            <v>1|公司理赔信息系统与接报案系统对接，理赔信息系统中报案时间由接报案系统直接导入，报案时间无法手工修改</v>
          </cell>
        </row>
        <row r="113">
          <cell r="B113" t="str">
            <v>2|其他情况</v>
          </cell>
        </row>
        <row r="114">
          <cell r="B114" t="str">
            <v>1|评价期内，保险公司设立了独立的再保险管理部门，部门工作定位准确、内部岗位职责清晰、工作流程及权限设置明确</v>
          </cell>
        </row>
        <row r="115">
          <cell r="B115" t="str">
            <v>2|评价期内，保险公司未设立独立的再保险管理部门，但公司内部再保险业务相关岗位职责定位准确，再保险业务流程清晰和岗位权限明确</v>
          </cell>
        </row>
        <row r="116">
          <cell r="B116" t="str">
            <v>3|其他</v>
          </cell>
        </row>
        <row r="117">
          <cell r="B117" t="str">
            <v>1|评价期内，保险公司的再保险分入业务的核保、核赔、会计处理及财务结算由总公司职能部门统一办理，明确规定分支机构不得办理再保险分入业务的核保、核赔、会计处理及财务结算</v>
          </cell>
        </row>
        <row r="118">
          <cell r="B118" t="str">
            <v>2|评价期内，保险公司的再保险分入业务的核保、核赔、会计处理及财务结算不是由总公司职能部门统一办理，未明确规定分支机构不得办理再保险分入业务的核保、核赔、会计处理及财务结算</v>
          </cell>
        </row>
        <row r="119">
          <cell r="B119" t="str">
            <v>1|评价期内，保险公司在符合监管要求的基础上，制定再保险接受人及经纪人资信管理办法并遵照执行，建立再保险接受人及再保险经纪人资信安全清单，并动态更新、跟踪及管理，信息与再保险登记系统同步</v>
          </cell>
        </row>
        <row r="120">
          <cell r="B120" t="str">
            <v>2|评价期内，保险公司未在符合监管要求的基础上，制定再保险接受人及经纪人资信管理办法并遵照执行，建立再保险接受人及再保险经纪人资信安全清单，并动态更新、跟踪及管理，信息与再保险登记系统同步</v>
          </cell>
        </row>
        <row r="121">
          <cell r="B121" t="str">
            <v>1|评价期内，保险公司根据监管规定及内部管理要求，结合实际情况，建立了再保险接受人信用风险突发应急预案</v>
          </cell>
        </row>
        <row r="122">
          <cell r="B122" t="str">
            <v>2|评价期内，保险公司未根据监管规定及内部管理要求，结合实际情况，建立再保险接受人信用风险突发应急预案</v>
          </cell>
        </row>
        <row r="123">
          <cell r="B123" t="str">
            <v>1|评价期内，保险公司需续保的再保合约业务，在到期日之前必须完成下一年度合约安排。或者，合约双方另有约定的，必须在双方约定日期前完成</v>
          </cell>
        </row>
        <row r="124">
          <cell r="B124" t="str">
            <v>2|评价期内，保险公司需续保的再保合约业务，未在到期日前完成下一年度合约安排。合约双方另有约定的，未在双方约定日期前完成</v>
          </cell>
        </row>
        <row r="125">
          <cell r="B125" t="str">
            <v>1|评价期内，保险公司建立再保险应收应付款项的管理机制，包括相关管理制度及执行</v>
          </cell>
        </row>
        <row r="126">
          <cell r="B126" t="str">
            <v>2|评价期内，保险公司未建立再保险应收应付款项的管理机制，包括相关管理制度及执行</v>
          </cell>
        </row>
        <row r="127">
          <cell r="B127" t="str">
            <v>1|保险公司每一危险单位自留风符合相关法律法规管理规定</v>
          </cell>
        </row>
        <row r="128">
          <cell r="B128" t="str">
            <v>2|保险公司每一危险单位自留风险不符合相关法律法规管理规定</v>
          </cell>
        </row>
        <row r="129">
          <cell r="B129" t="str">
            <v>1|保险公司每一危险单位自留风险符合公司内部管理规定</v>
          </cell>
        </row>
        <row r="130">
          <cell r="B130" t="str">
            <v>2|保险公司每一危险单位自留风险不符合公司内部管理规定</v>
          </cell>
        </row>
        <row r="131">
          <cell r="B131" t="str">
            <v>1|再保险系统与业务、财务系统无缝链接，实现数据同步更新</v>
          </cell>
        </row>
        <row r="132">
          <cell r="B132" t="str">
            <v>2|再保险系统未能与业务、财务系统无缝链接，未能实现数据同步更新</v>
          </cell>
        </row>
        <row r="133">
          <cell r="B133" t="str">
            <v>1|IT系统模块包括合约、临分、分入、分出、账务、再保人管理等功能，系统功能齐全</v>
          </cell>
        </row>
        <row r="134">
          <cell r="B134" t="str">
            <v>2|IT系统模块不包括合约、临分、分入、分出、账务、再保人管理等功能，系统功能不齐全</v>
          </cell>
        </row>
        <row r="135">
          <cell r="B135" t="str">
            <v>1|保险公司IT系统可统计保监会要求上报的各类再保险数据报表</v>
          </cell>
        </row>
        <row r="136">
          <cell r="B136" t="str">
            <v>2|保险公司IT系统不能统计保监会要求上报的各类再保险数据报表</v>
          </cell>
        </row>
        <row r="137">
          <cell r="B137" t="str">
            <v>1|再保险IT系统权限管理明晰，核保和再保、经办和复核岗位权限区分明确</v>
          </cell>
        </row>
        <row r="138">
          <cell r="B138" t="str">
            <v>2|再保险IT系统权限管理不明晰，核保和再保、经办和复核岗位权限区分不明确</v>
          </cell>
        </row>
        <row r="139">
          <cell r="B139" t="str">
            <v>1|再保系统可在1个账单周期内及时更新核保、理赔、批改等信息，并具有保留修改痕迹，查询修改人和修改时间的功能，账单操作时点和对应原始数据具有留存功能</v>
          </cell>
        </row>
        <row r="140">
          <cell r="B140" t="str">
            <v>2|再保系统不能在1个账单周期内及时更新核保、理赔、批改等信息，不具有保留修改痕迹，不能查询修改人和修改时间的功能，账单操作时点和对应原始数据不具有留存功能</v>
          </cell>
        </row>
        <row r="141">
          <cell r="B141" t="str">
            <v>1|保险公司采用合理方法提取未到期准备金，并进行充足性测试，且充足性测试过程的假设与未决赔款准备金评估以及业务发展趋势一致</v>
          </cell>
        </row>
        <row r="142">
          <cell r="B142" t="str">
            <v>2|保险公司采用合理方法提取未到期准备金，并进行充足性测试，但充足性测试假设与未决评估及业务发展趋势存在差异</v>
          </cell>
        </row>
        <row r="143">
          <cell r="B143" t="str">
            <v>3|其他</v>
          </cell>
        </row>
        <row r="144">
          <cell r="B144" t="str">
            <v>1|保险公司对于已发生未报案未决赔款准备金采用两种以上方法评估，并进行合理性检验</v>
          </cell>
        </row>
        <row r="145">
          <cell r="B145" t="str">
            <v>2|保险公司对于已发生未报案未决赔款准备金采用两种方法评估，未进行合理性检验</v>
          </cell>
        </row>
        <row r="146">
          <cell r="B146" t="str">
            <v>3|其他</v>
          </cell>
        </row>
        <row r="147">
          <cell r="B147" t="str">
            <v>1|保险公司分别建立再保分出前和再保分出后的赔付流量三角形，对分保未决赔款准备金进行评估</v>
          </cell>
        </row>
        <row r="148">
          <cell r="B148" t="str">
            <v>2|其他</v>
          </cell>
        </row>
        <row r="149">
          <cell r="B149" t="str">
            <v>1|保险公司准备金核算过程中与财务现有的科目核算无重复或遗漏，精算结果与财务结果有差异时，定期及时更新</v>
          </cell>
        </row>
        <row r="150">
          <cell r="B150" t="str">
            <v>2|其他</v>
          </cell>
        </row>
        <row r="151">
          <cell r="B151" t="str">
            <v>1|保险公司准备金核算过程中总部不直接做业务时，未计提准备金，即无冗余</v>
          </cell>
        </row>
        <row r="152">
          <cell r="B152" t="str">
            <v>2|其他</v>
          </cell>
        </row>
        <row r="153">
          <cell r="B153" t="str">
            <v>1|底稿内容不完整</v>
          </cell>
        </row>
        <row r="154">
          <cell r="B154" t="str">
            <v>2|底稿内容完整</v>
          </cell>
        </row>
        <row r="155">
          <cell r="B155" t="str">
            <v>1|编制频率低于每半年一次</v>
          </cell>
        </row>
        <row r="156">
          <cell r="B156" t="str">
            <v>2|编制频率不低于每半年一次</v>
          </cell>
        </row>
        <row r="157">
          <cell r="B157" t="str">
            <v>1|未有效复核</v>
          </cell>
        </row>
        <row r="158">
          <cell r="B158" t="str">
            <v>2|有效复核</v>
          </cell>
        </row>
        <row r="159">
          <cell r="B159" t="str">
            <v>1|未有效留存或备份</v>
          </cell>
        </row>
        <row r="160">
          <cell r="B160" t="str">
            <v>2|有效留存或备份</v>
          </cell>
        </row>
        <row r="161">
          <cell r="B161" t="str">
            <v>1|保险公司针对准备金管理建立了完善的管理流程与管理制度</v>
          </cell>
        </row>
        <row r="162">
          <cell r="B162" t="str">
            <v>2|保险公司针对准备金管理建立了较为完善的管理流程与管理制度</v>
          </cell>
        </row>
        <row r="163">
          <cell r="B163" t="str">
            <v>3|保险公司针对准备金管理建立了管理流程与管理制度，但是有待进一步完善</v>
          </cell>
        </row>
        <row r="164">
          <cell r="B164" t="str">
            <v>1|最近4个季度内资产管理部门负责人未因违法违规受到行政处罚</v>
          </cell>
        </row>
        <row r="165">
          <cell r="B165" t="str">
            <v>2|最近4个季度内资产管理部门负责人因违法违规受到行政处罚</v>
          </cell>
        </row>
        <row r="166">
          <cell r="B166" t="str">
            <v>1|资产管理部门在投资研究、资产清算或托管、风险控制、业绩评估、相关保障等环节设置岗位</v>
          </cell>
        </row>
        <row r="167">
          <cell r="B167" t="str">
            <v>2|资产管理部门未在投资研究、资产清算、托管、风险控制、业绩评估、相关保障等环节设置岗位</v>
          </cell>
        </row>
        <row r="168">
          <cell r="B168" t="str">
            <v>3|不适用</v>
          </cell>
        </row>
        <row r="169">
          <cell r="B169" t="str">
            <v>1|资产管理部门除在投资研究、资产清算或托管、风险控制、业绩评估、相关保障等环节设置岗位外，还设置投资、交易等与资金运用业务直接相关的岗位</v>
          </cell>
        </row>
        <row r="170">
          <cell r="B170" t="str">
            <v>2|资产管理部门未在投资研究、资产清算或托管、风险控制、业绩评估、相关保障等环节设置岗位，也未设置投资、交易等与资金运用业务直接相关的岗位</v>
          </cell>
        </row>
        <row r="171">
          <cell r="B171" t="str">
            <v>3|不适用</v>
          </cell>
        </row>
        <row r="172">
          <cell r="B172" t="str">
            <v>1|对投研人员无激励机制或激励机制只与短期（一年及以内）业绩挂钩</v>
          </cell>
        </row>
        <row r="173">
          <cell r="B173" t="str">
            <v>2|对投研人员的激励机制与长期（一年以上）业绩挂钩</v>
          </cell>
        </row>
        <row r="174">
          <cell r="B174" t="str">
            <v>3|不适用</v>
          </cell>
        </row>
        <row r="175">
          <cell r="B175" t="str">
            <v>1|能够提供受托机构相关证明材料</v>
          </cell>
        </row>
        <row r="176">
          <cell r="B176" t="str">
            <v>2|不能提供受托机构相关证明材料</v>
          </cell>
        </row>
        <row r="177">
          <cell r="B177" t="str">
            <v>3|不适用</v>
          </cell>
        </row>
        <row r="178">
          <cell r="B178" t="str">
            <v>1|资金运用风险管理人员激励机制不直接与投资业绩挂钩</v>
          </cell>
        </row>
        <row r="179">
          <cell r="B179" t="str">
            <v>2|资金运用风险管理人员激励机制直接与投资业绩挂钩</v>
          </cell>
        </row>
        <row r="180">
          <cell r="B180" t="str">
            <v>3|不适用</v>
          </cell>
        </row>
        <row r="181">
          <cell r="B181" t="str">
            <v>1|能够提供受托机构相关证明材料</v>
          </cell>
        </row>
        <row r="182">
          <cell r="B182" t="str">
            <v>2|不能够提供受托机构相关证明材料</v>
          </cell>
        </row>
        <row r="183">
          <cell r="B183" t="str">
            <v>3|不适用</v>
          </cell>
        </row>
        <row r="184">
          <cell r="B184" t="str">
            <v>1|业绩考核与操作风险挂钩</v>
          </cell>
        </row>
        <row r="185">
          <cell r="B185" t="str">
            <v>2|业绩考核不与操作风险挂钩</v>
          </cell>
        </row>
        <row r="186">
          <cell r="B186" t="str">
            <v>3|不适用</v>
          </cell>
        </row>
        <row r="187">
          <cell r="B187" t="str">
            <v>1|能够提供受托机构相关证明材料</v>
          </cell>
        </row>
        <row r="188">
          <cell r="B188" t="str">
            <v>2|不能提供受托机构相关证明材料</v>
          </cell>
        </row>
        <row r="189">
          <cell r="B189" t="str">
            <v>3|不适用</v>
          </cell>
        </row>
        <row r="190">
          <cell r="B190" t="str">
            <v>1|建立资金运用操作风险数据库且如实记录操作风险事件</v>
          </cell>
        </row>
        <row r="191">
          <cell r="B191" t="str">
            <v>2|未建立资金运用操作风险数据库或未如实记录操作风险事件</v>
          </cell>
        </row>
        <row r="192">
          <cell r="B192" t="str">
            <v>1|保险公司委托投资的，全部建立相关制度</v>
          </cell>
        </row>
        <row r="193">
          <cell r="B193" t="str">
            <v>2|保险公司委托投资的，未全部建立相关制度</v>
          </cell>
        </row>
        <row r="194">
          <cell r="B194" t="str">
            <v>3|保险公司未开展委托投资</v>
          </cell>
        </row>
        <row r="195">
          <cell r="B195" t="str">
            <v>1|委托投资指引达到要求</v>
          </cell>
        </row>
        <row r="196">
          <cell r="B196" t="str">
            <v>2|委托投资指引未达到要求</v>
          </cell>
        </row>
        <row r="197">
          <cell r="B197" t="str">
            <v>3|保险公司未开展委托投资</v>
          </cell>
        </row>
        <row r="198">
          <cell r="B198" t="str">
            <v>1|最近4个季度内对全部投资管理人评估大于1次</v>
          </cell>
        </row>
        <row r="199">
          <cell r="B199" t="str">
            <v>2|最近4个季度内只对部分投资管理人进行评估</v>
          </cell>
        </row>
        <row r="200">
          <cell r="B200" t="str">
            <v>3|最近4个季度内未对投资管理人进行评估</v>
          </cell>
        </row>
        <row r="201">
          <cell r="B201" t="str">
            <v>4|保险公司未开展委托投资</v>
          </cell>
        </row>
        <row r="202">
          <cell r="B202" t="str">
            <v>1|资产配置压力测试达到要求</v>
          </cell>
        </row>
        <row r="203">
          <cell r="B203" t="str">
            <v>2|资产配置压力测试未达到要求</v>
          </cell>
        </row>
        <row r="204">
          <cell r="B204" t="str">
            <v>1|资产配置分账户管理达到要求</v>
          </cell>
        </row>
        <row r="205">
          <cell r="B205" t="str">
            <v>2|资产配置分账户管理未达到要求</v>
          </cell>
        </row>
        <row r="206">
          <cell r="B206" t="str">
            <v>3|不适用</v>
          </cell>
        </row>
        <row r="207">
          <cell r="B207" t="str">
            <v>1|能够提供受托机构相关证明材料</v>
          </cell>
        </row>
        <row r="208">
          <cell r="B208" t="str">
            <v>2|不能提供受托机构相关证明材料</v>
          </cell>
        </row>
        <row r="209">
          <cell r="B209" t="str">
            <v>3|不适用</v>
          </cell>
        </row>
        <row r="210">
          <cell r="B210" t="str">
            <v>1|全部投资资产实施托管</v>
          </cell>
        </row>
        <row r="211">
          <cell r="B211" t="str">
            <v>2|投资资产部分托管</v>
          </cell>
        </row>
        <row r="212">
          <cell r="B212" t="str">
            <v>3|投资资产未托管</v>
          </cell>
        </row>
        <row r="213">
          <cell r="B213" t="str">
            <v>1|具备完善的投资授权制度，建立董事会投资决策委员会体系，决策及批准权限明确</v>
          </cell>
        </row>
        <row r="214">
          <cell r="B214" t="str">
            <v>2|不具备完善的投资授权制度，未建立董事会投资决策委员会体系，决策及批准权限不明确</v>
          </cell>
        </row>
        <row r="215">
          <cell r="B215" t="str">
            <v>1|实现决策流程的信息化和自动化，通过信息系统手段实现投资决策流程、次序自动控制</v>
          </cell>
        </row>
        <row r="216">
          <cell r="B216" t="str">
            <v>2|未实现决策流程的信息化和自动化，未能通过信息系统手段实现投资决策流程、次序自动控制</v>
          </cell>
        </row>
        <row r="217">
          <cell r="B217" t="str">
            <v>3|不适用</v>
          </cell>
        </row>
        <row r="218">
          <cell r="B218" t="str">
            <v>1|能够提供受托机构相关证明材料</v>
          </cell>
        </row>
        <row r="219">
          <cell r="B219" t="str">
            <v>2|不能提供受托机构相关证明材料</v>
          </cell>
        </row>
        <row r="220">
          <cell r="B220" t="str">
            <v>3|其他</v>
          </cell>
        </row>
        <row r="221">
          <cell r="B221" t="str">
            <v>1|重要投资决策有相关书面记录，如会议纪要、最终投资决议等，并由决策人在最终投资决议上确认</v>
          </cell>
        </row>
        <row r="222">
          <cell r="B222" t="str">
            <v>2|重要投资决策没有相关书面记录，如会议纪要、最终投资决议等，或者决策人未在最终投资决议上确认</v>
          </cell>
        </row>
        <row r="223">
          <cell r="B223" t="str">
            <v>3|不适用</v>
          </cell>
        </row>
        <row r="224">
          <cell r="B224" t="str">
            <v>1|能够提供受托机构相关证明材料</v>
          </cell>
        </row>
        <row r="225">
          <cell r="B225" t="str">
            <v>2|不能提供受托机构相关证明材料</v>
          </cell>
        </row>
        <row r="226">
          <cell r="B226" t="str">
            <v>3|不适用</v>
          </cell>
        </row>
        <row r="227">
          <cell r="B227" t="str">
            <v>1|构建投资池、备选池和禁投池体系且定期维护</v>
          </cell>
        </row>
        <row r="228">
          <cell r="B228" t="str">
            <v>2|未构建投资池、备选池和禁投池体系</v>
          </cell>
        </row>
        <row r="229">
          <cell r="B229" t="str">
            <v>3|未开展股票、债券、开放式基金等投资</v>
          </cell>
        </row>
        <row r="230">
          <cell r="B230" t="str">
            <v>1|能够提供受托机构相关证明材料</v>
          </cell>
        </row>
        <row r="231">
          <cell r="B231" t="str">
            <v>2|不能提供受托机构相关证明材料</v>
          </cell>
        </row>
        <row r="232">
          <cell r="B232" t="str">
            <v>3|不适用</v>
          </cell>
        </row>
        <row r="233">
          <cell r="B233" t="str">
            <v>1|实行集中交易制度，安装必要的监测系统、预警系统和反馈系统，对交易室通讯设备进行监控</v>
          </cell>
        </row>
        <row r="234">
          <cell r="B234" t="str">
            <v>2|未实行集中交易制度，未安装必要的监测系统、预警系统和反馈系统，未对交易室通讯设备进行监控</v>
          </cell>
        </row>
        <row r="235">
          <cell r="B235" t="str">
            <v>3|不适用</v>
          </cell>
        </row>
        <row r="236">
          <cell r="B236" t="str">
            <v>1|能够提供受托机构相关证明材料</v>
          </cell>
        </row>
        <row r="237">
          <cell r="B237" t="str">
            <v>2|不能提供受托机构相关证明材料</v>
          </cell>
        </row>
        <row r="238">
          <cell r="B238" t="str">
            <v>3|不适用</v>
          </cell>
        </row>
        <row r="239">
          <cell r="B239" t="str">
            <v>1|建立完善的交易记录制度，每日对交易记录及时核对并存档</v>
          </cell>
        </row>
        <row r="240">
          <cell r="B240" t="str">
            <v>2|未建立完善的交易记录制度，未对交易记录及时核对并存档</v>
          </cell>
        </row>
        <row r="241">
          <cell r="B241" t="str">
            <v>3|不适用</v>
          </cell>
        </row>
        <row r="242">
          <cell r="B242" t="str">
            <v>1|能够提供受托机构相关证明材料</v>
          </cell>
        </row>
        <row r="243">
          <cell r="B243" t="str">
            <v>2|不能提供受托机构相关证明材料</v>
          </cell>
        </row>
        <row r="244">
          <cell r="B244" t="str">
            <v>3|不适用</v>
          </cell>
        </row>
        <row r="245">
          <cell r="B245" t="str">
            <v>1|建立会计估值政策与制度规范，估值结果经过复核审查</v>
          </cell>
        </row>
        <row r="246">
          <cell r="B246" t="str">
            <v>2|未建立会计估值政策与制度规范，估值未经过复核审查</v>
          </cell>
        </row>
        <row r="247">
          <cell r="B247" t="str">
            <v>3|不适用</v>
          </cell>
        </row>
        <row r="248">
          <cell r="B248" t="str">
            <v>1|能够提供受托机构相关证明材料</v>
          </cell>
        </row>
        <row r="249">
          <cell r="B249" t="str">
            <v>2|不能提供受托机构相关证明材料</v>
          </cell>
        </row>
        <row r="250">
          <cell r="B250" t="str">
            <v>3|不适用</v>
          </cell>
        </row>
        <row r="251">
          <cell r="B251" t="str">
            <v>1|投资部门的业务交易台账与后台清算记录和资金记录应保持一致，并保留复核纪录，每日完成交易后进行清算和交易信息核对</v>
          </cell>
        </row>
        <row r="252">
          <cell r="B252" t="str">
            <v>2|投资部门的业务交易台账未能与后台清算记录和资金记录保持一致，未保留复核纪录，每日完成交易后未进行清算和交易信息核对</v>
          </cell>
        </row>
        <row r="253">
          <cell r="B253" t="str">
            <v>3|不适用</v>
          </cell>
        </row>
        <row r="254">
          <cell r="B254" t="str">
            <v>1|由投资部门督促检查管理人和托管人的业务交易台账与后台清算记录和资金记录是否保持一致，管理人和托管人每日核对清算和交易信息</v>
          </cell>
        </row>
        <row r="255">
          <cell r="B255" t="str">
            <v>2|投资部门未督促检查管理人和托管人的业务交易台账与后台清算记录和资金记录是否保持一致，管理人和托管人每日未核对清算和交易信息</v>
          </cell>
        </row>
        <row r="256">
          <cell r="B256" t="str">
            <v>3|不适用</v>
          </cell>
        </row>
        <row r="257">
          <cell r="B257" t="str">
            <v>1|建立资金运用信息系统，设定合规性和风险指标阀值，将风险监控的各项要素固化到信息系统之中，实现管理自动化</v>
          </cell>
        </row>
        <row r="258">
          <cell r="B258" t="str">
            <v>2|建立资金运用信息系统，设定合规性和风险指标阀值，将部分合规性和风险指标阀值设置于信息系统</v>
          </cell>
        </row>
        <row r="259">
          <cell r="B259" t="str">
            <v>3|未建立资金运用信息系统，未设定合规性和风险指标阀值，未将风险监控的各项要素固化到信息系统之中</v>
          </cell>
        </row>
        <row r="260">
          <cell r="B260" t="str">
            <v>4|不适用</v>
          </cell>
        </row>
        <row r="261">
          <cell r="B261" t="str">
            <v>1|能够提供受托机构相关证明材料</v>
          </cell>
        </row>
        <row r="262">
          <cell r="B262" t="str">
            <v>2|不能提供受托机构相关证明材料</v>
          </cell>
        </row>
        <row r="263">
          <cell r="B263" t="str">
            <v>3|不适用</v>
          </cell>
        </row>
        <row r="264">
          <cell r="B264" t="str">
            <v>1|能积极参与、密切跟踪新的资金运用、偿付能力等政策制度，能够及时对新政作出调整资金运用管理流程和经营行为</v>
          </cell>
        </row>
        <row r="265">
          <cell r="B265" t="str">
            <v>2|未能积极参与、密切跟踪新的资金运用、偿付能力等政策制度，未能及时对新政作出调整资金运用管理流程和经营行为</v>
          </cell>
        </row>
        <row r="266">
          <cell r="B266" t="str">
            <v>1|对新的资金运用、偿付能力等政策制度，保险公司能够及时对高管、相关部门人员进行培训</v>
          </cell>
        </row>
        <row r="267">
          <cell r="B267" t="str">
            <v>2|对新的资金运用、偿付能力等政策制度，保险公司未能及时对高管、相关部门人员进行培训</v>
          </cell>
        </row>
        <row r="268">
          <cell r="B268" t="str">
            <v>1|财会部门主要负责人符合专业性要求</v>
          </cell>
        </row>
        <row r="269">
          <cell r="B269" t="str">
            <v>2|保险公司有多个部门负责财会工作的，所有的部门主要负责人符合专业性要求</v>
          </cell>
        </row>
        <row r="270">
          <cell r="B270" t="str">
            <v>3|其他</v>
          </cell>
        </row>
        <row r="271">
          <cell r="B271" t="str">
            <v>1|总公司财会部门负责人和分支机构财会部门负责人的业绩考核与相关操作风险相挂钩</v>
          </cell>
        </row>
        <row r="272">
          <cell r="B272" t="str">
            <v>2|总公司财会部门负责人和分支机构财会部门负责人的业绩考核不与相关操作风险相挂钩</v>
          </cell>
        </row>
        <row r="273">
          <cell r="B273" t="str">
            <v>1|建立财务管理操作风险数据库且如实记录操作风险事件</v>
          </cell>
        </row>
        <row r="274">
          <cell r="B274" t="str">
            <v>2|未建立财务管理操作风险数据库或未如实记录操作风险事件</v>
          </cell>
        </row>
        <row r="275">
          <cell r="B275" t="str">
            <v>1|保险公司的会计核算在总公司或省级分公司集中处理</v>
          </cell>
        </row>
        <row r="276">
          <cell r="B276" t="str">
            <v>2|保险公司的会计核算未在总公司和省级分公司集中处理</v>
          </cell>
        </row>
        <row r="277">
          <cell r="B277" t="str">
            <v>1|符合要求</v>
          </cell>
        </row>
        <row r="278">
          <cell r="B278" t="str">
            <v>2|不符合要求</v>
          </cell>
        </row>
        <row r="279">
          <cell r="B279" t="str">
            <v>1|符合要求</v>
          </cell>
        </row>
        <row r="280">
          <cell r="B280" t="str">
            <v>2|不符合要求</v>
          </cell>
        </row>
        <row r="281">
          <cell r="B281" t="str">
            <v>1|符合要求</v>
          </cell>
        </row>
        <row r="282">
          <cell r="B282" t="str">
            <v>2|不符合要求</v>
          </cell>
        </row>
        <row r="283">
          <cell r="B283" t="str">
            <v>1|单证的领用、核销有专门内控程序和专人负责</v>
          </cell>
        </row>
        <row r="284">
          <cell r="B284" t="str">
            <v>2|单证的领用、核销无专门内控程序和专人负责</v>
          </cell>
        </row>
        <row r="285">
          <cell r="B285" t="str">
            <v>1|财务类印章印鉴实行专人管理，且其使用有明确的内部审批流程</v>
          </cell>
        </row>
        <row r="286">
          <cell r="B286" t="str">
            <v>2|财务类印章印鉴无专人管理，或其使用无明确的内部审批流程</v>
          </cell>
        </row>
        <row r="287">
          <cell r="B287" t="str">
            <v>1|总公司和分公司有专人专岗负责税收管理</v>
          </cell>
        </row>
        <row r="288">
          <cell r="B288" t="str">
            <v>2|总公司和分公司无专岗但有专人负责税收管理</v>
          </cell>
        </row>
        <row r="289">
          <cell r="B289" t="str">
            <v>3|其他</v>
          </cell>
        </row>
        <row r="290">
          <cell r="B290" t="str">
            <v>1|保险公司建立了财务信息系统，实现管理自动化</v>
          </cell>
        </row>
        <row r="291">
          <cell r="B291" t="str">
            <v>2|保险公司未建立财务信息系统，未实现管理自动化</v>
          </cell>
        </row>
        <row r="292">
          <cell r="B292" t="str">
            <v>1|财务数据由总公司集中存储，分支机构没有修改财务数据权限</v>
          </cell>
        </row>
        <row r="293">
          <cell r="B293" t="str">
            <v>2|财务数据不是由总公司集中存储，或者分支机构有修改财务数据权限</v>
          </cell>
        </row>
        <row r="294">
          <cell r="B294" t="str">
            <v>1|核对频率高于等于每周一次</v>
          </cell>
        </row>
        <row r="295">
          <cell r="B295" t="str">
            <v>2|核对频率低于每周一次但高于等于每月一次</v>
          </cell>
        </row>
        <row r="296">
          <cell r="B296" t="str">
            <v>3|其他</v>
          </cell>
        </row>
        <row r="297">
          <cell r="B297" t="str">
            <v>1|能积极参与、密切跟踪新的会计、税收、财务监管、偿付能力等政策制度，能够及时调整财务管理流程和经营行为</v>
          </cell>
        </row>
        <row r="298">
          <cell r="B298" t="str">
            <v>2|未能积极参与、密切跟踪新的会计、税收、财务监管、偿付能力等政策制度，未能及时调整财务管理流程和经营行为</v>
          </cell>
        </row>
        <row r="299">
          <cell r="B299" t="str">
            <v>1|对新的会计、税收、财务监管、偿付能力等政策制度，保险公司能够及时对高管、相关部门人员进行培训</v>
          </cell>
        </row>
        <row r="300">
          <cell r="B300" t="str">
            <v>2|对新的会计、税收、财务监管、偿付能力等政策制度，保险公司不能及时对高管、相关部门人员进行培训</v>
          </cell>
        </row>
        <row r="301">
          <cell r="B301" t="str">
            <v>1|不存在公司会计、出纳、稽核等不相容岗位兼职情况</v>
          </cell>
        </row>
        <row r="302">
          <cell r="B302" t="str">
            <v>2|存在公司会计、出纳、稽核等不相容岗位兼职情况</v>
          </cell>
        </row>
        <row r="303">
          <cell r="B303" t="str">
            <v>1|省级分公司和中心支公司财务部门负责人的业绩考核与操作风险相挂钩</v>
          </cell>
        </row>
        <row r="304">
          <cell r="B304" t="str">
            <v>2|省级分公司和中心支公司财务部门负责人的业绩考核不与操作风险相挂钩</v>
          </cell>
        </row>
        <row r="305">
          <cell r="B305" t="str">
            <v>1|银行账户由总公司集中管理，银行账户的设立、变更或注销报总公司审批或备案，支公司及以下分支机构未开立银行账户（税收、社保账户除外）</v>
          </cell>
        </row>
        <row r="306">
          <cell r="B306" t="str">
            <v>2|银行账户不是由总公司集中管理，或者银行账户的设立、变更或注销不是报总公司审批或备案，或者支公司及以下分支机构开立银行账户（税收、社保账户除外）</v>
          </cell>
        </row>
        <row r="307">
          <cell r="B307" t="str">
            <v>1|评估期末公司本年度累计实际发生费用未超过预算</v>
          </cell>
        </row>
        <row r="308">
          <cell r="B308" t="str">
            <v>2|评估期末公司本年度累计实际发生费用超过预算</v>
          </cell>
        </row>
        <row r="309">
          <cell r="B309" t="str">
            <v>1|财务系统与单证系统、业务系统、再保系统、精算系统等对接，实现系统间数据自动交换</v>
          </cell>
        </row>
        <row r="310">
          <cell r="B310" t="str">
            <v>2|财务系统未与单证系统、业务系统、再保系统、精算系统等对接，未能实现系统间数据自动交换</v>
          </cell>
        </row>
        <row r="311">
          <cell r="B311" t="str">
            <v>1|未受到行政处罚</v>
          </cell>
        </row>
        <row r="312">
          <cell r="B312" t="str">
            <v>2|董事长、总经理被处以罚款</v>
          </cell>
        </row>
        <row r="313">
          <cell r="B313" t="str">
            <v>3|董事长、总经理以外的其他董事、高级管理人员被撤销任职资格或者禁止进入保险业</v>
          </cell>
        </row>
        <row r="316">
          <cell r="B316" t="str">
            <v>1|未受到该类行政处罚</v>
          </cell>
        </row>
        <row r="317">
          <cell r="B317" t="str">
            <v>2|受到该类行政处罚</v>
          </cell>
        </row>
        <row r="318">
          <cell r="B318" t="str">
            <v>1|设置合规管理部门</v>
          </cell>
        </row>
        <row r="319">
          <cell r="B319" t="str">
            <v>2|未设置合规管理部门</v>
          </cell>
        </row>
        <row r="320">
          <cell r="B320" t="str">
            <v>1|按照规定制定合规管理政策</v>
          </cell>
        </row>
        <row r="321">
          <cell r="B321" t="str">
            <v>2|未按照规定制定合规管理政策</v>
          </cell>
        </row>
        <row r="322">
          <cell r="B322" t="str">
            <v>1|制定员工行为准则等落实合规政策的文件</v>
          </cell>
        </row>
        <row r="323">
          <cell r="B323" t="str">
            <v>2|未制定员工行为准则等落实合规政策的文件</v>
          </cell>
        </row>
        <row r="324">
          <cell r="B324" t="str">
            <v>1|定期开展合规培训</v>
          </cell>
        </row>
        <row r="325">
          <cell r="B325" t="str">
            <v>2|未定期开展合规培训</v>
          </cell>
        </row>
        <row r="326">
          <cell r="B326" t="str">
            <v>1|按时提交年度合规报告</v>
          </cell>
        </row>
        <row r="327">
          <cell r="B327" t="str">
            <v>2|未按时提交年度合规报告</v>
          </cell>
        </row>
        <row r="328">
          <cell r="B328" t="str">
            <v>1|总公司被限制业务范围、责令停止接受新业务、责令停业整顿、吊销业务许可证</v>
          </cell>
        </row>
        <row r="329">
          <cell r="B329" t="str">
            <v>2|总公司董事长、总经理被撤销任职资格或者禁止进入保险业</v>
          </cell>
        </row>
        <row r="330">
          <cell r="B330" t="str">
            <v>3|无</v>
          </cell>
        </row>
      </sheetData>
      <sheetData sheetId="3">
        <row r="2">
          <cell r="B2" t="str">
            <v>1|销售人员管理体系完善，制定和实施了详细的培训计划</v>
          </cell>
          <cell r="C2">
            <v>4</v>
          </cell>
        </row>
        <row r="3">
          <cell r="B3" t="str">
            <v>2|销售人员管理体系完善，未制定和实施详细的培训计划</v>
          </cell>
          <cell r="C3">
            <v>2</v>
          </cell>
        </row>
        <row r="4">
          <cell r="B4" t="str">
            <v>3|销售人员管理体系不完善，未制定和实施详细的培训计划</v>
          </cell>
          <cell r="C4">
            <v>0</v>
          </cell>
        </row>
        <row r="5">
          <cell r="B5" t="str">
            <v>1|保险公司明确了核保人员资质条件，定期举行核保人员上岗资格考试</v>
          </cell>
          <cell r="C5">
            <v>6</v>
          </cell>
        </row>
        <row r="6">
          <cell r="B6" t="str">
            <v>2|保险公司明确了核保人员资质条件，未举行核保人员上岗资格考试</v>
          </cell>
          <cell r="C6">
            <v>3</v>
          </cell>
        </row>
        <row r="7">
          <cell r="B7" t="str">
            <v>3|保险公司未明确核保人员资质条件，不举行核保人员上岗资格考试，不开展核保人员培训</v>
          </cell>
          <cell r="C7">
            <v>0</v>
          </cell>
        </row>
        <row r="8">
          <cell r="B8" t="str">
            <v>1|保险公司核保分级授权清晰，明确了核保人员授权标准且定期更新，核保授权固化到系统</v>
          </cell>
          <cell r="C8">
            <v>6</v>
          </cell>
        </row>
        <row r="9">
          <cell r="B9" t="str">
            <v>2|保险公司有核保分级授权，但不够完善，对核保人员核保授权未固化到系统</v>
          </cell>
          <cell r="C9">
            <v>3</v>
          </cell>
        </row>
        <row r="10">
          <cell r="B10" t="str">
            <v>3|保险公司未明确核保人员资质条件，不举行核保人员上岗资格考试，不开展核保人员培训</v>
          </cell>
          <cell r="C10">
            <v>0</v>
          </cell>
        </row>
        <row r="11">
          <cell r="B11">
            <v>0</v>
          </cell>
          <cell r="C11">
            <v>0</v>
          </cell>
        </row>
        <row r="12">
          <cell r="B12">
            <v>0.8</v>
          </cell>
          <cell r="C12">
            <v>2</v>
          </cell>
        </row>
        <row r="13">
          <cell r="B13">
            <v>0.9</v>
          </cell>
          <cell r="C13">
            <v>3</v>
          </cell>
        </row>
        <row r="14">
          <cell r="B14">
            <v>1</v>
          </cell>
          <cell r="C14">
            <v>4</v>
          </cell>
        </row>
        <row r="15">
          <cell r="B15">
            <v>0</v>
          </cell>
          <cell r="C15">
            <v>0</v>
          </cell>
        </row>
        <row r="16">
          <cell r="B16">
            <v>0.8</v>
          </cell>
          <cell r="C16">
            <v>1</v>
          </cell>
        </row>
        <row r="17">
          <cell r="B17">
            <v>0.9</v>
          </cell>
          <cell r="C17">
            <v>2</v>
          </cell>
        </row>
        <row r="18">
          <cell r="B18">
            <v>1</v>
          </cell>
          <cell r="C18">
            <v>3</v>
          </cell>
        </row>
        <row r="19">
          <cell r="B19">
            <v>0</v>
          </cell>
          <cell r="C19">
            <v>0</v>
          </cell>
        </row>
        <row r="20">
          <cell r="B20">
            <v>0.95</v>
          </cell>
          <cell r="C20">
            <v>1</v>
          </cell>
        </row>
        <row r="21">
          <cell r="B21">
            <v>0.98</v>
          </cell>
          <cell r="C21">
            <v>2</v>
          </cell>
        </row>
        <row r="22">
          <cell r="B22">
            <v>1</v>
          </cell>
          <cell r="C22">
            <v>3</v>
          </cell>
        </row>
        <row r="23">
          <cell r="B23" t="str">
            <v>1|对需审批的保险条款和费率，均经保险会批准后使用</v>
          </cell>
          <cell r="C23">
            <v>0</v>
          </cell>
        </row>
        <row r="24">
          <cell r="B24" t="str">
            <v>2|对需审批的保险条款和费率，未经保险会批准使用</v>
          </cell>
          <cell r="C24">
            <v>-2</v>
          </cell>
        </row>
        <row r="25">
          <cell r="B25" t="str">
            <v>1|对不需审批的保险条款和费率，均在使用后十个工作内报保监会备案</v>
          </cell>
          <cell r="C25">
            <v>0</v>
          </cell>
        </row>
        <row r="26">
          <cell r="B26" t="str">
            <v>2|对不需审批的保险条款和费率，未在使用后十个工作内报保监会备案</v>
          </cell>
          <cell r="C26">
            <v>-2</v>
          </cell>
        </row>
        <row r="27">
          <cell r="B27" t="str">
            <v>1|严格执行经保监会批准或备案的保险条款和费率</v>
          </cell>
          <cell r="C27">
            <v>0</v>
          </cell>
        </row>
        <row r="28">
          <cell r="B28" t="str">
            <v>2|未严格执行经保监会批准或备案的保险条款和费率，擅自改变条款或费率</v>
          </cell>
          <cell r="C28">
            <v>-2</v>
          </cell>
        </row>
        <row r="29">
          <cell r="B29">
            <v>0</v>
          </cell>
          <cell r="C29">
            <v>3</v>
          </cell>
        </row>
        <row r="30">
          <cell r="B30">
            <v>3.0000000000000001E-3</v>
          </cell>
          <cell r="C30">
            <v>2</v>
          </cell>
        </row>
        <row r="31">
          <cell r="B31">
            <v>5.0000000000000001E-3</v>
          </cell>
          <cell r="C31">
            <v>1</v>
          </cell>
        </row>
        <row r="32">
          <cell r="B32">
            <v>0.01</v>
          </cell>
          <cell r="C32">
            <v>0</v>
          </cell>
        </row>
        <row r="33">
          <cell r="B33" t="str">
            <v>1|保险公司档案管理制度完善，承保档案保管范围、期限符合规定，保单按流水号装订，附件齐全，相关单证资料及时归档，集中管理，完整妥善保管</v>
          </cell>
          <cell r="C33">
            <v>5</v>
          </cell>
        </row>
        <row r="34">
          <cell r="B34" t="str">
            <v>2|保险公司建立了档案管理制度，承保档案保管、装订、归档符合规定，但承保档案未集中管理</v>
          </cell>
          <cell r="C34">
            <v>3</v>
          </cell>
        </row>
        <row r="35">
          <cell r="B35" t="str">
            <v>3|保险公司未建立承保业务档案管理制度，或存在承保档案不全或遗失的情况</v>
          </cell>
          <cell r="C35">
            <v>0</v>
          </cell>
        </row>
        <row r="36">
          <cell r="B36" t="str">
            <v>1|制定符合产品特点的应收保费管理细则</v>
          </cell>
          <cell r="C36">
            <v>0</v>
          </cell>
        </row>
        <row r="37">
          <cell r="B37" t="str">
            <v>2|未制定符合产品特点的应收保费管理细则</v>
          </cell>
          <cell r="C37">
            <v>-1.25</v>
          </cell>
        </row>
        <row r="38">
          <cell r="B38" t="str">
            <v>1|根据应收保费管理细则实施应收保费的日常管理，监控应收保费余额、增速、账龄、应收率等指标</v>
          </cell>
          <cell r="C38">
            <v>0</v>
          </cell>
        </row>
        <row r="39">
          <cell r="B39" t="str">
            <v>2|未根据应收保费管理细则实施应收保费的日常管理，监控应收保费余额、增速、账龄、应收率等指标</v>
          </cell>
          <cell r="C39">
            <v>-1.25</v>
          </cell>
        </row>
        <row r="40">
          <cell r="B40" t="str">
            <v>1|对应收账龄超过3个月的应收保费开展催收（不包括单笔金额小于1万元应收保费）</v>
          </cell>
          <cell r="C40">
            <v>0</v>
          </cell>
        </row>
        <row r="41">
          <cell r="B41" t="str">
            <v>2|未对应收账龄超过3个月的应收保费开展催收（不包括单笔金额小于1万元应收保费）</v>
          </cell>
          <cell r="C41">
            <v>-1.25</v>
          </cell>
        </row>
        <row r="42">
          <cell r="B42" t="str">
            <v>1|总公司开展应收保费考核</v>
          </cell>
          <cell r="C42">
            <v>0</v>
          </cell>
        </row>
        <row r="43">
          <cell r="B43" t="str">
            <v>2|总公司未开展应收保费考核</v>
          </cell>
          <cell r="C43">
            <v>-1.25</v>
          </cell>
        </row>
        <row r="44">
          <cell r="B44" t="str">
            <v>1|未出现利用广告后其他宣传方式对保险条款内容和服务质量等做引人误解的宣传的情况</v>
          </cell>
          <cell r="C44">
            <v>0</v>
          </cell>
        </row>
        <row r="45">
          <cell r="B45" t="str">
            <v>2|利用广告后其他宣传方式对保险条款内容和服务质量等做引人误解的宣传</v>
          </cell>
          <cell r="C45">
            <v>-1</v>
          </cell>
        </row>
        <row r="46">
          <cell r="B46" t="str">
            <v>1|未出现销售活动中阻碍消费者履行如实告知义务或诱导其不履行如实告知义务的情况</v>
          </cell>
          <cell r="C46">
            <v>0</v>
          </cell>
        </row>
        <row r="47">
          <cell r="B47" t="str">
            <v>2|销售活动中阻碍消费者履行如实告知义务或诱导其不履行如实告知义务</v>
          </cell>
          <cell r="C47">
            <v>-1</v>
          </cell>
        </row>
        <row r="48">
          <cell r="B48" t="str">
            <v>1|未出现夸大保险产品保障的情况</v>
          </cell>
          <cell r="C48">
            <v>0</v>
          </cell>
        </row>
        <row r="49">
          <cell r="B49" t="str">
            <v>2|夸大保险产品保障</v>
          </cell>
          <cell r="C49">
            <v>-1</v>
          </cell>
        </row>
        <row r="50">
          <cell r="B50" t="str">
            <v>1|未出现隐瞒合同重要内容，如免责、退保等内容的情况</v>
          </cell>
          <cell r="C50">
            <v>0</v>
          </cell>
        </row>
        <row r="51">
          <cell r="B51" t="str">
            <v>2|隐瞒合同重要内容，如免责、退保等内容</v>
          </cell>
          <cell r="C51">
            <v>-1</v>
          </cell>
        </row>
        <row r="52">
          <cell r="B52" t="str">
            <v>1|未出现提供虚假产品信息的情况</v>
          </cell>
          <cell r="C52">
            <v>0</v>
          </cell>
        </row>
        <row r="53">
          <cell r="B53" t="str">
            <v>2|提供虚假产品信息</v>
          </cell>
          <cell r="C53">
            <v>-1</v>
          </cell>
        </row>
        <row r="54">
          <cell r="B54" t="str">
            <v>1|新险种未及时实现承保业务信息系统管理</v>
          </cell>
          <cell r="C54">
            <v>-3</v>
          </cell>
        </row>
        <row r="55">
          <cell r="B55" t="str">
            <v>2|新险种及时实现承保业务信息系统管理</v>
          </cell>
          <cell r="C55">
            <v>0</v>
          </cell>
        </row>
        <row r="56">
          <cell r="B56" t="str">
            <v>1|新险种未及时实现承保业务统计分析系统管理</v>
          </cell>
          <cell r="C56">
            <v>-3</v>
          </cell>
        </row>
        <row r="57">
          <cell r="B57" t="str">
            <v>2|新险种及时实现承保业务统计分析系统管理</v>
          </cell>
          <cell r="C57">
            <v>0</v>
          </cell>
        </row>
        <row r="58">
          <cell r="B58" t="str">
            <v>1|承保业务系统未实现与再保、财务系统无缝对接</v>
          </cell>
          <cell r="C58">
            <v>-5</v>
          </cell>
        </row>
        <row r="59">
          <cell r="B59" t="str">
            <v>2|承保业务系统实现与再保、财务系统无缝对接</v>
          </cell>
          <cell r="C59">
            <v>0</v>
          </cell>
        </row>
        <row r="60">
          <cell r="B60" t="str">
            <v>1|保险公司建立了销售管理系统，在系统中能够对资质、合同、渠道代码进行维护和管理，且能够与出单等系统关联，通过信息系统实时记录每张保单保单号、投保人名称、保险标的、保险费、佣金计算标准及金额、代理机构或人员名称等</v>
          </cell>
          <cell r="C60">
            <v>3</v>
          </cell>
        </row>
        <row r="61">
          <cell r="B61" t="str">
            <v>2|保险公司建立了销售管理系统，在系统中能够对资质、合同、渠道代码进行维护和管理，但信息系统不能够与出单等系统关联，不能实时或完整记录每张保单保单号、投保人名称、保险标的、保险费、佣金计算标准及金额、代理机构或人员名称等</v>
          </cell>
          <cell r="C61">
            <v>2</v>
          </cell>
        </row>
        <row r="62">
          <cell r="B62" t="str">
            <v>3|保险公司未建立销售管理系统</v>
          </cell>
          <cell r="C62">
            <v>0</v>
          </cell>
        </row>
        <row r="63">
          <cell r="B63" t="str">
            <v>1|保险公司在承保业务系统中，对客户信息和保险标的信息的核心内容、投保险种、保险金额、保费金额、保险费率、责任限额、信用限额（信用险）、被保险人申报的交易（信用险）、保险期间等关键承保信息，全部设置为必录项，系统中数据记录完整、真实</v>
          </cell>
          <cell r="C63">
            <v>6</v>
          </cell>
        </row>
        <row r="64">
          <cell r="B64" t="str">
            <v>2|保险公司在承保业务系统中，对客户信息和保险标的信息的核心内容、投保险种、保险金额、保费金额、保险费率、责任限额、信用限额（信用险）、被保险人申报的交易（信用险）、保险期间等关键承保信息，部分设置为必录项</v>
          </cell>
          <cell r="C64">
            <v>4</v>
          </cell>
        </row>
        <row r="65">
          <cell r="B65" t="str">
            <v>3|保险公司在承保业务系统中未对关键承保信息设置为必录项，系统中数据记录不完整、不真实</v>
          </cell>
          <cell r="C65">
            <v>0</v>
          </cell>
        </row>
        <row r="66">
          <cell r="B66">
            <v>0</v>
          </cell>
          <cell r="C66">
            <v>0</v>
          </cell>
        </row>
        <row r="67">
          <cell r="B67">
            <v>0.4</v>
          </cell>
          <cell r="C67">
            <v>5</v>
          </cell>
        </row>
        <row r="68">
          <cell r="B68">
            <v>0.7</v>
          </cell>
          <cell r="C68">
            <v>10</v>
          </cell>
        </row>
        <row r="69">
          <cell r="B69" t="str">
            <v>1|保险公司农业保险承保到户，并能够根据需要提供保险单或保险凭证</v>
          </cell>
          <cell r="C69">
            <v>10</v>
          </cell>
        </row>
        <row r="70">
          <cell r="B70" t="str">
            <v>2|其他情况</v>
          </cell>
          <cell r="C70">
            <v>0</v>
          </cell>
        </row>
        <row r="71">
          <cell r="B71">
            <v>0</v>
          </cell>
          <cell r="C71">
            <v>-0.1</v>
          </cell>
        </row>
        <row r="72">
          <cell r="B72">
            <v>8</v>
          </cell>
          <cell r="C72">
            <v>0</v>
          </cell>
        </row>
        <row r="73">
          <cell r="B73">
            <v>8.0000000001</v>
          </cell>
          <cell r="C73">
            <v>0.1</v>
          </cell>
        </row>
        <row r="74">
          <cell r="B74">
            <v>0</v>
          </cell>
          <cell r="C74">
            <v>-0.1</v>
          </cell>
        </row>
        <row r="75">
          <cell r="B75">
            <v>10</v>
          </cell>
          <cell r="C75">
            <v>0</v>
          </cell>
        </row>
        <row r="76">
          <cell r="B76">
            <v>10.000000001</v>
          </cell>
          <cell r="C76">
            <v>0.1</v>
          </cell>
        </row>
        <row r="77">
          <cell r="B77">
            <v>0</v>
          </cell>
          <cell r="C77">
            <v>-0.1</v>
          </cell>
        </row>
        <row r="78">
          <cell r="B78">
            <v>6</v>
          </cell>
          <cell r="C78">
            <v>0</v>
          </cell>
        </row>
        <row r="79">
          <cell r="B79">
            <v>6.0000000000010001</v>
          </cell>
          <cell r="C79">
            <v>0.1</v>
          </cell>
        </row>
        <row r="80">
          <cell r="B80">
            <v>1</v>
          </cell>
          <cell r="C80">
            <v>6</v>
          </cell>
        </row>
        <row r="81">
          <cell r="B81">
            <v>25</v>
          </cell>
          <cell r="C81">
            <v>4</v>
          </cell>
        </row>
        <row r="82">
          <cell r="B82">
            <v>50</v>
          </cell>
          <cell r="C82">
            <v>2</v>
          </cell>
        </row>
        <row r="83">
          <cell r="B83">
            <v>75</v>
          </cell>
          <cell r="C83">
            <v>0</v>
          </cell>
        </row>
        <row r="84">
          <cell r="B84">
            <v>0</v>
          </cell>
          <cell r="C84">
            <v>6</v>
          </cell>
        </row>
        <row r="85">
          <cell r="B85">
            <v>85</v>
          </cell>
          <cell r="C85">
            <v>4</v>
          </cell>
        </row>
        <row r="86">
          <cell r="B86">
            <v>125</v>
          </cell>
          <cell r="C86">
            <v>2</v>
          </cell>
        </row>
        <row r="87">
          <cell r="B87">
            <v>150</v>
          </cell>
          <cell r="C87">
            <v>0</v>
          </cell>
        </row>
        <row r="88">
          <cell r="B88">
            <v>0</v>
          </cell>
          <cell r="C88">
            <v>6</v>
          </cell>
        </row>
        <row r="89">
          <cell r="B89">
            <v>85</v>
          </cell>
          <cell r="C89">
            <v>4</v>
          </cell>
        </row>
        <row r="90">
          <cell r="B90">
            <v>125</v>
          </cell>
          <cell r="C90">
            <v>2</v>
          </cell>
        </row>
        <row r="91">
          <cell r="B91">
            <v>150</v>
          </cell>
          <cell r="C91">
            <v>0</v>
          </cell>
        </row>
        <row r="92">
          <cell r="B92">
            <v>0</v>
          </cell>
          <cell r="C92">
            <v>0</v>
          </cell>
        </row>
        <row r="93">
          <cell r="B93">
            <v>85</v>
          </cell>
          <cell r="C93">
            <v>1</v>
          </cell>
        </row>
        <row r="94">
          <cell r="B94">
            <v>125</v>
          </cell>
          <cell r="C94">
            <v>2</v>
          </cell>
        </row>
        <row r="95">
          <cell r="B95">
            <v>150</v>
          </cell>
          <cell r="C95">
            <v>3</v>
          </cell>
        </row>
        <row r="96">
          <cell r="B96">
            <v>0</v>
          </cell>
          <cell r="C96">
            <v>2</v>
          </cell>
        </row>
        <row r="97">
          <cell r="B97">
            <v>85</v>
          </cell>
          <cell r="C97">
            <v>3</v>
          </cell>
        </row>
        <row r="98">
          <cell r="B98">
            <v>125</v>
          </cell>
          <cell r="C98">
            <v>4</v>
          </cell>
        </row>
        <row r="99">
          <cell r="B99">
            <v>150</v>
          </cell>
          <cell r="C99">
            <v>5</v>
          </cell>
        </row>
        <row r="100">
          <cell r="B100">
            <v>1</v>
          </cell>
          <cell r="C100">
            <v>0</v>
          </cell>
        </row>
        <row r="101">
          <cell r="B101">
            <v>25</v>
          </cell>
          <cell r="C101">
            <v>2</v>
          </cell>
        </row>
        <row r="102">
          <cell r="B102">
            <v>50</v>
          </cell>
          <cell r="C102">
            <v>4</v>
          </cell>
        </row>
        <row r="103">
          <cell r="B103">
            <v>75</v>
          </cell>
          <cell r="C103">
            <v>6</v>
          </cell>
        </row>
        <row r="104">
          <cell r="B104">
            <v>0</v>
          </cell>
          <cell r="C104">
            <v>0</v>
          </cell>
        </row>
        <row r="105">
          <cell r="B105">
            <v>0.9</v>
          </cell>
          <cell r="C105">
            <v>-63</v>
          </cell>
        </row>
        <row r="106">
          <cell r="B106">
            <v>1</v>
          </cell>
          <cell r="C106">
            <v>7</v>
          </cell>
        </row>
        <row r="107">
          <cell r="B107">
            <v>25</v>
          </cell>
          <cell r="C107">
            <v>5</v>
          </cell>
        </row>
        <row r="108">
          <cell r="B108">
            <v>50</v>
          </cell>
          <cell r="C108">
            <v>3</v>
          </cell>
        </row>
        <row r="109">
          <cell r="B109">
            <v>75</v>
          </cell>
          <cell r="C109">
            <v>1</v>
          </cell>
        </row>
        <row r="110">
          <cell r="B110">
            <v>1</v>
          </cell>
          <cell r="C110">
            <v>3</v>
          </cell>
        </row>
        <row r="111">
          <cell r="B111">
            <v>25</v>
          </cell>
          <cell r="C111">
            <v>2</v>
          </cell>
        </row>
        <row r="112">
          <cell r="B112">
            <v>50</v>
          </cell>
          <cell r="C112">
            <v>1</v>
          </cell>
        </row>
        <row r="113">
          <cell r="B113">
            <v>75</v>
          </cell>
          <cell r="C113">
            <v>0</v>
          </cell>
        </row>
        <row r="114">
          <cell r="B114" t="str">
            <v>1|全部采用银（邮）保通系统出单</v>
          </cell>
          <cell r="C114">
            <v>2</v>
          </cell>
        </row>
        <row r="115">
          <cell r="B115" t="str">
            <v>2|未全部采用银（邮）保通系统出单</v>
          </cell>
          <cell r="C115">
            <v>0</v>
          </cell>
        </row>
        <row r="116">
          <cell r="B116" t="str">
            <v>1|意外险出单系统不存在未与核心业务系统实时对接的问题</v>
          </cell>
          <cell r="C116">
            <v>0</v>
          </cell>
        </row>
        <row r="117">
          <cell r="B117" t="str">
            <v>2|意外险出单系统存在未与核心业务系统实时对接的问题</v>
          </cell>
          <cell r="C117">
            <v>-2</v>
          </cell>
        </row>
        <row r="118">
          <cell r="B118" t="str">
            <v>1|核心业务系统完整记录意外险保单信息内容</v>
          </cell>
          <cell r="C118">
            <v>0</v>
          </cell>
        </row>
        <row r="119">
          <cell r="B119" t="str">
            <v>2|核心业务系统未完整记录意外险保单信息内容</v>
          </cell>
          <cell r="C119">
            <v>-2</v>
          </cell>
        </row>
        <row r="120">
          <cell r="B120" t="str">
            <v>1|不具备完整性控制功能</v>
          </cell>
          <cell r="C120">
            <v>-3</v>
          </cell>
        </row>
        <row r="121">
          <cell r="B121" t="str">
            <v>2|具备完整性控制功能，但功能不完备</v>
          </cell>
          <cell r="C121">
            <v>-2</v>
          </cell>
        </row>
        <row r="122">
          <cell r="B122" t="str">
            <v>3|具备完整性控制功能，且功能完备</v>
          </cell>
          <cell r="C122">
            <v>0</v>
          </cell>
        </row>
        <row r="123">
          <cell r="B123" t="str">
            <v>1|不具备完整性控制功能</v>
          </cell>
          <cell r="C123">
            <v>-3</v>
          </cell>
        </row>
        <row r="124">
          <cell r="B124" t="str">
            <v>2|具备完整性控制功能，但功能不完备</v>
          </cell>
          <cell r="C124">
            <v>-2</v>
          </cell>
        </row>
        <row r="125">
          <cell r="B125" t="str">
            <v>3|具备完整性控制功能，且功能完备</v>
          </cell>
          <cell r="C125">
            <v>0</v>
          </cell>
        </row>
        <row r="126">
          <cell r="B126">
            <v>0</v>
          </cell>
          <cell r="C126">
            <v>0</v>
          </cell>
        </row>
        <row r="127">
          <cell r="B127">
            <v>20</v>
          </cell>
          <cell r="C127">
            <v>2</v>
          </cell>
        </row>
        <row r="128">
          <cell r="B128">
            <v>40</v>
          </cell>
          <cell r="C128">
            <v>4</v>
          </cell>
        </row>
        <row r="129">
          <cell r="B129">
            <v>60</v>
          </cell>
          <cell r="C129">
            <v>6</v>
          </cell>
        </row>
        <row r="130">
          <cell r="B130">
            <v>80</v>
          </cell>
          <cell r="C130">
            <v>8</v>
          </cell>
        </row>
        <row r="131">
          <cell r="B131">
            <v>0</v>
          </cell>
          <cell r="C131">
            <v>0</v>
          </cell>
        </row>
        <row r="132">
          <cell r="B132">
            <v>20</v>
          </cell>
          <cell r="C132">
            <v>0.5</v>
          </cell>
        </row>
        <row r="133">
          <cell r="B133">
            <v>40</v>
          </cell>
          <cell r="C133">
            <v>1</v>
          </cell>
        </row>
        <row r="134">
          <cell r="B134">
            <v>60</v>
          </cell>
          <cell r="C134">
            <v>1.5</v>
          </cell>
        </row>
        <row r="135">
          <cell r="B135">
            <v>80</v>
          </cell>
          <cell r="C135">
            <v>2</v>
          </cell>
        </row>
        <row r="136">
          <cell r="B136">
            <v>0</v>
          </cell>
          <cell r="C136">
            <v>3</v>
          </cell>
        </row>
        <row r="137">
          <cell r="B137">
            <v>0.30000000000009996</v>
          </cell>
          <cell r="C137">
            <v>1.5</v>
          </cell>
        </row>
        <row r="138">
          <cell r="B138">
            <v>0.50000000010000001</v>
          </cell>
          <cell r="C138">
            <v>0</v>
          </cell>
        </row>
        <row r="139">
          <cell r="B139">
            <v>0</v>
          </cell>
          <cell r="C139">
            <v>0</v>
          </cell>
        </row>
        <row r="140">
          <cell r="B140">
            <v>0.5</v>
          </cell>
          <cell r="C140">
            <v>1</v>
          </cell>
        </row>
        <row r="141">
          <cell r="B141">
            <v>0.8</v>
          </cell>
          <cell r="C141">
            <v>2</v>
          </cell>
        </row>
        <row r="142">
          <cell r="B142">
            <v>0</v>
          </cell>
          <cell r="C142">
            <v>3</v>
          </cell>
        </row>
        <row r="143">
          <cell r="B143">
            <v>0.15000000001</v>
          </cell>
          <cell r="C143">
            <v>1.5</v>
          </cell>
        </row>
        <row r="144">
          <cell r="B144">
            <v>0.30000000100000002</v>
          </cell>
          <cell r="C144">
            <v>0</v>
          </cell>
        </row>
        <row r="145">
          <cell r="B145">
            <v>0</v>
          </cell>
          <cell r="C145">
            <v>0</v>
          </cell>
        </row>
        <row r="146">
          <cell r="B146">
            <v>1</v>
          </cell>
          <cell r="C146">
            <v>1.5</v>
          </cell>
        </row>
        <row r="147">
          <cell r="B147">
            <v>3</v>
          </cell>
          <cell r="C147">
            <v>3</v>
          </cell>
        </row>
        <row r="148">
          <cell r="B148" t="str">
            <v>1|将操作风险纳入省级分公司和中心支公司销售、承保、保全部门负责人考核体系</v>
          </cell>
          <cell r="C148">
            <v>4</v>
          </cell>
        </row>
        <row r="149">
          <cell r="B149" t="str">
            <v>2|未将操作风险纳入省级分公司和中心支公司销售、承保、保全部门负责人考核体系</v>
          </cell>
          <cell r="C149">
            <v>0</v>
          </cell>
        </row>
        <row r="150">
          <cell r="B150">
            <v>0</v>
          </cell>
          <cell r="C150">
            <v>0</v>
          </cell>
        </row>
        <row r="151">
          <cell r="B151">
            <v>1</v>
          </cell>
          <cell r="C151">
            <v>2</v>
          </cell>
        </row>
        <row r="152">
          <cell r="B152">
            <v>0</v>
          </cell>
          <cell r="C152">
            <v>0</v>
          </cell>
        </row>
        <row r="153">
          <cell r="B153">
            <v>1</v>
          </cell>
          <cell r="C153">
            <v>2</v>
          </cell>
        </row>
        <row r="154">
          <cell r="B154" t="str">
            <v>1|佣金和手续费由总公司通过银行转账等非现金方式集中支付</v>
          </cell>
          <cell r="C154">
            <v>3</v>
          </cell>
        </row>
        <row r="155">
          <cell r="B155" t="str">
            <v>2|佣金和手续费由省级分公司通过银行转账等非现金方式集中支付</v>
          </cell>
          <cell r="C155">
            <v>1.5</v>
          </cell>
        </row>
        <row r="156">
          <cell r="B156" t="str">
            <v>3|其他</v>
          </cell>
          <cell r="C156">
            <v>0</v>
          </cell>
        </row>
        <row r="157">
          <cell r="B157" t="str">
            <v>1|全部业务均由省公司及以上机构集中核保</v>
          </cell>
          <cell r="C157">
            <v>2</v>
          </cell>
        </row>
        <row r="158">
          <cell r="B158" t="str">
            <v>2|中支机构具有核保权限，且支公司及以下分支机构不具有核保权限</v>
          </cell>
          <cell r="C158">
            <v>1</v>
          </cell>
        </row>
        <row r="159">
          <cell r="B159" t="str">
            <v>3|支公司及以下分支机构具有核保权限</v>
          </cell>
          <cell r="C159">
            <v>0</v>
          </cell>
        </row>
        <row r="160">
          <cell r="B160" t="str">
            <v>1|公司建立了保险标的核验和风险评估制度，并能严格按制度规定展开核验</v>
          </cell>
          <cell r="C160">
            <v>1</v>
          </cell>
        </row>
        <row r="161">
          <cell r="B161" t="str">
            <v>2|其他情况</v>
          </cell>
          <cell r="C161">
            <v>0</v>
          </cell>
        </row>
        <row r="162">
          <cell r="B162">
            <v>0</v>
          </cell>
          <cell r="C162">
            <v>2</v>
          </cell>
        </row>
        <row r="163">
          <cell r="B163">
            <v>5.0000001000000002E-2</v>
          </cell>
          <cell r="C163">
            <v>1</v>
          </cell>
        </row>
        <row r="164">
          <cell r="B164">
            <v>0.1000000001</v>
          </cell>
          <cell r="C164">
            <v>0</v>
          </cell>
        </row>
        <row r="168">
          <cell r="B168">
            <v>0</v>
          </cell>
          <cell r="C168">
            <v>2</v>
          </cell>
        </row>
        <row r="169">
          <cell r="B169">
            <v>3.0000000999999998E-2</v>
          </cell>
          <cell r="C169">
            <v>1</v>
          </cell>
        </row>
        <row r="170">
          <cell r="B170">
            <v>5.0000000100000004E-2</v>
          </cell>
          <cell r="C170">
            <v>0</v>
          </cell>
        </row>
        <row r="171">
          <cell r="B171">
            <v>0</v>
          </cell>
          <cell r="C171">
            <v>2</v>
          </cell>
        </row>
        <row r="172">
          <cell r="B172">
            <v>1.0000001E-2</v>
          </cell>
          <cell r="C172">
            <v>1</v>
          </cell>
        </row>
        <row r="173">
          <cell r="B173">
            <v>2.0000000100000002E-2</v>
          </cell>
          <cell r="C173">
            <v>0</v>
          </cell>
        </row>
        <row r="174">
          <cell r="B174" t="str">
            <v>1|评估期，涉及保费批减、退保的资金未发生支付至投保人、被保险人或取得相应授权的合法第三方以外情况</v>
          </cell>
          <cell r="C174">
            <v>1</v>
          </cell>
        </row>
        <row r="175">
          <cell r="B175" t="str">
            <v>2|评估期，涉及保费批减、退保的资金发生支付至投保人、被保险人或取得相应授权的合法第三方以外情况</v>
          </cell>
          <cell r="C175">
            <v>0</v>
          </cell>
        </row>
        <row r="176">
          <cell r="B176" t="str">
            <v>1|评估期各业务条线佣金及手续费均通过系统跟单自动计提</v>
          </cell>
          <cell r="C176">
            <v>2</v>
          </cell>
        </row>
        <row r="177">
          <cell r="B177" t="str">
            <v>2|其他情况</v>
          </cell>
          <cell r="C177">
            <v>0</v>
          </cell>
        </row>
        <row r="178">
          <cell r="B178">
            <v>0</v>
          </cell>
          <cell r="C178">
            <v>10</v>
          </cell>
        </row>
        <row r="179">
          <cell r="B179">
            <v>7</v>
          </cell>
          <cell r="C179">
            <v>5</v>
          </cell>
        </row>
        <row r="180">
          <cell r="B180">
            <v>10.5</v>
          </cell>
          <cell r="C180">
            <v>2</v>
          </cell>
        </row>
        <row r="181">
          <cell r="B181">
            <v>14</v>
          </cell>
          <cell r="C181">
            <v>0</v>
          </cell>
        </row>
        <row r="182">
          <cell r="B182">
            <v>0</v>
          </cell>
          <cell r="C182">
            <v>3</v>
          </cell>
        </row>
        <row r="183">
          <cell r="B183">
            <v>0.30000000000009996</v>
          </cell>
          <cell r="C183">
            <v>1.5</v>
          </cell>
        </row>
        <row r="184">
          <cell r="B184">
            <v>0.50000000010000001</v>
          </cell>
          <cell r="C184">
            <v>0</v>
          </cell>
        </row>
        <row r="185">
          <cell r="B185">
            <v>0</v>
          </cell>
          <cell r="C185">
            <v>0</v>
          </cell>
        </row>
        <row r="186">
          <cell r="B186">
            <v>0.5</v>
          </cell>
          <cell r="C186">
            <v>1</v>
          </cell>
        </row>
        <row r="187">
          <cell r="B187">
            <v>0.8</v>
          </cell>
          <cell r="C187">
            <v>2</v>
          </cell>
        </row>
        <row r="188">
          <cell r="B188">
            <v>0</v>
          </cell>
          <cell r="C188">
            <v>3</v>
          </cell>
        </row>
        <row r="189">
          <cell r="B189">
            <v>0.15000000001</v>
          </cell>
          <cell r="C189">
            <v>1.5</v>
          </cell>
        </row>
        <row r="190">
          <cell r="B190">
            <v>0.30000000100000002</v>
          </cell>
          <cell r="C190">
            <v>0</v>
          </cell>
        </row>
        <row r="191">
          <cell r="B191">
            <v>0</v>
          </cell>
          <cell r="C191">
            <v>0</v>
          </cell>
        </row>
        <row r="192">
          <cell r="B192">
            <v>1</v>
          </cell>
          <cell r="C192">
            <v>1.5</v>
          </cell>
        </row>
        <row r="193">
          <cell r="B193">
            <v>3</v>
          </cell>
          <cell r="C193">
            <v>3</v>
          </cell>
        </row>
        <row r="194">
          <cell r="B194" t="str">
            <v>1|将操作风险纳入省级分公司和中心支公司销售、承保、保全部门负责人考核体系</v>
          </cell>
          <cell r="C194">
            <v>4</v>
          </cell>
        </row>
        <row r="195">
          <cell r="B195" t="str">
            <v>2|未将操作风险纳入省级分公司和中心支公司销售、承保、保全部门负责人考核体系</v>
          </cell>
          <cell r="C195">
            <v>0</v>
          </cell>
        </row>
        <row r="196">
          <cell r="B196">
            <v>0</v>
          </cell>
          <cell r="C196">
            <v>0</v>
          </cell>
        </row>
        <row r="197">
          <cell r="B197">
            <v>1</v>
          </cell>
          <cell r="C197">
            <v>1</v>
          </cell>
        </row>
        <row r="198">
          <cell r="B198">
            <v>0</v>
          </cell>
          <cell r="C198">
            <v>0</v>
          </cell>
        </row>
        <row r="199">
          <cell r="B199">
            <v>1</v>
          </cell>
          <cell r="C199">
            <v>2</v>
          </cell>
        </row>
        <row r="200">
          <cell r="B200">
            <v>0</v>
          </cell>
          <cell r="C200">
            <v>2</v>
          </cell>
        </row>
        <row r="201">
          <cell r="B201">
            <v>3.0000000001</v>
          </cell>
          <cell r="C201">
            <v>1</v>
          </cell>
        </row>
        <row r="202">
          <cell r="B202">
            <v>5.00000000001</v>
          </cell>
          <cell r="C202">
            <v>0</v>
          </cell>
        </row>
        <row r="203">
          <cell r="B203" t="str">
            <v>1|公司建立了保险标的生调、体检等核验和风险评估制度，并能严格按制度规定展开核验</v>
          </cell>
          <cell r="C203">
            <v>1</v>
          </cell>
        </row>
        <row r="204">
          <cell r="B204" t="str">
            <v>2|其他情况</v>
          </cell>
          <cell r="C204">
            <v>0</v>
          </cell>
        </row>
        <row r="205">
          <cell r="B205">
            <v>0</v>
          </cell>
          <cell r="C205">
            <v>0</v>
          </cell>
        </row>
        <row r="206">
          <cell r="B206">
            <v>0.70000000000009999</v>
          </cell>
          <cell r="C206">
            <v>0.5</v>
          </cell>
        </row>
        <row r="207">
          <cell r="B207">
            <v>0.80000000000010008</v>
          </cell>
          <cell r="C207">
            <v>1</v>
          </cell>
        </row>
        <row r="208">
          <cell r="B208">
            <v>0.90000000000010005</v>
          </cell>
          <cell r="C208">
            <v>2</v>
          </cell>
        </row>
        <row r="212">
          <cell r="B212">
            <v>0</v>
          </cell>
          <cell r="C212">
            <v>0</v>
          </cell>
        </row>
        <row r="213">
          <cell r="B213">
            <v>0.8</v>
          </cell>
          <cell r="C213">
            <v>1.5</v>
          </cell>
        </row>
        <row r="214">
          <cell r="B214">
            <v>0.9</v>
          </cell>
          <cell r="C214">
            <v>3</v>
          </cell>
        </row>
        <row r="215">
          <cell r="B215">
            <v>0</v>
          </cell>
          <cell r="C215">
            <v>0</v>
          </cell>
        </row>
        <row r="216">
          <cell r="B216">
            <v>0.9</v>
          </cell>
          <cell r="C216">
            <v>1</v>
          </cell>
        </row>
        <row r="217">
          <cell r="B217">
            <v>0.95</v>
          </cell>
          <cell r="C217">
            <v>2</v>
          </cell>
        </row>
        <row r="218">
          <cell r="B218">
            <v>0</v>
          </cell>
          <cell r="C218">
            <v>3</v>
          </cell>
        </row>
        <row r="219">
          <cell r="B219">
            <v>5.0000000001000001E-2</v>
          </cell>
          <cell r="C219">
            <v>1.5</v>
          </cell>
        </row>
        <row r="220">
          <cell r="B220">
            <v>0.10000000000010001</v>
          </cell>
          <cell r="C220">
            <v>0</v>
          </cell>
        </row>
        <row r="221">
          <cell r="B221">
            <v>0</v>
          </cell>
          <cell r="C221">
            <v>3</v>
          </cell>
        </row>
        <row r="222">
          <cell r="B222">
            <v>3.0000000000999998E-2</v>
          </cell>
          <cell r="C222">
            <v>1.5</v>
          </cell>
        </row>
        <row r="223">
          <cell r="B223">
            <v>5.0000000000100006E-2</v>
          </cell>
          <cell r="C223">
            <v>0</v>
          </cell>
        </row>
        <row r="224">
          <cell r="B224">
            <v>0</v>
          </cell>
          <cell r="C224">
            <v>2</v>
          </cell>
        </row>
        <row r="225">
          <cell r="B225">
            <v>1.0000000001000001E-2</v>
          </cell>
          <cell r="C225">
            <v>1</v>
          </cell>
        </row>
        <row r="226">
          <cell r="B226">
            <v>2.00000000001E-2</v>
          </cell>
          <cell r="C226">
            <v>0</v>
          </cell>
        </row>
        <row r="227">
          <cell r="B227" t="str">
            <v>1|评估期，保单质押贷款均通过银行转账支付至投保人银行账户</v>
          </cell>
          <cell r="C227">
            <v>1</v>
          </cell>
        </row>
        <row r="228">
          <cell r="B228" t="str">
            <v>2|其他情况</v>
          </cell>
          <cell r="C228">
            <v>0</v>
          </cell>
        </row>
        <row r="229">
          <cell r="B229" t="str">
            <v>1|评估期各业务条线佣金及手续费均通过系统跟单自动计提</v>
          </cell>
          <cell r="C229">
            <v>2</v>
          </cell>
        </row>
        <row r="230">
          <cell r="B230" t="str">
            <v>2|其他情况</v>
          </cell>
          <cell r="C230">
            <v>0</v>
          </cell>
        </row>
        <row r="231">
          <cell r="B231">
            <v>0</v>
          </cell>
          <cell r="C231">
            <v>10</v>
          </cell>
        </row>
        <row r="232">
          <cell r="B232">
            <v>7</v>
          </cell>
          <cell r="C232">
            <v>5</v>
          </cell>
        </row>
        <row r="233">
          <cell r="B233">
            <v>10.5</v>
          </cell>
          <cell r="C233">
            <v>2</v>
          </cell>
        </row>
        <row r="234">
          <cell r="B234">
            <v>14</v>
          </cell>
          <cell r="C234">
            <v>0</v>
          </cell>
        </row>
        <row r="235">
          <cell r="B235" t="str">
            <v>1|同一赔案中，理赔不相容岗位分离设置如下：车险理赔：查勘岗与核损岗、定损岗与核损岗、人伤跟踪岗与医疗审核岗、核损岗与核赔岗、医疗审核岗与核赔岗、理算岗与核赔岗；非车险理赔：案件处理岗与核赔岗、理算岗与核赔岗；做到6项以上</v>
          </cell>
          <cell r="C235">
            <v>10</v>
          </cell>
        </row>
        <row r="236">
          <cell r="B236" t="str">
            <v>2|同一赔案中，理赔不相容岗位分离设置如下：车险理赔：查勘岗与核损岗、定损岗与核损岗、人伤跟踪岗与医疗审核岗、核损岗与核赔岗、医疗审核岗与核赔岗、理算岗与核赔岗；非车险理赔：案件处理岗与核赔岗、理算岗与核赔岗；少于6项但查勘、定损与核赔岗位，核损与核赔岗位分离</v>
          </cell>
          <cell r="C236">
            <v>5</v>
          </cell>
        </row>
        <row r="237">
          <cell r="B237" t="str">
            <v>3|其他</v>
          </cell>
          <cell r="C237">
            <v>0</v>
          </cell>
        </row>
        <row r="238">
          <cell r="B238" t="str">
            <v>1|理赔流程中的特殊环节由总公司集中管理，并制定统一的管理流程，其中农业保险报案由省级分公司或总公司集中受理</v>
          </cell>
          <cell r="C238">
            <v>5</v>
          </cell>
        </row>
        <row r="239">
          <cell r="B239" t="str">
            <v>2|其他</v>
          </cell>
          <cell r="C239">
            <v>0</v>
          </cell>
        </row>
        <row r="240">
          <cell r="B240">
            <v>0</v>
          </cell>
          <cell r="C240">
            <v>0</v>
          </cell>
        </row>
        <row r="241">
          <cell r="B241">
            <v>0.9</v>
          </cell>
          <cell r="C241">
            <v>5</v>
          </cell>
        </row>
        <row r="242">
          <cell r="B242">
            <v>0.95</v>
          </cell>
          <cell r="C242">
            <v>10</v>
          </cell>
        </row>
        <row r="243">
          <cell r="B243">
            <v>0</v>
          </cell>
          <cell r="C243">
            <v>8</v>
          </cell>
        </row>
        <row r="244">
          <cell r="B244">
            <v>3.0000000000009998E-2</v>
          </cell>
          <cell r="C244">
            <v>4</v>
          </cell>
        </row>
        <row r="245">
          <cell r="B245">
            <v>5.0000000000001002E-2</v>
          </cell>
          <cell r="C245">
            <v>0</v>
          </cell>
        </row>
        <row r="246">
          <cell r="B246">
            <v>0</v>
          </cell>
          <cell r="C246">
            <v>7</v>
          </cell>
        </row>
        <row r="247">
          <cell r="B247">
            <v>1.0000000000100001E-3</v>
          </cell>
          <cell r="C247">
            <v>3</v>
          </cell>
        </row>
        <row r="248">
          <cell r="B248">
            <v>2.0000000000010001E-3</v>
          </cell>
          <cell r="C248">
            <v>0</v>
          </cell>
        </row>
        <row r="249">
          <cell r="B249" t="str">
            <v>I类公司</v>
          </cell>
          <cell r="C249">
            <v>20</v>
          </cell>
        </row>
        <row r="250">
          <cell r="B250" t="str">
            <v>II类公司</v>
          </cell>
          <cell r="C250">
            <v>20</v>
          </cell>
        </row>
        <row r="251">
          <cell r="B251">
            <v>-10000000000</v>
          </cell>
          <cell r="C251">
            <v>5</v>
          </cell>
        </row>
        <row r="252">
          <cell r="B252">
            <v>-0.08</v>
          </cell>
          <cell r="C252">
            <v>10</v>
          </cell>
        </row>
        <row r="253">
          <cell r="B253">
            <v>-0.05</v>
          </cell>
          <cell r="C253">
            <v>20</v>
          </cell>
        </row>
        <row r="254">
          <cell r="B254">
            <v>5.0000000010000004E-2</v>
          </cell>
          <cell r="C254">
            <v>10</v>
          </cell>
        </row>
        <row r="255">
          <cell r="B255">
            <v>8.0000000000100005E-2</v>
          </cell>
          <cell r="C255">
            <v>0</v>
          </cell>
        </row>
        <row r="256">
          <cell r="B256">
            <v>-10000000000</v>
          </cell>
          <cell r="C256">
            <v>5</v>
          </cell>
        </row>
        <row r="257">
          <cell r="B257">
            <v>-0.15</v>
          </cell>
          <cell r="C257">
            <v>10</v>
          </cell>
        </row>
        <row r="258">
          <cell r="B258">
            <v>-0.1</v>
          </cell>
          <cell r="C258">
            <v>20</v>
          </cell>
        </row>
        <row r="259">
          <cell r="B259">
            <v>0.1</v>
          </cell>
          <cell r="C259">
            <v>10</v>
          </cell>
        </row>
        <row r="260">
          <cell r="B260">
            <v>0.15</v>
          </cell>
          <cell r="C260">
            <v>0</v>
          </cell>
        </row>
        <row r="261">
          <cell r="B261">
            <v>0</v>
          </cell>
          <cell r="C261">
            <v>10</v>
          </cell>
        </row>
        <row r="262">
          <cell r="B262">
            <v>3.0000000000009998E-2</v>
          </cell>
          <cell r="C262">
            <v>5</v>
          </cell>
        </row>
        <row r="263">
          <cell r="B263">
            <v>5.0000000000001002E-2</v>
          </cell>
          <cell r="C263">
            <v>0</v>
          </cell>
        </row>
        <row r="264">
          <cell r="B264">
            <v>0</v>
          </cell>
          <cell r="C264">
            <v>0</v>
          </cell>
        </row>
        <row r="265">
          <cell r="B265">
            <v>0.85</v>
          </cell>
          <cell r="C265">
            <v>5</v>
          </cell>
        </row>
        <row r="266">
          <cell r="B266">
            <v>0.9</v>
          </cell>
          <cell r="C266">
            <v>10</v>
          </cell>
        </row>
        <row r="267">
          <cell r="B267">
            <v>0</v>
          </cell>
          <cell r="C267">
            <v>0</v>
          </cell>
        </row>
        <row r="268">
          <cell r="B268">
            <v>0.6</v>
          </cell>
          <cell r="C268">
            <v>5</v>
          </cell>
        </row>
        <row r="269">
          <cell r="B269">
            <v>0.7</v>
          </cell>
          <cell r="C269">
            <v>10</v>
          </cell>
        </row>
        <row r="270">
          <cell r="B270" t="str">
            <v>1|理赔系统中开发独立的反欺诈模块</v>
          </cell>
          <cell r="C270">
            <v>10</v>
          </cell>
        </row>
        <row r="271">
          <cell r="B271" t="str">
            <v>2|未开发独立系统模块，但建立了独立的反欺诈机制</v>
          </cell>
          <cell r="C271">
            <v>5</v>
          </cell>
        </row>
        <row r="272">
          <cell r="B272" t="str">
            <v>3|其他</v>
          </cell>
          <cell r="C272">
            <v>0</v>
          </cell>
        </row>
        <row r="273">
          <cell r="B273">
            <v>0</v>
          </cell>
          <cell r="C273">
            <v>-1</v>
          </cell>
        </row>
        <row r="274">
          <cell r="B274">
            <v>5</v>
          </cell>
          <cell r="C274">
            <v>0</v>
          </cell>
        </row>
        <row r="275">
          <cell r="B275">
            <v>5.0000000001</v>
          </cell>
          <cell r="C275">
            <v>1</v>
          </cell>
        </row>
        <row r="276">
          <cell r="B276">
            <v>0</v>
          </cell>
          <cell r="C276">
            <v>-2</v>
          </cell>
        </row>
        <row r="277">
          <cell r="B277">
            <v>5</v>
          </cell>
          <cell r="C277">
            <v>0</v>
          </cell>
        </row>
        <row r="278">
          <cell r="B278">
            <v>5.0000000001</v>
          </cell>
          <cell r="C278">
            <v>2</v>
          </cell>
        </row>
        <row r="279">
          <cell r="B279">
            <v>0</v>
          </cell>
          <cell r="C279">
            <v>-0.8</v>
          </cell>
        </row>
        <row r="280">
          <cell r="B280">
            <v>5</v>
          </cell>
          <cell r="C280">
            <v>0</v>
          </cell>
        </row>
        <row r="281">
          <cell r="B281">
            <v>5.0000000001</v>
          </cell>
          <cell r="C281">
            <v>0.8</v>
          </cell>
        </row>
        <row r="282">
          <cell r="B282" t="str">
            <v>1|保险公司建立农业保险内部稽核制度，根据《农业保险条例》、有关监管规定以及公司内控制度，定期对分支机构农业保险业务进行核查，并将核查结果及时报告保险监管部门</v>
          </cell>
          <cell r="C282">
            <v>3</v>
          </cell>
        </row>
        <row r="283">
          <cell r="B283" t="str">
            <v>2|保险公司建立了农业保险内部稽核制度，定期对分支机构农业保险业务进行核查，但未将核查结果及时报告保险监管部门</v>
          </cell>
          <cell r="C283">
            <v>2</v>
          </cell>
        </row>
        <row r="284">
          <cell r="B284" t="str">
            <v>3|保险公司建立了农业保险内部稽核制度，但未对分支机构农业保险业务进行核查</v>
          </cell>
          <cell r="C284">
            <v>1</v>
          </cell>
        </row>
        <row r="285">
          <cell r="B285" t="str">
            <v>4|保险公司未建立农业保险内部稽核制度</v>
          </cell>
          <cell r="C285">
            <v>0</v>
          </cell>
        </row>
        <row r="286">
          <cell r="B286">
            <v>0</v>
          </cell>
          <cell r="C286">
            <v>0</v>
          </cell>
        </row>
        <row r="287">
          <cell r="B287">
            <v>5.0000000000099999E-3</v>
          </cell>
          <cell r="C287">
            <v>3</v>
          </cell>
        </row>
        <row r="288">
          <cell r="B288">
            <v>1.00000000001E-2</v>
          </cell>
          <cell r="C288">
            <v>5</v>
          </cell>
        </row>
        <row r="289">
          <cell r="B289">
            <v>0</v>
          </cell>
          <cell r="C289">
            <v>5</v>
          </cell>
        </row>
        <row r="290">
          <cell r="B290">
            <v>85</v>
          </cell>
          <cell r="C290">
            <v>4</v>
          </cell>
        </row>
        <row r="291">
          <cell r="B291">
            <v>125</v>
          </cell>
          <cell r="C291">
            <v>3</v>
          </cell>
        </row>
        <row r="292">
          <cell r="B292">
            <v>150</v>
          </cell>
          <cell r="C292">
            <v>2</v>
          </cell>
        </row>
        <row r="293">
          <cell r="B293">
            <v>0</v>
          </cell>
          <cell r="C293">
            <v>5</v>
          </cell>
        </row>
        <row r="294">
          <cell r="B294">
            <v>85</v>
          </cell>
          <cell r="C294">
            <v>4</v>
          </cell>
        </row>
        <row r="295">
          <cell r="B295">
            <v>125</v>
          </cell>
          <cell r="C295">
            <v>3</v>
          </cell>
        </row>
        <row r="296">
          <cell r="B296">
            <v>150</v>
          </cell>
          <cell r="C296">
            <v>2</v>
          </cell>
        </row>
        <row r="297">
          <cell r="B297">
            <v>0</v>
          </cell>
          <cell r="C297">
            <v>2</v>
          </cell>
        </row>
        <row r="298">
          <cell r="B298">
            <v>0.85</v>
          </cell>
          <cell r="C298">
            <v>3</v>
          </cell>
        </row>
        <row r="299">
          <cell r="B299">
            <v>1.25</v>
          </cell>
          <cell r="C299">
            <v>4</v>
          </cell>
        </row>
        <row r="300">
          <cell r="B300">
            <v>1.5</v>
          </cell>
          <cell r="C300">
            <v>5</v>
          </cell>
        </row>
        <row r="301">
          <cell r="B301">
            <v>0</v>
          </cell>
          <cell r="C301">
            <v>2</v>
          </cell>
        </row>
        <row r="302">
          <cell r="B302">
            <v>0.85</v>
          </cell>
          <cell r="C302">
            <v>3</v>
          </cell>
        </row>
        <row r="303">
          <cell r="B303">
            <v>1.25</v>
          </cell>
          <cell r="C303">
            <v>4</v>
          </cell>
        </row>
        <row r="304">
          <cell r="B304">
            <v>1.5</v>
          </cell>
          <cell r="C304">
            <v>5</v>
          </cell>
        </row>
        <row r="305">
          <cell r="B305">
            <v>0</v>
          </cell>
          <cell r="C305">
            <v>4</v>
          </cell>
        </row>
        <row r="306">
          <cell r="B306">
            <v>8.0000000000099991</v>
          </cell>
          <cell r="C306">
            <v>4</v>
          </cell>
        </row>
        <row r="307">
          <cell r="B307">
            <v>0</v>
          </cell>
          <cell r="C307">
            <v>4</v>
          </cell>
        </row>
        <row r="308">
          <cell r="B308">
            <v>8.0000000000000995</v>
          </cell>
          <cell r="C308">
            <v>2</v>
          </cell>
        </row>
        <row r="309">
          <cell r="B309">
            <v>15.000000000000011</v>
          </cell>
          <cell r="C309">
            <v>1</v>
          </cell>
        </row>
        <row r="310">
          <cell r="B310">
            <v>0</v>
          </cell>
          <cell r="C310">
            <v>4</v>
          </cell>
        </row>
        <row r="311">
          <cell r="B311">
            <v>5.0000000000001004</v>
          </cell>
          <cell r="C311">
            <v>3</v>
          </cell>
        </row>
        <row r="312">
          <cell r="B312">
            <v>8.0000000000000107</v>
          </cell>
          <cell r="C312">
            <v>2</v>
          </cell>
        </row>
        <row r="313">
          <cell r="B313">
            <v>15.000000000000011</v>
          </cell>
          <cell r="C313">
            <v>1</v>
          </cell>
        </row>
        <row r="314">
          <cell r="B314">
            <v>0</v>
          </cell>
          <cell r="C314">
            <v>6</v>
          </cell>
        </row>
        <row r="315">
          <cell r="B315">
            <v>10</v>
          </cell>
          <cell r="C315">
            <v>6</v>
          </cell>
        </row>
        <row r="316">
          <cell r="B316">
            <v>0</v>
          </cell>
          <cell r="C316">
            <v>6</v>
          </cell>
        </row>
        <row r="317">
          <cell r="B317">
            <v>10.000000000000099</v>
          </cell>
          <cell r="C317">
            <v>2</v>
          </cell>
        </row>
        <row r="318">
          <cell r="B318">
            <v>15.000000000000011</v>
          </cell>
          <cell r="C318">
            <v>0</v>
          </cell>
        </row>
        <row r="319">
          <cell r="B319">
            <v>0</v>
          </cell>
          <cell r="C319">
            <v>6</v>
          </cell>
        </row>
        <row r="320">
          <cell r="B320">
            <v>3.0000000000000999</v>
          </cell>
          <cell r="C320">
            <v>4</v>
          </cell>
        </row>
        <row r="321">
          <cell r="B321">
            <v>10.000000000000011</v>
          </cell>
          <cell r="C321">
            <v>2</v>
          </cell>
        </row>
        <row r="322">
          <cell r="B322">
            <v>15.000000000000011</v>
          </cell>
          <cell r="C322">
            <v>0</v>
          </cell>
        </row>
        <row r="323">
          <cell r="B323">
            <v>0</v>
          </cell>
          <cell r="C323">
            <v>4</v>
          </cell>
        </row>
        <row r="324">
          <cell r="B324">
            <v>2</v>
          </cell>
          <cell r="C324">
            <v>4</v>
          </cell>
        </row>
        <row r="325">
          <cell r="B325">
            <v>0</v>
          </cell>
          <cell r="C325">
            <v>4</v>
          </cell>
        </row>
        <row r="326">
          <cell r="B326">
            <v>2.0000000000000999</v>
          </cell>
          <cell r="C326">
            <v>2</v>
          </cell>
        </row>
        <row r="327">
          <cell r="B327">
            <v>3.0000000000000102</v>
          </cell>
          <cell r="C327">
            <v>1</v>
          </cell>
        </row>
        <row r="328">
          <cell r="B328">
            <v>0</v>
          </cell>
          <cell r="C328">
            <v>4</v>
          </cell>
        </row>
        <row r="329">
          <cell r="B329">
            <v>2.0000000000000999</v>
          </cell>
          <cell r="C329">
            <v>3</v>
          </cell>
        </row>
        <row r="330">
          <cell r="B330">
            <v>2.0000000000000102</v>
          </cell>
          <cell r="C330">
            <v>2</v>
          </cell>
        </row>
        <row r="331">
          <cell r="B331">
            <v>3.0000000000000102</v>
          </cell>
          <cell r="C331">
            <v>1</v>
          </cell>
        </row>
        <row r="332">
          <cell r="B332">
            <v>0</v>
          </cell>
          <cell r="C332">
            <v>6</v>
          </cell>
        </row>
        <row r="333">
          <cell r="B333">
            <v>5</v>
          </cell>
          <cell r="C333">
            <v>6</v>
          </cell>
        </row>
        <row r="334">
          <cell r="B334">
            <v>0</v>
          </cell>
          <cell r="C334">
            <v>6</v>
          </cell>
        </row>
        <row r="335">
          <cell r="B335">
            <v>5.0000000000001004</v>
          </cell>
          <cell r="C335">
            <v>2</v>
          </cell>
        </row>
        <row r="336">
          <cell r="B336">
            <v>10.000000000000011</v>
          </cell>
          <cell r="C336">
            <v>0</v>
          </cell>
        </row>
        <row r="337">
          <cell r="B337">
            <v>0</v>
          </cell>
          <cell r="C337">
            <v>6</v>
          </cell>
        </row>
        <row r="338">
          <cell r="B338">
            <v>5.0000000000001004</v>
          </cell>
          <cell r="C338">
            <v>4</v>
          </cell>
        </row>
        <row r="339">
          <cell r="B339">
            <v>5.0000000000000098</v>
          </cell>
          <cell r="C339">
            <v>2</v>
          </cell>
        </row>
        <row r="340">
          <cell r="B340">
            <v>10.000000000000011</v>
          </cell>
          <cell r="C340">
            <v>0</v>
          </cell>
        </row>
        <row r="341">
          <cell r="B341">
            <v>0</v>
          </cell>
          <cell r="C341">
            <v>7</v>
          </cell>
        </row>
        <row r="342">
          <cell r="B342">
            <v>10</v>
          </cell>
          <cell r="C342">
            <v>7</v>
          </cell>
        </row>
        <row r="343">
          <cell r="B343">
            <v>0</v>
          </cell>
          <cell r="C343">
            <v>7</v>
          </cell>
        </row>
        <row r="344">
          <cell r="B344">
            <v>10.000000000000099</v>
          </cell>
          <cell r="C344">
            <v>3</v>
          </cell>
        </row>
        <row r="345">
          <cell r="B345">
            <v>15.000000000000011</v>
          </cell>
          <cell r="C345">
            <v>0</v>
          </cell>
        </row>
        <row r="346">
          <cell r="B346">
            <v>0</v>
          </cell>
          <cell r="C346">
            <v>7</v>
          </cell>
        </row>
        <row r="347">
          <cell r="B347">
            <v>10.000000000000099</v>
          </cell>
          <cell r="C347">
            <v>5</v>
          </cell>
        </row>
        <row r="348">
          <cell r="B348">
            <v>10.000000000000011</v>
          </cell>
          <cell r="C348">
            <v>3</v>
          </cell>
        </row>
        <row r="349">
          <cell r="B349">
            <v>15.000000000000011</v>
          </cell>
          <cell r="C349">
            <v>0</v>
          </cell>
        </row>
        <row r="350">
          <cell r="B350">
            <v>1</v>
          </cell>
          <cell r="C350">
            <v>0</v>
          </cell>
        </row>
        <row r="351">
          <cell r="B351">
            <v>20</v>
          </cell>
          <cell r="C351">
            <v>2</v>
          </cell>
        </row>
        <row r="352">
          <cell r="B352">
            <v>40</v>
          </cell>
          <cell r="C352">
            <v>4</v>
          </cell>
        </row>
        <row r="353">
          <cell r="B353">
            <v>60</v>
          </cell>
          <cell r="C353">
            <v>6</v>
          </cell>
        </row>
        <row r="354">
          <cell r="B354">
            <v>80</v>
          </cell>
          <cell r="C354">
            <v>8</v>
          </cell>
        </row>
        <row r="355">
          <cell r="B355">
            <v>1</v>
          </cell>
          <cell r="C355">
            <v>0</v>
          </cell>
        </row>
        <row r="356">
          <cell r="B356">
            <v>20</v>
          </cell>
          <cell r="C356">
            <v>2</v>
          </cell>
        </row>
        <row r="357">
          <cell r="B357">
            <v>40</v>
          </cell>
          <cell r="C357">
            <v>4</v>
          </cell>
        </row>
        <row r="358">
          <cell r="B358">
            <v>60</v>
          </cell>
          <cell r="C358">
            <v>6</v>
          </cell>
        </row>
        <row r="359">
          <cell r="B359">
            <v>80</v>
          </cell>
          <cell r="C359">
            <v>8</v>
          </cell>
        </row>
        <row r="360">
          <cell r="B360">
            <v>0</v>
          </cell>
          <cell r="C360">
            <v>0</v>
          </cell>
        </row>
        <row r="361">
          <cell r="B361">
            <v>0.5</v>
          </cell>
          <cell r="C361">
            <v>2</v>
          </cell>
        </row>
        <row r="362">
          <cell r="B362">
            <v>0.8</v>
          </cell>
          <cell r="C362">
            <v>5</v>
          </cell>
        </row>
        <row r="363">
          <cell r="B363">
            <v>0</v>
          </cell>
          <cell r="C363">
            <v>3</v>
          </cell>
        </row>
        <row r="364">
          <cell r="B364">
            <v>0.15000000000000099</v>
          </cell>
          <cell r="C364">
            <v>1.5</v>
          </cell>
        </row>
        <row r="365">
          <cell r="B365">
            <v>0.30000000000099997</v>
          </cell>
          <cell r="C365">
            <v>0</v>
          </cell>
        </row>
        <row r="369">
          <cell r="B369" t="str">
            <v>1|省级分公司和中心支公司理赔部门负责人的业绩考核与操作风险相挂钩</v>
          </cell>
          <cell r="C369">
            <v>4</v>
          </cell>
        </row>
        <row r="370">
          <cell r="B370" t="str">
            <v>2|省级分公司和中心支公司理赔部门负责人的业绩考核与操作风险未挂钩</v>
          </cell>
          <cell r="C370">
            <v>0</v>
          </cell>
        </row>
        <row r="371">
          <cell r="B371" t="str">
            <v>1|公司对分支机构实行分类授权理赔管理，根据赔案类型，理赔工作环节，分支机构经营管理水平、风险控制能力及服务需求，理赔人员专业技能、考试评级结果等因素，明确各级机构或人员定损权限及核赔权限</v>
          </cell>
          <cell r="C371">
            <v>2</v>
          </cell>
        </row>
        <row r="372">
          <cell r="B372" t="str">
            <v>2|其他情况</v>
          </cell>
          <cell r="C372">
            <v>0</v>
          </cell>
        </row>
        <row r="373">
          <cell r="B373">
            <v>0</v>
          </cell>
          <cell r="C373">
            <v>0</v>
          </cell>
        </row>
        <row r="374">
          <cell r="B374">
            <v>0.9</v>
          </cell>
          <cell r="C374">
            <v>2</v>
          </cell>
        </row>
        <row r="375">
          <cell r="B375">
            <v>0</v>
          </cell>
          <cell r="C375">
            <v>0</v>
          </cell>
        </row>
        <row r="376">
          <cell r="B376">
            <v>0.9</v>
          </cell>
          <cell r="C376">
            <v>1</v>
          </cell>
        </row>
        <row r="377">
          <cell r="B377">
            <v>0.95</v>
          </cell>
          <cell r="C377">
            <v>3</v>
          </cell>
        </row>
        <row r="378">
          <cell r="B378">
            <v>0</v>
          </cell>
          <cell r="C378">
            <v>3</v>
          </cell>
        </row>
        <row r="379">
          <cell r="B379">
            <v>10.000000000001</v>
          </cell>
          <cell r="C379">
            <v>1</v>
          </cell>
        </row>
        <row r="380">
          <cell r="B380">
            <v>15.000000000000099</v>
          </cell>
          <cell r="C380">
            <v>0</v>
          </cell>
        </row>
        <row r="381">
          <cell r="B381">
            <v>0</v>
          </cell>
          <cell r="C381">
            <v>0</v>
          </cell>
        </row>
        <row r="382">
          <cell r="B382">
            <v>0.9</v>
          </cell>
          <cell r="C382">
            <v>1</v>
          </cell>
        </row>
        <row r="383">
          <cell r="B383">
            <v>0.95</v>
          </cell>
          <cell r="C383">
            <v>3</v>
          </cell>
        </row>
        <row r="384">
          <cell r="B384">
            <v>0</v>
          </cell>
          <cell r="C384">
            <v>3</v>
          </cell>
        </row>
        <row r="385">
          <cell r="B385">
            <v>0.10000000000100001</v>
          </cell>
          <cell r="C385">
            <v>1.5</v>
          </cell>
        </row>
        <row r="386">
          <cell r="B386">
            <v>0.1500000000001</v>
          </cell>
          <cell r="C386">
            <v>0</v>
          </cell>
        </row>
        <row r="387">
          <cell r="B387">
            <v>0</v>
          </cell>
          <cell r="C387">
            <v>5</v>
          </cell>
        </row>
        <row r="388">
          <cell r="B388">
            <v>3.0000000000010001</v>
          </cell>
          <cell r="C388">
            <v>2</v>
          </cell>
        </row>
        <row r="389">
          <cell r="B389">
            <v>5.0000000000001004</v>
          </cell>
          <cell r="C389">
            <v>0</v>
          </cell>
        </row>
        <row r="390">
          <cell r="B390" t="str">
            <v>1|公司理赔信息系统设置了反欺诈识别提醒功能，对出险时间与起保或终止时间接近、保险年度内索赔次数异常等情况进行提示的，对重点领域和环节设立欺诈案件和可疑赔案筛查功能</v>
          </cell>
          <cell r="C390">
            <v>2</v>
          </cell>
        </row>
        <row r="391">
          <cell r="B391" t="str">
            <v>2|其他情况</v>
          </cell>
          <cell r="C391">
            <v>0</v>
          </cell>
        </row>
        <row r="392">
          <cell r="B392" t="str">
            <v>1|公司理赔信息系统与接报案系统对接，理赔信息系统中报案时间由接报案系统直接导入，报案时间无法手工修改</v>
          </cell>
          <cell r="C392">
            <v>1</v>
          </cell>
        </row>
        <row r="393">
          <cell r="B393" t="str">
            <v>2|其他情况</v>
          </cell>
          <cell r="C393">
            <v>0</v>
          </cell>
        </row>
        <row r="394">
          <cell r="B394">
            <v>0</v>
          </cell>
          <cell r="C394">
            <v>10</v>
          </cell>
        </row>
        <row r="395">
          <cell r="B395">
            <v>2</v>
          </cell>
          <cell r="C395">
            <v>5</v>
          </cell>
        </row>
        <row r="396">
          <cell r="B396">
            <v>3</v>
          </cell>
          <cell r="C396">
            <v>2</v>
          </cell>
        </row>
        <row r="397">
          <cell r="B397">
            <v>4</v>
          </cell>
          <cell r="C397">
            <v>0</v>
          </cell>
        </row>
        <row r="398">
          <cell r="B398">
            <v>0</v>
          </cell>
          <cell r="C398">
            <v>0</v>
          </cell>
        </row>
        <row r="399">
          <cell r="B399">
            <v>0.5</v>
          </cell>
          <cell r="C399">
            <v>2</v>
          </cell>
        </row>
        <row r="400">
          <cell r="B400">
            <v>0.8</v>
          </cell>
          <cell r="C400">
            <v>5</v>
          </cell>
        </row>
        <row r="401">
          <cell r="B401">
            <v>0</v>
          </cell>
          <cell r="C401">
            <v>3</v>
          </cell>
        </row>
        <row r="402">
          <cell r="B402">
            <v>0.15000000000000099</v>
          </cell>
          <cell r="C402">
            <v>1.5</v>
          </cell>
        </row>
        <row r="403">
          <cell r="B403">
            <v>0.30000000000099997</v>
          </cell>
          <cell r="C403">
            <v>0</v>
          </cell>
        </row>
        <row r="407">
          <cell r="B407" t="str">
            <v>1|省级分公司和中心支公司理赔部门负责人的业绩考核与操作风险相挂钩</v>
          </cell>
          <cell r="C407">
            <v>4</v>
          </cell>
        </row>
        <row r="408">
          <cell r="B408" t="str">
            <v>2|省级分公司和中心支公司理赔部门负责人的业绩考核与操作风险未挂钩</v>
          </cell>
          <cell r="C408">
            <v>0</v>
          </cell>
        </row>
        <row r="409">
          <cell r="B409">
            <v>0</v>
          </cell>
          <cell r="C409">
            <v>6</v>
          </cell>
        </row>
        <row r="410">
          <cell r="B410">
            <v>10.000000000001</v>
          </cell>
          <cell r="C410">
            <v>2</v>
          </cell>
        </row>
        <row r="411">
          <cell r="B411">
            <v>15.000000000000099</v>
          </cell>
          <cell r="C411">
            <v>0</v>
          </cell>
        </row>
        <row r="412">
          <cell r="B412">
            <v>0</v>
          </cell>
          <cell r="C412">
            <v>8</v>
          </cell>
        </row>
        <row r="413">
          <cell r="B413">
            <v>2.0000000000000999</v>
          </cell>
          <cell r="C413">
            <v>4</v>
          </cell>
        </row>
        <row r="414">
          <cell r="B414">
            <v>3.00000000001</v>
          </cell>
          <cell r="C414">
            <v>2</v>
          </cell>
        </row>
        <row r="415">
          <cell r="B415">
            <v>4.0000000000010001</v>
          </cell>
          <cell r="C415">
            <v>0</v>
          </cell>
        </row>
        <row r="416">
          <cell r="B416">
            <v>0</v>
          </cell>
          <cell r="C416">
            <v>0</v>
          </cell>
        </row>
        <row r="417">
          <cell r="B417">
            <v>0.9</v>
          </cell>
          <cell r="C417">
            <v>2</v>
          </cell>
        </row>
        <row r="418">
          <cell r="B418">
            <v>0.95</v>
          </cell>
          <cell r="C418">
            <v>6</v>
          </cell>
        </row>
        <row r="419">
          <cell r="B419">
            <v>0</v>
          </cell>
          <cell r="C419">
            <v>4</v>
          </cell>
        </row>
        <row r="420">
          <cell r="B420">
            <v>0.20000000010000002</v>
          </cell>
          <cell r="C420">
            <v>0</v>
          </cell>
        </row>
        <row r="421">
          <cell r="B421" t="str">
            <v>1|公司理赔信息系统设置了反欺诈识别提醒功能，对出险时间与起保或终止时间接近、保险年度内索赔次数异常等情况进行提示的，对重点领域和环节设立欺诈案件和可疑赔案筛查功能</v>
          </cell>
          <cell r="C421">
            <v>2</v>
          </cell>
        </row>
        <row r="422">
          <cell r="B422" t="str">
            <v>2|其他情况</v>
          </cell>
          <cell r="C422">
            <v>0</v>
          </cell>
        </row>
        <row r="423">
          <cell r="B423" t="str">
            <v>1|公司理赔信息系统与接报案系统对接，理赔信息系统中报案时间由接报案系统直接导入，报案时间无法手工修改</v>
          </cell>
          <cell r="C423">
            <v>1</v>
          </cell>
        </row>
        <row r="424">
          <cell r="B424" t="str">
            <v>2|其他情况</v>
          </cell>
          <cell r="C424">
            <v>0</v>
          </cell>
        </row>
        <row r="425">
          <cell r="B425">
            <v>0</v>
          </cell>
          <cell r="C425">
            <v>10</v>
          </cell>
        </row>
        <row r="426">
          <cell r="B426">
            <v>2</v>
          </cell>
          <cell r="C426">
            <v>5</v>
          </cell>
        </row>
        <row r="427">
          <cell r="B427">
            <v>3</v>
          </cell>
          <cell r="C427">
            <v>2</v>
          </cell>
        </row>
        <row r="428">
          <cell r="B428">
            <v>4</v>
          </cell>
          <cell r="C428">
            <v>0</v>
          </cell>
        </row>
        <row r="429">
          <cell r="B429" t="str">
            <v>1|评价期内，保险公司设立了独立的再保险管理部门，部门工作定位准确、内部岗位职责清晰、工作流程及权限设置明确</v>
          </cell>
          <cell r="C429">
            <v>5</v>
          </cell>
        </row>
        <row r="430">
          <cell r="B430" t="str">
            <v>2|评价期内，保险公司未设立独立的再保险管理部门，但公司内部再保险业务相关岗位职责定位准确，再保险业务流程清晰和岗位权限明确</v>
          </cell>
          <cell r="C430">
            <v>2.5</v>
          </cell>
        </row>
        <row r="431">
          <cell r="B431" t="str">
            <v>3|其他</v>
          </cell>
          <cell r="C431">
            <v>0</v>
          </cell>
        </row>
        <row r="432">
          <cell r="B432" t="str">
            <v>1|评价期内，保险公司的再保险分入业务的核保、核赔、会计处理及财务结算由总公司职能部门统一办理，明确规定分支机构不得办理再保险分入业务的核保、核赔、会计处理及财务结算</v>
          </cell>
          <cell r="C432">
            <v>5</v>
          </cell>
        </row>
        <row r="433">
          <cell r="B433" t="str">
            <v>2|评价期内，保险公司的再保险分入业务的核保、核赔、会计处理及财务结算不是由总公司职能部门统一办理，未明确规定分支机构不得办理再保险分入业务的核保、核赔、会计处理及财务结算</v>
          </cell>
          <cell r="C433">
            <v>0</v>
          </cell>
        </row>
        <row r="434">
          <cell r="B434" t="str">
            <v>1|评价期内，保险公司在符合监管要求的基础上，制定再保险接受人及经纪人资信管理办法并遵照执行，建立再保险接受人及再保险经纪人资信安全清单，并动态更新、跟踪及管理，信息与再保险登记系统同步</v>
          </cell>
          <cell r="C434">
            <v>4</v>
          </cell>
        </row>
        <row r="435">
          <cell r="B435" t="str">
            <v>2|评价期内，保险公司未在符合监管要求的基础上，制定再保险接受人及经纪人资信管理办法并遵照执行，建立再保险接受人及再保险经纪人资信安全清单，并动态更新、跟踪及管理，信息与再保险登记系统同步</v>
          </cell>
          <cell r="C435">
            <v>0</v>
          </cell>
        </row>
        <row r="436">
          <cell r="B436" t="str">
            <v>1|评价期内，保险公司根据监管规定及内部管理要求，结合实际情况，建立了再保险接受人信用风险突发应急预案</v>
          </cell>
          <cell r="C436">
            <v>2</v>
          </cell>
        </row>
        <row r="437">
          <cell r="B437" t="str">
            <v>2|评价期内，保险公司未根据监管规定及内部管理要求，结合实际情况，建立再保险接受人信用风险突发应急预案</v>
          </cell>
          <cell r="C437">
            <v>0</v>
          </cell>
        </row>
        <row r="438">
          <cell r="B438" t="str">
            <v>1|评价期内，保险公司需续保的再保合约业务，在到期日之前必须完成下一年度合约安排。或者，合约双方另有约定的，必须在双方约定日期前完成</v>
          </cell>
          <cell r="C438">
            <v>5</v>
          </cell>
        </row>
        <row r="439">
          <cell r="B439" t="str">
            <v>2|评价期内，保险公司需续保的再保合约业务，未在到期日前完成下一年度合约安排。合约双方另有约定的，未在双方约定日期前完成</v>
          </cell>
          <cell r="C439">
            <v>0</v>
          </cell>
        </row>
        <row r="440">
          <cell r="B440" t="str">
            <v>1|评价期内，保险公司建立再保险应收应付款项的管理机制，包括相关管理制度及执行</v>
          </cell>
          <cell r="C440">
            <v>2</v>
          </cell>
        </row>
        <row r="441">
          <cell r="B441" t="str">
            <v>2|评价期内，保险公司未建立再保险应收应付款项的管理机制，包括相关管理制度及执行</v>
          </cell>
          <cell r="C441">
            <v>0</v>
          </cell>
        </row>
        <row r="442">
          <cell r="B442" t="str">
            <v>1|保险公司每一危险单位自留风符合相关法律法规管理规定</v>
          </cell>
          <cell r="C442">
            <v>10</v>
          </cell>
        </row>
        <row r="443">
          <cell r="B443" t="str">
            <v>2|保险公司每一危险单位自留风险不符合相关法律法规管理规定</v>
          </cell>
          <cell r="C443">
            <v>0</v>
          </cell>
        </row>
        <row r="444">
          <cell r="B444" t="str">
            <v>1|保险公司每一危险单位自留风险符合公司内部管理规定</v>
          </cell>
          <cell r="C444">
            <v>5</v>
          </cell>
        </row>
        <row r="445">
          <cell r="B445" t="str">
            <v>2|保险公司每一危险单位自留风险不符合公司内部管理规定</v>
          </cell>
          <cell r="C445">
            <v>0</v>
          </cell>
        </row>
        <row r="446">
          <cell r="B446">
            <v>0</v>
          </cell>
          <cell r="C446">
            <v>0</v>
          </cell>
        </row>
        <row r="447">
          <cell r="B447">
            <v>1</v>
          </cell>
          <cell r="C447">
            <v>1.5</v>
          </cell>
        </row>
        <row r="448">
          <cell r="B448">
            <v>0</v>
          </cell>
          <cell r="C448">
            <v>0</v>
          </cell>
        </row>
        <row r="449">
          <cell r="B449">
            <v>1</v>
          </cell>
          <cell r="C449">
            <v>1.5</v>
          </cell>
        </row>
        <row r="450">
          <cell r="B450" t="str">
            <v>1|再保险系统与业务、财务系统无缝链接，实现数据同步更新</v>
          </cell>
          <cell r="C450">
            <v>2</v>
          </cell>
        </row>
        <row r="451">
          <cell r="B451" t="str">
            <v>2|再保险系统未能与业务、财务系统无缝链接，未能实现数据同步更新</v>
          </cell>
          <cell r="C451">
            <v>0</v>
          </cell>
        </row>
        <row r="452">
          <cell r="B452" t="str">
            <v>1|IT系统模块包括合约、临分、分入、分出、账务、再保人管理等功能，系统功能齐全</v>
          </cell>
          <cell r="C452">
            <v>2</v>
          </cell>
        </row>
        <row r="453">
          <cell r="B453" t="str">
            <v>2|IT系统模块不包括合约、临分、分入、分出、账务、再保人管理等功能，系统功能不齐全</v>
          </cell>
          <cell r="C453">
            <v>0</v>
          </cell>
        </row>
        <row r="454">
          <cell r="B454" t="str">
            <v>1|保险公司IT系统可统计保监会要求上报的各类再保险数据报表</v>
          </cell>
          <cell r="C454">
            <v>2</v>
          </cell>
        </row>
        <row r="455">
          <cell r="B455" t="str">
            <v>2|保险公司IT系统不能统计保监会要求上报的各类再保险数据报表</v>
          </cell>
          <cell r="C455">
            <v>0</v>
          </cell>
        </row>
        <row r="456">
          <cell r="B456" t="str">
            <v>1|再保险IT系统权限管理明晰，核保和再保、经办和复核岗位权限区分明确</v>
          </cell>
          <cell r="C456">
            <v>2</v>
          </cell>
        </row>
        <row r="457">
          <cell r="B457" t="str">
            <v>2|再保险IT系统权限管理不明晰，核保和再保、经办和复核岗位权限区分不明确</v>
          </cell>
          <cell r="C457">
            <v>0</v>
          </cell>
        </row>
        <row r="458">
          <cell r="B458" t="str">
            <v>1|再保系统可在1个账单周期内及时更新核保、理赔、批改等信息，并具有保留修改痕迹，查询修改人和修改时间的功能，账单操作时点和对应原始数据具有留存功能</v>
          </cell>
          <cell r="C458">
            <v>2</v>
          </cell>
        </row>
        <row r="459">
          <cell r="B459" t="str">
            <v>2|再保系统不能在1个账单周期内及时更新核保、理赔、批改等信息，不具有保留修改痕迹，不能查询修改人和修改时间的功能，账单操作时点和对应原始数据不具有留存功能</v>
          </cell>
          <cell r="C459">
            <v>0</v>
          </cell>
        </row>
        <row r="460">
          <cell r="B460">
            <v>0</v>
          </cell>
          <cell r="C460">
            <v>-0.1</v>
          </cell>
        </row>
        <row r="461">
          <cell r="B461">
            <v>5</v>
          </cell>
          <cell r="C461">
            <v>0</v>
          </cell>
        </row>
        <row r="462">
          <cell r="B462">
            <v>5.0000000001</v>
          </cell>
          <cell r="C462">
            <v>0.1</v>
          </cell>
        </row>
        <row r="463">
          <cell r="B463">
            <v>0</v>
          </cell>
          <cell r="C463">
            <v>-0.1</v>
          </cell>
        </row>
        <row r="464">
          <cell r="B464">
            <v>5</v>
          </cell>
          <cell r="C464">
            <v>0</v>
          </cell>
        </row>
        <row r="465">
          <cell r="B465">
            <v>5.0000000010000001</v>
          </cell>
          <cell r="C465">
            <v>0.1</v>
          </cell>
        </row>
        <row r="466">
          <cell r="B466">
            <v>0</v>
          </cell>
          <cell r="C466">
            <v>-0.1</v>
          </cell>
        </row>
        <row r="467">
          <cell r="B467">
            <v>5</v>
          </cell>
          <cell r="C467">
            <v>0</v>
          </cell>
        </row>
        <row r="468">
          <cell r="B468">
            <v>5.0000000001</v>
          </cell>
          <cell r="C468">
            <v>0.1</v>
          </cell>
        </row>
        <row r="469">
          <cell r="B469" t="str">
            <v>I类公司</v>
          </cell>
          <cell r="C469">
            <v>5</v>
          </cell>
        </row>
        <row r="470">
          <cell r="B470" t="str">
            <v>II类公司</v>
          </cell>
          <cell r="C470">
            <v>10</v>
          </cell>
        </row>
        <row r="471">
          <cell r="B471">
            <v>0</v>
          </cell>
          <cell r="C471">
            <v>0</v>
          </cell>
        </row>
        <row r="472">
          <cell r="B472">
            <v>10</v>
          </cell>
          <cell r="C472">
            <v>5</v>
          </cell>
        </row>
        <row r="473">
          <cell r="B473">
            <v>15</v>
          </cell>
          <cell r="C473">
            <v>10</v>
          </cell>
        </row>
        <row r="474">
          <cell r="B474">
            <v>0</v>
          </cell>
          <cell r="C474">
            <v>0</v>
          </cell>
        </row>
        <row r="475">
          <cell r="B475">
            <v>3</v>
          </cell>
          <cell r="C475">
            <v>5</v>
          </cell>
        </row>
        <row r="476">
          <cell r="B476">
            <v>5</v>
          </cell>
          <cell r="C476">
            <v>10</v>
          </cell>
        </row>
        <row r="477">
          <cell r="B477" t="str">
            <v>1|保险公司采用合理方法提取未到期准备金，并进行充足性测试，且充足性测试过程的假设与未决赔款准备金评估以及业务发展趋势一致</v>
          </cell>
          <cell r="C477">
            <v>5</v>
          </cell>
        </row>
        <row r="478">
          <cell r="B478" t="str">
            <v>2|保险公司采用合理方法提取未到期准备金，并进行充足性测试，但充足性测试假设与未决评估及业务发展趋势存在差异</v>
          </cell>
          <cell r="C478">
            <v>3</v>
          </cell>
        </row>
        <row r="479">
          <cell r="B479" t="str">
            <v>3|其他</v>
          </cell>
          <cell r="C479">
            <v>0</v>
          </cell>
        </row>
        <row r="480">
          <cell r="B480" t="str">
            <v>1|保险公司对于已发生未报案未决赔款准备金采用两种以上方法评估，并进行合理性检验</v>
          </cell>
          <cell r="C480">
            <v>10</v>
          </cell>
        </row>
        <row r="481">
          <cell r="B481" t="str">
            <v>2|保险公司对于已发生未报案未决赔款准备金采用两种方法评估，未进行合理性检验</v>
          </cell>
          <cell r="C481">
            <v>5</v>
          </cell>
        </row>
        <row r="482">
          <cell r="B482" t="str">
            <v>3|其他</v>
          </cell>
          <cell r="C482">
            <v>0</v>
          </cell>
        </row>
        <row r="483">
          <cell r="B483" t="str">
            <v>1|保险公司分别建立再保分出前和再保分出后的赔付流量三角形，对分保未决赔款准备金进行评估</v>
          </cell>
          <cell r="C483">
            <v>5</v>
          </cell>
        </row>
        <row r="484">
          <cell r="B484" t="str">
            <v>2|其他</v>
          </cell>
          <cell r="C484">
            <v>0</v>
          </cell>
        </row>
        <row r="485">
          <cell r="B485" t="str">
            <v>1|保险公司准备金核算过程中与财务现有的科目核算无重复或遗漏，精算结果与财务结果有差异时，定期及时更新</v>
          </cell>
          <cell r="C485">
            <v>5</v>
          </cell>
        </row>
        <row r="486">
          <cell r="B486" t="str">
            <v>2|其他</v>
          </cell>
          <cell r="C486">
            <v>0</v>
          </cell>
        </row>
        <row r="487">
          <cell r="B487" t="str">
            <v>1|保险公司准备金核算过程中总部不直接做业务时，未计提准备金，即无冗余</v>
          </cell>
          <cell r="C487">
            <v>5</v>
          </cell>
        </row>
        <row r="488">
          <cell r="B488" t="str">
            <v>2|其他</v>
          </cell>
          <cell r="C488">
            <v>0</v>
          </cell>
        </row>
        <row r="491">
          <cell r="B491">
            <v>-100000</v>
          </cell>
          <cell r="C491">
            <v>30</v>
          </cell>
        </row>
        <row r="492">
          <cell r="B492">
            <v>-2.999999999999E-2</v>
          </cell>
          <cell r="C492">
            <v>40</v>
          </cell>
        </row>
        <row r="493">
          <cell r="B493">
            <v>0</v>
          </cell>
          <cell r="C493">
            <v>0</v>
          </cell>
        </row>
        <row r="494">
          <cell r="B494">
            <v>-100000</v>
          </cell>
          <cell r="C494">
            <v>30</v>
          </cell>
        </row>
        <row r="495">
          <cell r="B495">
            <v>-9.9999999000000006E-2</v>
          </cell>
          <cell r="C495">
            <v>40</v>
          </cell>
        </row>
        <row r="496">
          <cell r="B496">
            <v>0</v>
          </cell>
          <cell r="C496">
            <v>0</v>
          </cell>
        </row>
        <row r="497">
          <cell r="B497" t="str">
            <v>1|保险公司针对准备金管理建立了完善的管理流程与管理制度</v>
          </cell>
          <cell r="C497">
            <v>5</v>
          </cell>
        </row>
        <row r="498">
          <cell r="B498" t="str">
            <v>2|保险公司针对准备金管理建立了较为完善的管理流程与管理制度</v>
          </cell>
          <cell r="C498">
            <v>3</v>
          </cell>
        </row>
        <row r="499">
          <cell r="B499" t="str">
            <v>3|保险公司针对准备金管理建立了管理流程与管理制度，但是有待进一步完善</v>
          </cell>
          <cell r="C499">
            <v>1</v>
          </cell>
        </row>
        <row r="500">
          <cell r="B500" t="str">
            <v>1|底稿内容不完整</v>
          </cell>
          <cell r="C500">
            <v>-1.25</v>
          </cell>
        </row>
        <row r="501">
          <cell r="B501" t="str">
            <v>2|底稿内容完整</v>
          </cell>
          <cell r="C501">
            <v>0</v>
          </cell>
        </row>
        <row r="502">
          <cell r="B502" t="str">
            <v>1|编制频率低于每半年一次</v>
          </cell>
          <cell r="C502">
            <v>-1.25</v>
          </cell>
        </row>
        <row r="503">
          <cell r="B503" t="str">
            <v>2|编制频率不低于每半年一次</v>
          </cell>
          <cell r="C503">
            <v>0</v>
          </cell>
        </row>
        <row r="504">
          <cell r="B504" t="str">
            <v>1|未有效复核</v>
          </cell>
          <cell r="C504">
            <v>-1.25</v>
          </cell>
        </row>
        <row r="505">
          <cell r="B505" t="str">
            <v>2|有效复核</v>
          </cell>
          <cell r="C505">
            <v>0</v>
          </cell>
        </row>
        <row r="506">
          <cell r="B506" t="str">
            <v>1|未有效留存或备份</v>
          </cell>
          <cell r="C506">
            <v>-1.25</v>
          </cell>
        </row>
        <row r="507">
          <cell r="B507" t="str">
            <v>2|有效留存或备份</v>
          </cell>
          <cell r="C507">
            <v>0</v>
          </cell>
        </row>
        <row r="511">
          <cell r="B511">
            <v>0</v>
          </cell>
          <cell r="C511">
            <v>-0.1</v>
          </cell>
        </row>
        <row r="512">
          <cell r="B512">
            <v>20</v>
          </cell>
          <cell r="C512">
            <v>0</v>
          </cell>
        </row>
        <row r="513">
          <cell r="B513">
            <v>20.000000000099998</v>
          </cell>
          <cell r="C513">
            <v>0.1</v>
          </cell>
        </row>
        <row r="514">
          <cell r="B514">
            <v>0</v>
          </cell>
          <cell r="C514">
            <v>-0.1</v>
          </cell>
        </row>
        <row r="515">
          <cell r="B515">
            <v>5</v>
          </cell>
          <cell r="C515">
            <v>0</v>
          </cell>
        </row>
        <row r="516">
          <cell r="B516">
            <v>5.0000000001</v>
          </cell>
          <cell r="C516">
            <v>0.1</v>
          </cell>
        </row>
        <row r="517">
          <cell r="B517">
            <v>0</v>
          </cell>
          <cell r="C517">
            <v>2</v>
          </cell>
        </row>
        <row r="518">
          <cell r="B518">
            <v>0.255</v>
          </cell>
          <cell r="C518">
            <v>4</v>
          </cell>
        </row>
        <row r="519">
          <cell r="B519">
            <v>0.375</v>
          </cell>
          <cell r="C519">
            <v>6</v>
          </cell>
        </row>
        <row r="520">
          <cell r="B520">
            <v>0.44999999999999996</v>
          </cell>
          <cell r="C520">
            <v>8</v>
          </cell>
        </row>
        <row r="521">
          <cell r="B521">
            <v>0</v>
          </cell>
          <cell r="C521">
            <v>1</v>
          </cell>
        </row>
        <row r="522">
          <cell r="B522">
            <v>6</v>
          </cell>
          <cell r="C522">
            <v>3</v>
          </cell>
        </row>
        <row r="523">
          <cell r="B523">
            <v>10.199999999999999</v>
          </cell>
          <cell r="C523">
            <v>5</v>
          </cell>
        </row>
        <row r="524">
          <cell r="B524">
            <v>15</v>
          </cell>
          <cell r="C524">
            <v>7</v>
          </cell>
        </row>
        <row r="525">
          <cell r="B525">
            <v>18</v>
          </cell>
          <cell r="C525">
            <v>9</v>
          </cell>
        </row>
        <row r="526">
          <cell r="B526">
            <v>0</v>
          </cell>
          <cell r="C526">
            <v>9</v>
          </cell>
        </row>
        <row r="527">
          <cell r="B527">
            <v>1</v>
          </cell>
          <cell r="C527">
            <v>5</v>
          </cell>
        </row>
        <row r="528">
          <cell r="B528">
            <v>2</v>
          </cell>
          <cell r="C528">
            <v>1</v>
          </cell>
        </row>
        <row r="529">
          <cell r="B529">
            <v>2.0000000099999999</v>
          </cell>
          <cell r="C529">
            <v>0</v>
          </cell>
        </row>
        <row r="530">
          <cell r="B530">
            <v>0</v>
          </cell>
          <cell r="C530">
            <v>3</v>
          </cell>
        </row>
        <row r="531">
          <cell r="B531">
            <v>0.20399999999999999</v>
          </cell>
          <cell r="C531">
            <v>5</v>
          </cell>
        </row>
        <row r="532">
          <cell r="B532">
            <v>0.3</v>
          </cell>
          <cell r="C532">
            <v>7</v>
          </cell>
        </row>
        <row r="533">
          <cell r="B533">
            <v>0.36</v>
          </cell>
          <cell r="C533">
            <v>9</v>
          </cell>
        </row>
        <row r="534">
          <cell r="B534">
            <v>0</v>
          </cell>
          <cell r="C534">
            <v>0</v>
          </cell>
        </row>
        <row r="535">
          <cell r="B535">
            <v>5</v>
          </cell>
          <cell r="C535">
            <v>1</v>
          </cell>
        </row>
        <row r="536">
          <cell r="B536">
            <v>7</v>
          </cell>
          <cell r="C536">
            <v>2</v>
          </cell>
        </row>
        <row r="537">
          <cell r="B537" t="str">
            <v>1|最近4个季度内资产管理部门负责人未因违法违规受到行政处罚</v>
          </cell>
          <cell r="C537">
            <v>2</v>
          </cell>
        </row>
        <row r="538">
          <cell r="B538" t="str">
            <v>2|最近4个季度内资产管理部门负责人因违法违规受到行政处罚</v>
          </cell>
          <cell r="C538">
            <v>0</v>
          </cell>
        </row>
        <row r="539">
          <cell r="B539">
            <v>0</v>
          </cell>
          <cell r="C539">
            <v>0</v>
          </cell>
        </row>
        <row r="540">
          <cell r="B540">
            <v>3</v>
          </cell>
          <cell r="C540">
            <v>1</v>
          </cell>
        </row>
        <row r="541">
          <cell r="B541">
            <v>5</v>
          </cell>
          <cell r="C541">
            <v>2</v>
          </cell>
        </row>
        <row r="542">
          <cell r="B542" t="str">
            <v>1|资产管理部门在投资研究、资产清算或托管、风险控制、业绩评估、相关保障等环节设置岗位</v>
          </cell>
          <cell r="C542">
            <v>1</v>
          </cell>
        </row>
        <row r="543">
          <cell r="B543" t="str">
            <v>2|资产管理部门未在投资研究、资产清算、托管、风险控制、业绩评估、相关保障等环节设置岗位</v>
          </cell>
          <cell r="C543">
            <v>0</v>
          </cell>
        </row>
        <row r="544">
          <cell r="B544" t="str">
            <v>3|不适用</v>
          </cell>
          <cell r="C544">
            <v>1</v>
          </cell>
        </row>
        <row r="545">
          <cell r="B545" t="str">
            <v>1|资产管理部门除在投资研究、资产清算或托管、风险控制、业绩评估、相关保障等环节设置岗位外，还设置投资、交易等与资金运用业务直接相关的岗位</v>
          </cell>
          <cell r="C545">
            <v>1</v>
          </cell>
        </row>
        <row r="546">
          <cell r="B546" t="str">
            <v>2|资产管理部门未在投资研究、资产清算或托管、风险控制、业绩评估、相关保障等环节设置岗位，也未设置投资、交易等与资金运用业务直接相关的岗位</v>
          </cell>
          <cell r="C546">
            <v>0</v>
          </cell>
        </row>
        <row r="547">
          <cell r="B547" t="str">
            <v>3|不适用</v>
          </cell>
          <cell r="C547">
            <v>1</v>
          </cell>
        </row>
        <row r="548">
          <cell r="B548">
            <v>0</v>
          </cell>
          <cell r="C548">
            <v>0</v>
          </cell>
        </row>
        <row r="549">
          <cell r="B549">
            <v>0.25</v>
          </cell>
          <cell r="C549">
            <v>1</v>
          </cell>
        </row>
        <row r="550">
          <cell r="B550">
            <v>0</v>
          </cell>
          <cell r="C550">
            <v>2</v>
          </cell>
        </row>
        <row r="551">
          <cell r="B551">
            <v>0.2</v>
          </cell>
          <cell r="C551">
            <v>1</v>
          </cell>
        </row>
        <row r="552">
          <cell r="B552">
            <v>0.3</v>
          </cell>
          <cell r="C552">
            <v>0</v>
          </cell>
        </row>
        <row r="557">
          <cell r="B557">
            <v>0</v>
          </cell>
          <cell r="C557">
            <v>0</v>
          </cell>
        </row>
        <row r="558">
          <cell r="B558">
            <v>2</v>
          </cell>
          <cell r="C558">
            <v>1</v>
          </cell>
        </row>
        <row r="559">
          <cell r="B559" t="str">
            <v>1|对投研人员无激励机制或激励机制只与短期（一年及以内）业绩挂钩</v>
          </cell>
          <cell r="C559">
            <v>0</v>
          </cell>
        </row>
        <row r="560">
          <cell r="B560" t="str">
            <v>2|对投研人员的激励机制与长期（一年以上）业绩挂钩</v>
          </cell>
          <cell r="C560">
            <v>1</v>
          </cell>
        </row>
        <row r="561">
          <cell r="B561" t="str">
            <v>3|不适用</v>
          </cell>
          <cell r="C561">
            <v>1</v>
          </cell>
        </row>
        <row r="562">
          <cell r="B562" t="str">
            <v>1|能够提供受托机构相关证明材料</v>
          </cell>
          <cell r="C562">
            <v>1</v>
          </cell>
        </row>
        <row r="563">
          <cell r="B563" t="str">
            <v>2|不能提供受托机构相关证明材料</v>
          </cell>
          <cell r="C563">
            <v>0</v>
          </cell>
        </row>
        <row r="564">
          <cell r="B564" t="str">
            <v>3|不适用</v>
          </cell>
          <cell r="C564">
            <v>1</v>
          </cell>
        </row>
        <row r="565">
          <cell r="B565" t="str">
            <v>1|资金运用风险管理人员激励机制不直接与投资业绩挂钩</v>
          </cell>
          <cell r="C565">
            <v>1</v>
          </cell>
        </row>
        <row r="566">
          <cell r="B566" t="str">
            <v>2|资金运用风险管理人员激励机制直接与投资业绩挂钩</v>
          </cell>
          <cell r="C566">
            <v>0</v>
          </cell>
        </row>
        <row r="567">
          <cell r="B567" t="str">
            <v>3|不适用</v>
          </cell>
          <cell r="C567">
            <v>1</v>
          </cell>
        </row>
        <row r="568">
          <cell r="B568" t="str">
            <v>1|能够提供受托机构相关证明材料</v>
          </cell>
          <cell r="C568">
            <v>1</v>
          </cell>
        </row>
        <row r="569">
          <cell r="B569" t="str">
            <v>2|不能够提供受托机构相关证明材料</v>
          </cell>
          <cell r="C569">
            <v>0</v>
          </cell>
        </row>
        <row r="570">
          <cell r="B570" t="str">
            <v>3|不适用</v>
          </cell>
          <cell r="C570">
            <v>1</v>
          </cell>
        </row>
        <row r="571">
          <cell r="B571" t="str">
            <v>1|业绩考核与操作风险挂钩</v>
          </cell>
          <cell r="C571">
            <v>1</v>
          </cell>
        </row>
        <row r="572">
          <cell r="B572" t="str">
            <v>2|业绩考核不与操作风险挂钩</v>
          </cell>
          <cell r="C572">
            <v>0</v>
          </cell>
        </row>
        <row r="573">
          <cell r="B573" t="str">
            <v>3|不适用</v>
          </cell>
          <cell r="C573">
            <v>1</v>
          </cell>
        </row>
        <row r="574">
          <cell r="B574" t="str">
            <v>1|能够提供受托机构相关证明材料</v>
          </cell>
          <cell r="C574">
            <v>1</v>
          </cell>
        </row>
        <row r="575">
          <cell r="B575" t="str">
            <v>2|不能提供受托机构相关证明材料</v>
          </cell>
          <cell r="C575">
            <v>0</v>
          </cell>
        </row>
        <row r="576">
          <cell r="B576" t="str">
            <v>3|不适用</v>
          </cell>
          <cell r="C576">
            <v>1</v>
          </cell>
        </row>
        <row r="577">
          <cell r="B577" t="str">
            <v>1|建立资金运用操作风险数据库且如实记录操作风险事件</v>
          </cell>
          <cell r="C577">
            <v>5</v>
          </cell>
        </row>
        <row r="578">
          <cell r="B578" t="str">
            <v>2|未建立资金运用操作风险数据库或未如实记录操作风险事件</v>
          </cell>
          <cell r="C578">
            <v>0</v>
          </cell>
        </row>
        <row r="579">
          <cell r="B579" t="str">
            <v>1|保险公司委托投资的，全部建立相关制度</v>
          </cell>
          <cell r="C579">
            <v>1</v>
          </cell>
        </row>
        <row r="580">
          <cell r="B580" t="str">
            <v>2|保险公司委托投资的，未全部建立相关制度</v>
          </cell>
          <cell r="C580">
            <v>0</v>
          </cell>
        </row>
        <row r="581">
          <cell r="B581" t="str">
            <v>3|保险公司未开展委托投资</v>
          </cell>
          <cell r="C581">
            <v>1</v>
          </cell>
        </row>
        <row r="582">
          <cell r="B582" t="str">
            <v>1|委托投资指引达到要求</v>
          </cell>
          <cell r="C582">
            <v>1</v>
          </cell>
        </row>
        <row r="583">
          <cell r="B583" t="str">
            <v>2|委托投资指引未达到要求</v>
          </cell>
          <cell r="C583">
            <v>0</v>
          </cell>
        </row>
        <row r="584">
          <cell r="B584" t="str">
            <v>3|保险公司未开展委托投资</v>
          </cell>
          <cell r="C584">
            <v>1</v>
          </cell>
        </row>
        <row r="585">
          <cell r="B585" t="str">
            <v>1|最近4个季度内对全部投资管理人评估大于1次</v>
          </cell>
          <cell r="C585">
            <v>2</v>
          </cell>
        </row>
        <row r="586">
          <cell r="B586" t="str">
            <v>2|最近4个季度内只对部分投资管理人进行评估</v>
          </cell>
          <cell r="C586">
            <v>1</v>
          </cell>
        </row>
        <row r="587">
          <cell r="B587" t="str">
            <v>3|最近4个季度内未对投资管理人进行评估</v>
          </cell>
          <cell r="C587">
            <v>0</v>
          </cell>
        </row>
        <row r="588">
          <cell r="B588" t="str">
            <v>4|保险公司未开展委托投资</v>
          </cell>
          <cell r="C588">
            <v>2</v>
          </cell>
        </row>
        <row r="589">
          <cell r="B589" t="str">
            <v>1|资产配置压力测试达到要求</v>
          </cell>
          <cell r="C589">
            <v>4</v>
          </cell>
        </row>
        <row r="590">
          <cell r="B590" t="str">
            <v>2|资产配置压力测试未达到要求</v>
          </cell>
          <cell r="C590">
            <v>0</v>
          </cell>
        </row>
        <row r="591">
          <cell r="B591" t="str">
            <v>1|资产配置分账户管理达到要求</v>
          </cell>
          <cell r="C591">
            <v>3</v>
          </cell>
        </row>
        <row r="592">
          <cell r="B592" t="str">
            <v>2|资产配置分账户管理未达到要求</v>
          </cell>
          <cell r="C592">
            <v>0</v>
          </cell>
        </row>
        <row r="593">
          <cell r="B593" t="str">
            <v>3|不适用</v>
          </cell>
          <cell r="C593">
            <v>3</v>
          </cell>
        </row>
        <row r="594">
          <cell r="B594" t="str">
            <v>1|能够提供受托机构相关证明材料</v>
          </cell>
          <cell r="C594">
            <v>3</v>
          </cell>
        </row>
        <row r="595">
          <cell r="B595" t="str">
            <v>2|不能提供受托机构相关证明材料</v>
          </cell>
          <cell r="C595">
            <v>0</v>
          </cell>
        </row>
        <row r="596">
          <cell r="B596" t="str">
            <v>3|不适用</v>
          </cell>
          <cell r="C596">
            <v>3</v>
          </cell>
        </row>
        <row r="597">
          <cell r="B597" t="str">
            <v>1|全部投资资产实施托管</v>
          </cell>
          <cell r="C597">
            <v>5</v>
          </cell>
        </row>
        <row r="598">
          <cell r="B598" t="str">
            <v>2|投资资产部分托管</v>
          </cell>
          <cell r="C598">
            <v>3</v>
          </cell>
        </row>
        <row r="599">
          <cell r="B599" t="str">
            <v>3|投资资产未托管</v>
          </cell>
          <cell r="C599">
            <v>0</v>
          </cell>
        </row>
        <row r="600">
          <cell r="B600" t="str">
            <v>1|具备完善的投资授权制度，建立董事会投资决策委员会体系，决策及批准权限明确</v>
          </cell>
          <cell r="C600">
            <v>1</v>
          </cell>
        </row>
        <row r="601">
          <cell r="B601" t="str">
            <v>2|不具备完善的投资授权制度，未建立董事会投资决策委员会体系，决策及批准权限不明确</v>
          </cell>
          <cell r="C601">
            <v>0</v>
          </cell>
        </row>
        <row r="602">
          <cell r="B602" t="str">
            <v>1|实现决策流程的信息化和自动化，通过信息系统手段实现投资决策流程、次序自动控制</v>
          </cell>
          <cell r="C602">
            <v>1</v>
          </cell>
        </row>
        <row r="603">
          <cell r="B603" t="str">
            <v>2|未实现决策流程的信息化和自动化，未能通过信息系统手段实现投资决策流程、次序自动控制</v>
          </cell>
          <cell r="C603">
            <v>0</v>
          </cell>
        </row>
        <row r="604">
          <cell r="B604" t="str">
            <v>3|不适用</v>
          </cell>
          <cell r="C604">
            <v>1</v>
          </cell>
        </row>
        <row r="605">
          <cell r="B605" t="str">
            <v>1|能够提供受托机构相关证明材料</v>
          </cell>
          <cell r="C605">
            <v>1</v>
          </cell>
        </row>
        <row r="606">
          <cell r="B606" t="str">
            <v>2|不能提供受托机构相关证明材料</v>
          </cell>
          <cell r="C606">
            <v>0</v>
          </cell>
        </row>
        <row r="607">
          <cell r="B607" t="str">
            <v>3|其他</v>
          </cell>
          <cell r="C607">
            <v>1</v>
          </cell>
        </row>
        <row r="608">
          <cell r="B608" t="str">
            <v>1|重要投资决策有相关书面记录，如会议纪要、最终投资决议等，并由决策人在最终投资决议上确认</v>
          </cell>
          <cell r="C608">
            <v>1</v>
          </cell>
        </row>
        <row r="609">
          <cell r="B609" t="str">
            <v>2|重要投资决策没有相关书面记录，如会议纪要、最终投资决议等，或者决策人未在最终投资决议上确认</v>
          </cell>
          <cell r="C609">
            <v>0</v>
          </cell>
        </row>
        <row r="610">
          <cell r="B610" t="str">
            <v>3|不适用</v>
          </cell>
          <cell r="C610">
            <v>1</v>
          </cell>
        </row>
        <row r="611">
          <cell r="B611" t="str">
            <v>1|能够提供受托机构相关证明材料</v>
          </cell>
          <cell r="C611">
            <v>1</v>
          </cell>
        </row>
        <row r="612">
          <cell r="B612" t="str">
            <v>2|不能提供受托机构相关证明材料</v>
          </cell>
          <cell r="C612">
            <v>0</v>
          </cell>
        </row>
        <row r="613">
          <cell r="B613" t="str">
            <v>3|不适用</v>
          </cell>
          <cell r="C613">
            <v>1</v>
          </cell>
        </row>
        <row r="614">
          <cell r="B614" t="str">
            <v>1|构建投资池、备选池和禁投池体系且定期维护</v>
          </cell>
          <cell r="C614">
            <v>1</v>
          </cell>
        </row>
        <row r="615">
          <cell r="B615" t="str">
            <v>2|未构建投资池、备选池和禁投池体系</v>
          </cell>
          <cell r="C615">
            <v>0</v>
          </cell>
        </row>
        <row r="616">
          <cell r="B616" t="str">
            <v>3|未开展股票、债券、开放式基金等投资</v>
          </cell>
          <cell r="C616">
            <v>1</v>
          </cell>
        </row>
        <row r="617">
          <cell r="B617" t="str">
            <v>1|能够提供受托机构相关证明材料</v>
          </cell>
          <cell r="C617">
            <v>1</v>
          </cell>
        </row>
        <row r="618">
          <cell r="B618" t="str">
            <v>2|不能提供受托机构相关证明材料</v>
          </cell>
          <cell r="C618">
            <v>0</v>
          </cell>
        </row>
        <row r="619">
          <cell r="B619" t="str">
            <v>3|不适用</v>
          </cell>
          <cell r="C619">
            <v>1</v>
          </cell>
        </row>
        <row r="620">
          <cell r="B620">
            <v>0</v>
          </cell>
          <cell r="C620">
            <v>5</v>
          </cell>
        </row>
        <row r="621">
          <cell r="B621">
            <v>1</v>
          </cell>
          <cell r="C621">
            <v>3</v>
          </cell>
        </row>
        <row r="622">
          <cell r="B622">
            <v>3</v>
          </cell>
          <cell r="C622">
            <v>0</v>
          </cell>
        </row>
        <row r="623">
          <cell r="B623" t="str">
            <v>1|实行集中交易制度，安装必要的监测系统、预警系统和反馈系统，对交易室通讯设备进行监控</v>
          </cell>
          <cell r="C623">
            <v>2</v>
          </cell>
        </row>
        <row r="624">
          <cell r="B624" t="str">
            <v>2|未实行集中交易制度，未安装必要的监测系统、预警系统和反馈系统，未对交易室通讯设备进行监控</v>
          </cell>
          <cell r="C624">
            <v>0</v>
          </cell>
        </row>
        <row r="625">
          <cell r="B625" t="str">
            <v>3|不适用</v>
          </cell>
          <cell r="C625">
            <v>2</v>
          </cell>
        </row>
        <row r="626">
          <cell r="B626" t="str">
            <v>1|能够提供受托机构相关证明材料</v>
          </cell>
          <cell r="C626">
            <v>2</v>
          </cell>
        </row>
        <row r="627">
          <cell r="B627" t="str">
            <v>2|不能提供受托机构相关证明材料</v>
          </cell>
          <cell r="C627">
            <v>0</v>
          </cell>
        </row>
        <row r="628">
          <cell r="B628" t="str">
            <v>3|不适用</v>
          </cell>
          <cell r="C628">
            <v>2</v>
          </cell>
        </row>
        <row r="629">
          <cell r="B629" t="str">
            <v>1|建立完善的交易记录制度，每日对交易记录及时核对并存档</v>
          </cell>
          <cell r="C629">
            <v>1</v>
          </cell>
        </row>
        <row r="630">
          <cell r="B630" t="str">
            <v>2|未建立完善的交易记录制度，未对交易记录及时核对并存档</v>
          </cell>
          <cell r="C630">
            <v>0</v>
          </cell>
        </row>
        <row r="631">
          <cell r="B631" t="str">
            <v>3|不适用</v>
          </cell>
          <cell r="C631">
            <v>1</v>
          </cell>
        </row>
        <row r="632">
          <cell r="B632" t="str">
            <v>1|能够提供受托机构相关证明材料</v>
          </cell>
          <cell r="C632">
            <v>1</v>
          </cell>
        </row>
        <row r="633">
          <cell r="B633" t="str">
            <v>2|不能提供受托机构相关证明材料</v>
          </cell>
          <cell r="C633">
            <v>0</v>
          </cell>
        </row>
        <row r="634">
          <cell r="B634" t="str">
            <v>3|不适用</v>
          </cell>
          <cell r="C634">
            <v>1</v>
          </cell>
        </row>
        <row r="635">
          <cell r="B635">
            <v>0</v>
          </cell>
          <cell r="C635">
            <v>5</v>
          </cell>
        </row>
        <row r="636">
          <cell r="B636">
            <v>1</v>
          </cell>
          <cell r="C636">
            <v>3</v>
          </cell>
        </row>
        <row r="637">
          <cell r="B637">
            <v>3</v>
          </cell>
          <cell r="C637">
            <v>0</v>
          </cell>
        </row>
        <row r="638">
          <cell r="B638" t="str">
            <v>1|建立会计估值政策与制度规范，估值结果经过复核审查</v>
          </cell>
          <cell r="C638">
            <v>1</v>
          </cell>
        </row>
        <row r="639">
          <cell r="B639" t="str">
            <v>2|未建立会计估值政策与制度规范，估值未经过复核审查</v>
          </cell>
          <cell r="C639">
            <v>0</v>
          </cell>
        </row>
        <row r="640">
          <cell r="B640" t="str">
            <v>3|不适用</v>
          </cell>
          <cell r="C640">
            <v>1</v>
          </cell>
        </row>
        <row r="641">
          <cell r="B641" t="str">
            <v>1|能够提供受托机构相关证明材料</v>
          </cell>
          <cell r="C641">
            <v>1</v>
          </cell>
        </row>
        <row r="642">
          <cell r="B642" t="str">
            <v>2|不能提供受托机构相关证明材料</v>
          </cell>
          <cell r="C642">
            <v>0</v>
          </cell>
        </row>
        <row r="643">
          <cell r="B643" t="str">
            <v>3|不适用</v>
          </cell>
          <cell r="C643">
            <v>1</v>
          </cell>
        </row>
        <row r="644">
          <cell r="B644" t="str">
            <v>1|投资部门的业务交易台账与后台清算记录和资金记录应保持一致，并保留复核纪录，每日完成交易后进行清算和交易信息核对</v>
          </cell>
          <cell r="C644">
            <v>1</v>
          </cell>
        </row>
        <row r="645">
          <cell r="B645" t="str">
            <v>2|投资部门的业务交易台账未能与后台清算记录和资金记录保持一致，未保留复核纪录，每日完成交易后未进行清算和交易信息核对</v>
          </cell>
          <cell r="C645">
            <v>0</v>
          </cell>
        </row>
        <row r="646">
          <cell r="B646" t="str">
            <v>3|不适用</v>
          </cell>
          <cell r="C646">
            <v>1</v>
          </cell>
        </row>
        <row r="647">
          <cell r="B647" t="str">
            <v>1|由投资部门督促检查管理人和托管人的业务交易台账与后台清算记录和资金记录是否保持一致，管理人和托管人每日核对清算和交易信息</v>
          </cell>
          <cell r="C647">
            <v>1</v>
          </cell>
        </row>
        <row r="648">
          <cell r="B648" t="str">
            <v>2|投资部门未督促检查管理人和托管人的业务交易台账与后台清算记录和资金记录是否保持一致，管理人和托管人每日未核对清算和交易信息</v>
          </cell>
          <cell r="C648">
            <v>0</v>
          </cell>
        </row>
        <row r="649">
          <cell r="B649" t="str">
            <v>3|不适用</v>
          </cell>
          <cell r="C649">
            <v>1</v>
          </cell>
        </row>
        <row r="650">
          <cell r="B650">
            <v>0</v>
          </cell>
          <cell r="C650">
            <v>5</v>
          </cell>
        </row>
        <row r="651">
          <cell r="B651">
            <v>1</v>
          </cell>
          <cell r="C651">
            <v>3</v>
          </cell>
        </row>
        <row r="652">
          <cell r="B652">
            <v>3</v>
          </cell>
          <cell r="C652">
            <v>0</v>
          </cell>
        </row>
        <row r="653">
          <cell r="B653">
            <v>0</v>
          </cell>
          <cell r="C653">
            <v>5</v>
          </cell>
        </row>
        <row r="654">
          <cell r="B654">
            <v>1</v>
          </cell>
          <cell r="C654">
            <v>3</v>
          </cell>
        </row>
        <row r="655">
          <cell r="B655">
            <v>3</v>
          </cell>
          <cell r="C655">
            <v>0</v>
          </cell>
        </row>
        <row r="656">
          <cell r="B656" t="str">
            <v>1|建立资金运用信息系统，设定合规性和风险指标阀值，将风险监控的各项要素固化到信息系统之中，实现管理自动化</v>
          </cell>
          <cell r="C656">
            <v>3</v>
          </cell>
        </row>
        <row r="657">
          <cell r="B657" t="str">
            <v>2|建立资金运用信息系统，设定合规性和风险指标阀值，将部分合规性和风险指标阀值设置于信息系统</v>
          </cell>
          <cell r="C657">
            <v>1</v>
          </cell>
        </row>
        <row r="658">
          <cell r="B658" t="str">
            <v>3|未建立资金运用信息系统，未设定合规性和风险指标阀值，未将风险监控的各项要素固化到信息系统之中</v>
          </cell>
          <cell r="C658">
            <v>0</v>
          </cell>
        </row>
        <row r="659">
          <cell r="B659" t="str">
            <v>4|不适用</v>
          </cell>
          <cell r="C659">
            <v>3</v>
          </cell>
        </row>
        <row r="660">
          <cell r="B660" t="str">
            <v>1|能够提供受托机构相关证明材料</v>
          </cell>
          <cell r="C660">
            <v>3</v>
          </cell>
        </row>
        <row r="661">
          <cell r="B661" t="str">
            <v>2|不能提供受托机构相关证明材料</v>
          </cell>
          <cell r="C661">
            <v>0</v>
          </cell>
        </row>
        <row r="662">
          <cell r="B662" t="str">
            <v>3|不适用</v>
          </cell>
          <cell r="C662">
            <v>3</v>
          </cell>
        </row>
        <row r="663">
          <cell r="B663">
            <v>0</v>
          </cell>
          <cell r="C663">
            <v>1</v>
          </cell>
        </row>
        <row r="664">
          <cell r="B664">
            <v>2</v>
          </cell>
          <cell r="C664">
            <v>0</v>
          </cell>
        </row>
        <row r="665">
          <cell r="B665">
            <v>0</v>
          </cell>
          <cell r="C665">
            <v>1</v>
          </cell>
        </row>
        <row r="666">
          <cell r="B666">
            <v>1</v>
          </cell>
          <cell r="C666">
            <v>0</v>
          </cell>
        </row>
        <row r="667">
          <cell r="B667">
            <v>0</v>
          </cell>
          <cell r="C667">
            <v>1</v>
          </cell>
        </row>
        <row r="668">
          <cell r="B668">
            <v>5</v>
          </cell>
          <cell r="C668">
            <v>0</v>
          </cell>
        </row>
        <row r="669">
          <cell r="B669">
            <v>0</v>
          </cell>
          <cell r="C669">
            <v>2</v>
          </cell>
        </row>
        <row r="670">
          <cell r="B670">
            <v>3</v>
          </cell>
          <cell r="C670">
            <v>1</v>
          </cell>
        </row>
        <row r="671">
          <cell r="B671">
            <v>6</v>
          </cell>
          <cell r="C671">
            <v>0</v>
          </cell>
        </row>
        <row r="672">
          <cell r="B672">
            <v>0</v>
          </cell>
          <cell r="C672">
            <v>2</v>
          </cell>
        </row>
        <row r="673">
          <cell r="B673">
            <v>3</v>
          </cell>
          <cell r="C673">
            <v>0</v>
          </cell>
        </row>
        <row r="674">
          <cell r="B674" t="str">
            <v>1|能积极参与、密切跟踪新的资金运用、偿付能力等政策制度，能够及时对新政作出调整资金运用管理流程和经营行为</v>
          </cell>
          <cell r="C674">
            <v>3</v>
          </cell>
        </row>
        <row r="675">
          <cell r="B675" t="str">
            <v>2|未能积极参与、密切跟踪新的资金运用、偿付能力等政策制度，未能及时对新政作出调整资金运用管理流程和经营行为</v>
          </cell>
          <cell r="C675">
            <v>0</v>
          </cell>
        </row>
        <row r="676">
          <cell r="B676" t="str">
            <v>1|对新的资金运用、偿付能力等政策制度，保险公司能够及时对高管、相关部门人员进行培训</v>
          </cell>
          <cell r="C676">
            <v>2</v>
          </cell>
        </row>
        <row r="677">
          <cell r="B677" t="str">
            <v>2|对新的资金运用、偿付能力等政策制度，保险公司未能及时对高管、相关部门人员进行培训</v>
          </cell>
          <cell r="C677">
            <v>0</v>
          </cell>
        </row>
        <row r="678">
          <cell r="B678">
            <v>0</v>
          </cell>
          <cell r="C678">
            <v>0</v>
          </cell>
        </row>
        <row r="679">
          <cell r="B679">
            <v>1</v>
          </cell>
          <cell r="C679">
            <v>-0.5</v>
          </cell>
        </row>
        <row r="680">
          <cell r="B680">
            <v>1.5</v>
          </cell>
          <cell r="C680">
            <v>-1</v>
          </cell>
        </row>
        <row r="681">
          <cell r="B681">
            <v>0</v>
          </cell>
          <cell r="C681">
            <v>0</v>
          </cell>
        </row>
        <row r="682">
          <cell r="B682">
            <v>2</v>
          </cell>
          <cell r="C682">
            <v>-0.5</v>
          </cell>
        </row>
        <row r="683">
          <cell r="B683">
            <v>3</v>
          </cell>
          <cell r="C683">
            <v>-1</v>
          </cell>
        </row>
        <row r="684">
          <cell r="B684">
            <v>0</v>
          </cell>
          <cell r="C684">
            <v>0</v>
          </cell>
        </row>
        <row r="685">
          <cell r="B685">
            <v>3</v>
          </cell>
          <cell r="C685">
            <v>-0.5</v>
          </cell>
        </row>
        <row r="686">
          <cell r="B686">
            <v>4.5</v>
          </cell>
          <cell r="C686">
            <v>-1</v>
          </cell>
        </row>
        <row r="687">
          <cell r="B687">
            <v>0</v>
          </cell>
          <cell r="C687">
            <v>0</v>
          </cell>
        </row>
        <row r="688">
          <cell r="B688">
            <v>4</v>
          </cell>
          <cell r="C688">
            <v>-0.5</v>
          </cell>
        </row>
        <row r="689">
          <cell r="B689">
            <v>6</v>
          </cell>
          <cell r="C689">
            <v>-1</v>
          </cell>
        </row>
        <row r="690">
          <cell r="B690" t="str">
            <v>1|财会部门主要负责人符合专业性要求</v>
          </cell>
          <cell r="C690">
            <v>6</v>
          </cell>
        </row>
        <row r="691">
          <cell r="B691" t="str">
            <v>2|保险公司有多个部门负责财会工作的，所有的部门主要负责人符合专业性要求</v>
          </cell>
          <cell r="C691">
            <v>6</v>
          </cell>
        </row>
        <row r="692">
          <cell r="B692" t="str">
            <v>3|其他</v>
          </cell>
          <cell r="C692">
            <v>0</v>
          </cell>
        </row>
        <row r="693">
          <cell r="B693" t="str">
            <v>I类公司是</v>
          </cell>
          <cell r="C693">
            <v>0</v>
          </cell>
        </row>
        <row r="694">
          <cell r="B694" t="str">
            <v>I类公司否</v>
          </cell>
          <cell r="C694">
            <v>0</v>
          </cell>
        </row>
        <row r="695">
          <cell r="B695" t="str">
            <v>II类公司是</v>
          </cell>
          <cell r="C695">
            <v>0</v>
          </cell>
        </row>
        <row r="696">
          <cell r="B696" t="str">
            <v>II类公司否</v>
          </cell>
          <cell r="C696">
            <v>0</v>
          </cell>
        </row>
        <row r="697">
          <cell r="B697">
            <v>0</v>
          </cell>
          <cell r="C697">
            <v>0</v>
          </cell>
        </row>
        <row r="698">
          <cell r="B698">
            <v>20</v>
          </cell>
          <cell r="C698">
            <v>4</v>
          </cell>
        </row>
        <row r="699">
          <cell r="B699">
            <v>0</v>
          </cell>
          <cell r="C699">
            <v>0</v>
          </cell>
        </row>
        <row r="700">
          <cell r="B700">
            <v>40</v>
          </cell>
          <cell r="C700">
            <v>4</v>
          </cell>
        </row>
        <row r="701">
          <cell r="B701">
            <v>0</v>
          </cell>
          <cell r="C701">
            <v>0</v>
          </cell>
        </row>
        <row r="702">
          <cell r="B702">
            <v>8</v>
          </cell>
          <cell r="C702">
            <v>4</v>
          </cell>
        </row>
        <row r="705">
          <cell r="B705">
            <v>0</v>
          </cell>
          <cell r="C705">
            <v>2</v>
          </cell>
        </row>
        <row r="706">
          <cell r="B706">
            <v>0.20000000009999999</v>
          </cell>
          <cell r="C706">
            <v>0</v>
          </cell>
        </row>
        <row r="707">
          <cell r="B707">
            <v>0</v>
          </cell>
          <cell r="C707">
            <v>0</v>
          </cell>
        </row>
        <row r="708">
          <cell r="B708">
            <v>2</v>
          </cell>
          <cell r="C708">
            <v>4</v>
          </cell>
        </row>
        <row r="709">
          <cell r="B709" t="str">
            <v>1|总公司财会部门负责人和分支机构财会部门负责人的业绩考核与相关操作风险相挂钩</v>
          </cell>
          <cell r="C709">
            <v>4</v>
          </cell>
        </row>
        <row r="710">
          <cell r="B710" t="str">
            <v>2|总公司财会部门负责人和分支机构财会部门负责人的业绩考核不与相关操作风险相挂钩</v>
          </cell>
          <cell r="C710">
            <v>0</v>
          </cell>
        </row>
        <row r="711">
          <cell r="B711" t="str">
            <v>1|建立财务管理操作风险数据库且如实记录操作风险事件</v>
          </cell>
          <cell r="C711">
            <v>5</v>
          </cell>
        </row>
        <row r="712">
          <cell r="B712" t="str">
            <v>2|未建立财务管理操作风险数据库或未如实记录操作风险事件</v>
          </cell>
          <cell r="C712">
            <v>0</v>
          </cell>
        </row>
        <row r="713">
          <cell r="B713" t="str">
            <v>1|保险公司的会计核算在总公司或省级分公司集中处理</v>
          </cell>
          <cell r="C713">
            <v>1</v>
          </cell>
        </row>
        <row r="714">
          <cell r="B714" t="str">
            <v>2|保险公司的会计核算未在总公司和省级分公司集中处理</v>
          </cell>
          <cell r="C714">
            <v>0</v>
          </cell>
        </row>
        <row r="715">
          <cell r="B715">
            <v>0</v>
          </cell>
          <cell r="C715">
            <v>4</v>
          </cell>
        </row>
        <row r="716">
          <cell r="B716">
            <v>2.0000000099999999</v>
          </cell>
          <cell r="C716">
            <v>0</v>
          </cell>
        </row>
        <row r="717">
          <cell r="B717" t="str">
            <v>1|符合要求</v>
          </cell>
          <cell r="C717">
            <v>1</v>
          </cell>
        </row>
        <row r="718">
          <cell r="B718" t="str">
            <v>2|不符合要求</v>
          </cell>
          <cell r="C718">
            <v>0</v>
          </cell>
        </row>
        <row r="719">
          <cell r="B719">
            <v>0</v>
          </cell>
          <cell r="C719">
            <v>0</v>
          </cell>
        </row>
        <row r="720">
          <cell r="B720">
            <v>1E-8</v>
          </cell>
          <cell r="C720">
            <v>-2</v>
          </cell>
        </row>
        <row r="721">
          <cell r="B721">
            <v>2.0000000099999999</v>
          </cell>
          <cell r="C721">
            <v>-5</v>
          </cell>
        </row>
        <row r="722">
          <cell r="B722">
            <v>0</v>
          </cell>
          <cell r="C722">
            <v>0</v>
          </cell>
        </row>
        <row r="723">
          <cell r="B723">
            <v>1</v>
          </cell>
          <cell r="C723">
            <v>-5</v>
          </cell>
        </row>
        <row r="724">
          <cell r="B724">
            <v>0</v>
          </cell>
          <cell r="C724">
            <v>0</v>
          </cell>
        </row>
        <row r="725">
          <cell r="B725">
            <v>1E-8</v>
          </cell>
          <cell r="C725">
            <v>-2</v>
          </cell>
        </row>
        <row r="726">
          <cell r="B726">
            <v>2.0000000099999999</v>
          </cell>
          <cell r="C726">
            <v>-5</v>
          </cell>
        </row>
        <row r="727">
          <cell r="B727">
            <v>0</v>
          </cell>
          <cell r="C727">
            <v>0</v>
          </cell>
        </row>
        <row r="728">
          <cell r="B728">
            <v>1</v>
          </cell>
          <cell r="C728">
            <v>-5</v>
          </cell>
        </row>
        <row r="729">
          <cell r="B729" t="str">
            <v>1|符合要求</v>
          </cell>
          <cell r="C729">
            <v>1</v>
          </cell>
        </row>
        <row r="730">
          <cell r="B730" t="str">
            <v>2|不符合要求</v>
          </cell>
          <cell r="C730">
            <v>0</v>
          </cell>
        </row>
        <row r="731">
          <cell r="B731" t="str">
            <v>1|符合要求</v>
          </cell>
          <cell r="C731">
            <v>1</v>
          </cell>
        </row>
        <row r="732">
          <cell r="B732" t="str">
            <v>2|不符合要求</v>
          </cell>
          <cell r="C732">
            <v>0</v>
          </cell>
        </row>
        <row r="733">
          <cell r="B733">
            <v>0</v>
          </cell>
          <cell r="C733">
            <v>4</v>
          </cell>
        </row>
        <row r="734">
          <cell r="B734">
            <v>1</v>
          </cell>
          <cell r="C734">
            <v>2</v>
          </cell>
        </row>
        <row r="735">
          <cell r="B735">
            <v>3</v>
          </cell>
          <cell r="C735">
            <v>0</v>
          </cell>
        </row>
        <row r="736">
          <cell r="B736" t="str">
            <v>1|单证的领用、核销有专门内控程序和专人负责</v>
          </cell>
          <cell r="C736">
            <v>1</v>
          </cell>
        </row>
        <row r="737">
          <cell r="B737" t="str">
            <v>2|单证的领用、核销无专门内控程序和专人负责</v>
          </cell>
          <cell r="C737">
            <v>0</v>
          </cell>
        </row>
        <row r="738">
          <cell r="B738">
            <v>0</v>
          </cell>
          <cell r="C738">
            <v>3</v>
          </cell>
        </row>
        <row r="739">
          <cell r="B739">
            <v>1E-3</v>
          </cell>
          <cell r="C739">
            <v>0</v>
          </cell>
        </row>
        <row r="740">
          <cell r="B740" t="str">
            <v>1|财务类印章印鉴实行专人管理，且其使用有明确的内部审批流程</v>
          </cell>
          <cell r="C740">
            <v>1</v>
          </cell>
        </row>
        <row r="741">
          <cell r="B741" t="str">
            <v>2|财务类印章印鉴无专人管理，或其使用无明确的内部审批流程</v>
          </cell>
          <cell r="C741">
            <v>0</v>
          </cell>
        </row>
        <row r="742">
          <cell r="B742">
            <v>0</v>
          </cell>
          <cell r="C742">
            <v>3</v>
          </cell>
        </row>
        <row r="743">
          <cell r="B743">
            <v>1</v>
          </cell>
          <cell r="C743">
            <v>1</v>
          </cell>
        </row>
        <row r="744">
          <cell r="B744">
            <v>3</v>
          </cell>
          <cell r="C744">
            <v>0</v>
          </cell>
        </row>
        <row r="745">
          <cell r="B745" t="str">
            <v>I类公司</v>
          </cell>
          <cell r="C745">
            <v>0</v>
          </cell>
        </row>
        <row r="746">
          <cell r="B746" t="str">
            <v>II类公司</v>
          </cell>
          <cell r="C746">
            <v>1</v>
          </cell>
        </row>
        <row r="747">
          <cell r="B747" t="str">
            <v>1|总公司和分公司有专人专岗负责税收管理</v>
          </cell>
          <cell r="C747">
            <v>1</v>
          </cell>
        </row>
        <row r="748">
          <cell r="B748" t="str">
            <v>2|总公司和分公司无专岗但有专人负责税收管理</v>
          </cell>
          <cell r="C748">
            <v>0</v>
          </cell>
        </row>
        <row r="749">
          <cell r="B749" t="str">
            <v>3|其他</v>
          </cell>
          <cell r="C749">
            <v>0</v>
          </cell>
        </row>
        <row r="750">
          <cell r="B750" t="str">
            <v>1|总公司和分公司有专人专岗负责税收管理</v>
          </cell>
          <cell r="C750">
            <v>1</v>
          </cell>
        </row>
        <row r="751">
          <cell r="B751" t="str">
            <v>2|总公司和分公司无专岗但有专人负责税收管理</v>
          </cell>
          <cell r="C751">
            <v>1</v>
          </cell>
        </row>
        <row r="752">
          <cell r="B752" t="str">
            <v>3|其他</v>
          </cell>
          <cell r="C752">
            <v>0</v>
          </cell>
        </row>
        <row r="753">
          <cell r="B753">
            <v>0</v>
          </cell>
          <cell r="C753">
            <v>4</v>
          </cell>
        </row>
        <row r="754">
          <cell r="B754">
            <v>1</v>
          </cell>
          <cell r="C754">
            <v>2</v>
          </cell>
        </row>
        <row r="755">
          <cell r="B755">
            <v>3</v>
          </cell>
          <cell r="C755">
            <v>0</v>
          </cell>
        </row>
        <row r="756">
          <cell r="B756" t="str">
            <v>1|保险公司建立了财务信息系统，实现管理自动化</v>
          </cell>
          <cell r="C756">
            <v>2</v>
          </cell>
        </row>
        <row r="757">
          <cell r="B757" t="str">
            <v>2|保险公司未建立财务信息系统，未实现管理自动化</v>
          </cell>
          <cell r="C757">
            <v>0</v>
          </cell>
        </row>
        <row r="758">
          <cell r="B758">
            <v>0</v>
          </cell>
          <cell r="C758">
            <v>4</v>
          </cell>
        </row>
        <row r="759">
          <cell r="B759">
            <v>3.0000000099999999</v>
          </cell>
          <cell r="C759">
            <v>2</v>
          </cell>
        </row>
        <row r="760">
          <cell r="B760">
            <v>5.0000000099999999</v>
          </cell>
          <cell r="C760">
            <v>0</v>
          </cell>
        </row>
        <row r="761">
          <cell r="B761" t="str">
            <v>1|财务数据由总公司集中存储，分支机构没有修改财务数据权限</v>
          </cell>
          <cell r="C761">
            <v>3</v>
          </cell>
        </row>
        <row r="762">
          <cell r="B762" t="str">
            <v>2|财务数据不是由总公司集中存储，或者分支机构有修改财务数据权限</v>
          </cell>
          <cell r="C762">
            <v>0</v>
          </cell>
        </row>
        <row r="763">
          <cell r="B763" t="str">
            <v>1|核对频率高于等于每周一次</v>
          </cell>
          <cell r="C763">
            <v>3</v>
          </cell>
        </row>
        <row r="764">
          <cell r="B764" t="str">
            <v>2|核对频率低于每周一次但高于等于每月一次</v>
          </cell>
          <cell r="C764">
            <v>1</v>
          </cell>
        </row>
        <row r="765">
          <cell r="B765" t="str">
            <v>3|其他</v>
          </cell>
          <cell r="C765">
            <v>0</v>
          </cell>
        </row>
        <row r="766">
          <cell r="B766">
            <v>0</v>
          </cell>
          <cell r="C766">
            <v>3</v>
          </cell>
        </row>
        <row r="767">
          <cell r="B767" t="str">
            <v>1/10000</v>
          </cell>
          <cell r="C767">
            <v>0</v>
          </cell>
        </row>
        <row r="768">
          <cell r="B768" t="str">
            <v>1|能积极参与、密切跟踪新的会计、税收、财务监管、偿付能力等政策制度，能够及时调整财务管理流程和经营行为</v>
          </cell>
          <cell r="C768">
            <v>3</v>
          </cell>
        </row>
        <row r="769">
          <cell r="B769" t="str">
            <v>2|未能积极参与、密切跟踪新的会计、税收、财务监管、偿付能力等政策制度，未能及时调整财务管理流程和经营行为</v>
          </cell>
          <cell r="C769">
            <v>0</v>
          </cell>
        </row>
        <row r="770">
          <cell r="B770" t="str">
            <v>1|对新的会计、税收、财务监管、偿付能力等政策制度，保险公司能够及时对高管、相关部门人员进行培训</v>
          </cell>
          <cell r="C770">
            <v>2</v>
          </cell>
        </row>
        <row r="771">
          <cell r="B771" t="str">
            <v>2|对新的会计、税收、财务监管、偿付能力等政策制度，保险公司不能及时对高管、相关部门人员进行培训</v>
          </cell>
          <cell r="C771">
            <v>0</v>
          </cell>
        </row>
        <row r="772">
          <cell r="B772">
            <v>0</v>
          </cell>
          <cell r="C772">
            <v>0</v>
          </cell>
        </row>
        <row r="773">
          <cell r="B773">
            <v>5</v>
          </cell>
          <cell r="C773">
            <v>5</v>
          </cell>
        </row>
        <row r="774">
          <cell r="B774">
            <v>0</v>
          </cell>
          <cell r="C774">
            <v>2</v>
          </cell>
        </row>
        <row r="775">
          <cell r="B775">
            <v>0.20000000009999999</v>
          </cell>
          <cell r="C775">
            <v>0</v>
          </cell>
        </row>
        <row r="776">
          <cell r="B776">
            <v>0</v>
          </cell>
          <cell r="C776">
            <v>0</v>
          </cell>
        </row>
        <row r="777">
          <cell r="B777">
            <v>1</v>
          </cell>
          <cell r="C777">
            <v>2</v>
          </cell>
        </row>
        <row r="778">
          <cell r="B778">
            <v>0</v>
          </cell>
          <cell r="C778">
            <v>0</v>
          </cell>
        </row>
        <row r="779">
          <cell r="B779">
            <v>2</v>
          </cell>
          <cell r="C779">
            <v>4</v>
          </cell>
        </row>
        <row r="780">
          <cell r="B780" t="str">
            <v>1|不存在公司会计、出纳、稽核等不相容岗位兼职情况</v>
          </cell>
          <cell r="C780">
            <v>2</v>
          </cell>
        </row>
        <row r="781">
          <cell r="B781" t="str">
            <v>2|存在公司会计、出纳、稽核等不相容岗位兼职情况</v>
          </cell>
          <cell r="C781">
            <v>0</v>
          </cell>
        </row>
        <row r="782">
          <cell r="B782" t="str">
            <v>1|省级分公司和中心支公司财务部门负责人的业绩考核与操作风险相挂钩</v>
          </cell>
          <cell r="C782">
            <v>2</v>
          </cell>
        </row>
        <row r="783">
          <cell r="B783" t="str">
            <v>2|省级分公司和中心支公司财务部门负责人的业绩考核不与操作风险相挂钩</v>
          </cell>
          <cell r="C783">
            <v>0</v>
          </cell>
        </row>
        <row r="784">
          <cell r="B784">
            <v>0</v>
          </cell>
          <cell r="C784">
            <v>0</v>
          </cell>
        </row>
        <row r="785">
          <cell r="B785">
            <v>1E-8</v>
          </cell>
          <cell r="C785">
            <v>-2</v>
          </cell>
        </row>
        <row r="786">
          <cell r="B786">
            <v>2</v>
          </cell>
          <cell r="C786">
            <v>-4</v>
          </cell>
        </row>
        <row r="787">
          <cell r="B787">
            <v>0</v>
          </cell>
          <cell r="C787">
            <v>0</v>
          </cell>
        </row>
        <row r="788">
          <cell r="B788">
            <v>1</v>
          </cell>
          <cell r="C788">
            <v>-4</v>
          </cell>
        </row>
        <row r="789">
          <cell r="B789" t="str">
            <v>1|银行账户由总公司集中管理，银行账户的设立、变更或注销报总公司审批或备案，支公司及以下分支机构未开立银行账户（税收、社保账户除外）</v>
          </cell>
          <cell r="C789">
            <v>1</v>
          </cell>
        </row>
        <row r="790">
          <cell r="B790" t="str">
            <v>2|银行账户不是由总公司集中管理，或者银行账户的设立、变更或注销不是报总公司审批或备案，或者支公司及以下分支机构开立银行账户（税收、社保账户除外）</v>
          </cell>
          <cell r="C790">
            <v>0</v>
          </cell>
        </row>
        <row r="791">
          <cell r="B791">
            <v>0</v>
          </cell>
          <cell r="C791">
            <v>0</v>
          </cell>
        </row>
        <row r="792">
          <cell r="B792">
            <v>0.9</v>
          </cell>
          <cell r="C792">
            <v>1</v>
          </cell>
        </row>
        <row r="793">
          <cell r="B793">
            <v>0.95</v>
          </cell>
          <cell r="C793">
            <v>3</v>
          </cell>
        </row>
        <row r="794">
          <cell r="B794">
            <v>0</v>
          </cell>
          <cell r="C794">
            <v>0</v>
          </cell>
        </row>
        <row r="795">
          <cell r="B795">
            <v>0.9</v>
          </cell>
          <cell r="C795">
            <v>1</v>
          </cell>
        </row>
        <row r="796">
          <cell r="B796">
            <v>0.95</v>
          </cell>
          <cell r="C796">
            <v>3</v>
          </cell>
        </row>
        <row r="797">
          <cell r="B797">
            <v>0</v>
          </cell>
          <cell r="C797">
            <v>3</v>
          </cell>
        </row>
        <row r="798">
          <cell r="B798">
            <v>3.00000001E-2</v>
          </cell>
          <cell r="C798">
            <v>1</v>
          </cell>
        </row>
        <row r="799">
          <cell r="B799">
            <v>5.0000000099999997E-2</v>
          </cell>
          <cell r="C799">
            <v>0</v>
          </cell>
        </row>
        <row r="800">
          <cell r="B800" t="str">
            <v>1|评估期末公司本年度累计实际发生费用未超过预算</v>
          </cell>
          <cell r="C800">
            <v>3</v>
          </cell>
        </row>
        <row r="801">
          <cell r="B801" t="str">
            <v>2|评估期末公司本年度累计实际发生费用超过预算</v>
          </cell>
          <cell r="C801">
            <v>0</v>
          </cell>
        </row>
        <row r="804">
          <cell r="B804">
            <v>0</v>
          </cell>
          <cell r="C804">
            <v>0</v>
          </cell>
        </row>
        <row r="805">
          <cell r="B805">
            <v>0.95</v>
          </cell>
          <cell r="C805">
            <v>1</v>
          </cell>
        </row>
        <row r="806">
          <cell r="B806">
            <v>1</v>
          </cell>
          <cell r="C806">
            <v>2</v>
          </cell>
        </row>
        <row r="807">
          <cell r="B807">
            <v>0</v>
          </cell>
          <cell r="C807">
            <v>5</v>
          </cell>
        </row>
        <row r="808">
          <cell r="B808">
            <v>1</v>
          </cell>
          <cell r="C808">
            <v>2</v>
          </cell>
        </row>
        <row r="809">
          <cell r="B809">
            <v>3</v>
          </cell>
          <cell r="C809">
            <v>0</v>
          </cell>
        </row>
        <row r="810">
          <cell r="B810" t="str">
            <v>1|财务系统与单证系统、业务系统、再保系统、精算系统等对接，实现系统间数据自动交换</v>
          </cell>
          <cell r="C810">
            <v>2</v>
          </cell>
        </row>
        <row r="811">
          <cell r="B811" t="str">
            <v>2|财务系统未与单证系统、业务系统、再保系统、精算系统等对接，未能实现系统间数据自动交换</v>
          </cell>
          <cell r="C811">
            <v>0</v>
          </cell>
        </row>
        <row r="812">
          <cell r="B812">
            <v>0</v>
          </cell>
          <cell r="C812">
            <v>10</v>
          </cell>
        </row>
        <row r="813">
          <cell r="B813">
            <v>12</v>
          </cell>
          <cell r="C813">
            <v>5</v>
          </cell>
        </row>
        <row r="814">
          <cell r="B814">
            <v>18</v>
          </cell>
          <cell r="C814">
            <v>2</v>
          </cell>
        </row>
        <row r="815">
          <cell r="B815">
            <v>24</v>
          </cell>
          <cell r="C815">
            <v>0</v>
          </cell>
        </row>
        <row r="816">
          <cell r="B816">
            <v>0</v>
          </cell>
          <cell r="C816">
            <v>4</v>
          </cell>
        </row>
        <row r="817">
          <cell r="B817">
            <v>44</v>
          </cell>
          <cell r="C817">
            <v>3.2</v>
          </cell>
        </row>
        <row r="818">
          <cell r="B818">
            <v>88</v>
          </cell>
          <cell r="C818">
            <v>2.4</v>
          </cell>
        </row>
        <row r="819">
          <cell r="B819">
            <v>132</v>
          </cell>
          <cell r="C819">
            <v>1.6</v>
          </cell>
        </row>
        <row r="820">
          <cell r="B820">
            <v>176</v>
          </cell>
          <cell r="C820">
            <v>0.8</v>
          </cell>
        </row>
        <row r="821">
          <cell r="B821">
            <v>0</v>
          </cell>
          <cell r="C821">
            <v>4</v>
          </cell>
        </row>
        <row r="822">
          <cell r="B822">
            <v>44</v>
          </cell>
          <cell r="C822">
            <v>3.2</v>
          </cell>
        </row>
        <row r="823">
          <cell r="B823">
            <v>88</v>
          </cell>
          <cell r="C823">
            <v>2.4</v>
          </cell>
        </row>
        <row r="824">
          <cell r="B824">
            <v>132</v>
          </cell>
          <cell r="C824">
            <v>1.6</v>
          </cell>
        </row>
        <row r="825">
          <cell r="B825">
            <v>176</v>
          </cell>
          <cell r="C825">
            <v>0.8</v>
          </cell>
        </row>
        <row r="826">
          <cell r="B826">
            <v>0</v>
          </cell>
          <cell r="C826">
            <v>4</v>
          </cell>
        </row>
        <row r="827">
          <cell r="B827">
            <v>44</v>
          </cell>
          <cell r="C827">
            <v>3.2</v>
          </cell>
        </row>
        <row r="828">
          <cell r="B828">
            <v>88</v>
          </cell>
          <cell r="C828">
            <v>2.4</v>
          </cell>
        </row>
        <row r="829">
          <cell r="B829">
            <v>132</v>
          </cell>
          <cell r="C829">
            <v>1.6</v>
          </cell>
        </row>
        <row r="830">
          <cell r="B830">
            <v>176</v>
          </cell>
          <cell r="C830">
            <v>0.8</v>
          </cell>
        </row>
        <row r="831">
          <cell r="B831">
            <v>0</v>
          </cell>
          <cell r="C831">
            <v>4</v>
          </cell>
        </row>
        <row r="832">
          <cell r="B832">
            <v>44</v>
          </cell>
          <cell r="C832">
            <v>3.2</v>
          </cell>
        </row>
        <row r="833">
          <cell r="B833">
            <v>88</v>
          </cell>
          <cell r="C833">
            <v>2.4</v>
          </cell>
        </row>
        <row r="834">
          <cell r="B834">
            <v>132</v>
          </cell>
          <cell r="C834">
            <v>1.6</v>
          </cell>
        </row>
        <row r="835">
          <cell r="B835">
            <v>176</v>
          </cell>
          <cell r="C835">
            <v>0.8</v>
          </cell>
        </row>
        <row r="836">
          <cell r="B836">
            <v>0</v>
          </cell>
          <cell r="C836">
            <v>4</v>
          </cell>
        </row>
        <row r="837">
          <cell r="B837">
            <v>44</v>
          </cell>
          <cell r="C837">
            <v>3.2</v>
          </cell>
        </row>
        <row r="838">
          <cell r="B838">
            <v>88</v>
          </cell>
          <cell r="C838">
            <v>2.4</v>
          </cell>
        </row>
        <row r="839">
          <cell r="B839">
            <v>132</v>
          </cell>
          <cell r="C839">
            <v>1.6</v>
          </cell>
        </row>
        <row r="840">
          <cell r="B840">
            <v>176</v>
          </cell>
          <cell r="C840">
            <v>0.8</v>
          </cell>
        </row>
        <row r="841">
          <cell r="B841">
            <v>0</v>
          </cell>
          <cell r="C841">
            <v>3.2</v>
          </cell>
        </row>
        <row r="842">
          <cell r="B842">
            <v>1</v>
          </cell>
          <cell r="C842">
            <v>4</v>
          </cell>
        </row>
        <row r="843">
          <cell r="B843">
            <v>0</v>
          </cell>
          <cell r="C843">
            <v>3.2</v>
          </cell>
        </row>
        <row r="844">
          <cell r="B844">
            <v>55</v>
          </cell>
          <cell r="C844">
            <v>2.4</v>
          </cell>
        </row>
        <row r="845">
          <cell r="B845">
            <v>110</v>
          </cell>
          <cell r="C845">
            <v>1.6</v>
          </cell>
        </row>
        <row r="846">
          <cell r="B846">
            <v>165</v>
          </cell>
          <cell r="C846">
            <v>0.8</v>
          </cell>
        </row>
        <row r="847">
          <cell r="B847">
            <v>0</v>
          </cell>
          <cell r="C847">
            <v>2.4</v>
          </cell>
        </row>
        <row r="848">
          <cell r="B848">
            <v>1</v>
          </cell>
          <cell r="C848">
            <v>4</v>
          </cell>
        </row>
        <row r="849">
          <cell r="B849">
            <v>0</v>
          </cell>
          <cell r="C849">
            <v>3.2</v>
          </cell>
        </row>
        <row r="850">
          <cell r="B850">
            <v>55</v>
          </cell>
          <cell r="C850">
            <v>2.4</v>
          </cell>
        </row>
        <row r="851">
          <cell r="B851">
            <v>110</v>
          </cell>
          <cell r="C851">
            <v>1.6</v>
          </cell>
        </row>
        <row r="852">
          <cell r="B852">
            <v>165</v>
          </cell>
          <cell r="C852">
            <v>0.8</v>
          </cell>
        </row>
        <row r="853">
          <cell r="B853">
            <v>0</v>
          </cell>
          <cell r="C853">
            <v>1.6</v>
          </cell>
        </row>
        <row r="854">
          <cell r="B854">
            <v>1</v>
          </cell>
          <cell r="C854">
            <v>4</v>
          </cell>
        </row>
        <row r="855">
          <cell r="B855">
            <v>0</v>
          </cell>
          <cell r="C855">
            <v>3.2</v>
          </cell>
        </row>
        <row r="856">
          <cell r="B856">
            <v>55</v>
          </cell>
          <cell r="C856">
            <v>2.4</v>
          </cell>
        </row>
        <row r="857">
          <cell r="B857">
            <v>110</v>
          </cell>
          <cell r="C857">
            <v>1.6</v>
          </cell>
        </row>
        <row r="858">
          <cell r="B858">
            <v>165</v>
          </cell>
          <cell r="C858">
            <v>0.8</v>
          </cell>
        </row>
        <row r="859">
          <cell r="B859">
            <v>0</v>
          </cell>
          <cell r="C859">
            <v>0</v>
          </cell>
        </row>
        <row r="860">
          <cell r="B860">
            <v>1E-8</v>
          </cell>
          <cell r="C860">
            <v>-10</v>
          </cell>
        </row>
        <row r="861">
          <cell r="B861">
            <v>300000.00000001001</v>
          </cell>
          <cell r="C861">
            <v>-15</v>
          </cell>
        </row>
        <row r="862">
          <cell r="B862">
            <v>1000000.00000001</v>
          </cell>
          <cell r="C862">
            <v>-20</v>
          </cell>
        </row>
        <row r="863">
          <cell r="B863" t="str">
            <v>1|未受到行政处罚</v>
          </cell>
          <cell r="C863">
            <v>0</v>
          </cell>
        </row>
        <row r="864">
          <cell r="B864" t="str">
            <v>2|董事长、总经理被处以罚款</v>
          </cell>
          <cell r="C864">
            <v>-20</v>
          </cell>
        </row>
        <row r="865">
          <cell r="B865" t="str">
            <v>3|董事长、总经理以外的其他董事、高级管理人员被撤销任职资格或者禁止进入保险业</v>
          </cell>
          <cell r="C865">
            <v>-20</v>
          </cell>
        </row>
        <row r="866">
          <cell r="B866" t="str">
            <v>1|总公司在上一评估期内受到行政处罚</v>
          </cell>
          <cell r="C866">
            <v>-5</v>
          </cell>
        </row>
        <row r="867">
          <cell r="B867" t="str">
            <v>2|总公司在上一评估期内未受到行政处罚</v>
          </cell>
          <cell r="C867">
            <v>0</v>
          </cell>
        </row>
        <row r="868">
          <cell r="B868" t="str">
            <v>1|未受到该类行政处罚</v>
          </cell>
          <cell r="C868">
            <v>0</v>
          </cell>
        </row>
        <row r="869">
          <cell r="B869" t="str">
            <v>2|受到该类行政处罚</v>
          </cell>
          <cell r="C869">
            <v>-5</v>
          </cell>
        </row>
        <row r="870">
          <cell r="B870" t="str">
            <v>财产险公司</v>
          </cell>
          <cell r="C870">
            <v>0</v>
          </cell>
        </row>
        <row r="871">
          <cell r="B871" t="str">
            <v>人身险公司</v>
          </cell>
          <cell r="C871">
            <v>0</v>
          </cell>
        </row>
        <row r="872">
          <cell r="B872" t="str">
            <v>再保险公司</v>
          </cell>
          <cell r="C872">
            <v>0</v>
          </cell>
        </row>
        <row r="873">
          <cell r="B873">
            <v>0</v>
          </cell>
          <cell r="C873">
            <v>0</v>
          </cell>
        </row>
        <row r="874">
          <cell r="B874">
            <v>1E-8</v>
          </cell>
          <cell r="C874">
            <v>-5</v>
          </cell>
        </row>
        <row r="875">
          <cell r="B875">
            <v>40.000000004999997</v>
          </cell>
          <cell r="C875">
            <v>-10</v>
          </cell>
        </row>
        <row r="876">
          <cell r="B876">
            <v>60.000000004999997</v>
          </cell>
          <cell r="C876">
            <v>-15</v>
          </cell>
        </row>
        <row r="877">
          <cell r="B877">
            <v>0</v>
          </cell>
          <cell r="C877">
            <v>0</v>
          </cell>
        </row>
        <row r="878">
          <cell r="B878">
            <v>1E-8</v>
          </cell>
          <cell r="C878">
            <v>-5</v>
          </cell>
        </row>
        <row r="879">
          <cell r="B879">
            <v>40.000000004999997</v>
          </cell>
          <cell r="C879">
            <v>-10</v>
          </cell>
        </row>
        <row r="880">
          <cell r="B880">
            <v>60.000000004999997</v>
          </cell>
          <cell r="C880">
            <v>-15</v>
          </cell>
        </row>
        <row r="881">
          <cell r="B881">
            <v>0</v>
          </cell>
          <cell r="C881">
            <v>0</v>
          </cell>
        </row>
        <row r="882">
          <cell r="B882">
            <v>1E-8</v>
          </cell>
          <cell r="C882">
            <v>-5</v>
          </cell>
        </row>
        <row r="883">
          <cell r="B883">
            <v>19.200000002399999</v>
          </cell>
          <cell r="C883">
            <v>-10</v>
          </cell>
        </row>
        <row r="884">
          <cell r="B884">
            <v>28.800000002399997</v>
          </cell>
          <cell r="C884">
            <v>-15</v>
          </cell>
        </row>
        <row r="885">
          <cell r="B885" t="str">
            <v>财产险公司</v>
          </cell>
          <cell r="C885">
            <v>0</v>
          </cell>
        </row>
        <row r="886">
          <cell r="B886" t="str">
            <v>人身险公司</v>
          </cell>
          <cell r="C886">
            <v>0</v>
          </cell>
        </row>
        <row r="887">
          <cell r="B887" t="str">
            <v>再保险公司</v>
          </cell>
          <cell r="C887">
            <v>0</v>
          </cell>
        </row>
        <row r="888">
          <cell r="B888">
            <v>0</v>
          </cell>
          <cell r="C888">
            <v>0</v>
          </cell>
        </row>
        <row r="889">
          <cell r="B889">
            <v>1E-8</v>
          </cell>
          <cell r="C889">
            <v>-5</v>
          </cell>
        </row>
        <row r="890">
          <cell r="B890">
            <v>0.40000000004999997</v>
          </cell>
          <cell r="C890">
            <v>-10</v>
          </cell>
        </row>
        <row r="891">
          <cell r="B891">
            <v>0.60000000004999998</v>
          </cell>
          <cell r="C891">
            <v>-15</v>
          </cell>
        </row>
        <row r="892">
          <cell r="B892">
            <v>0</v>
          </cell>
          <cell r="C892">
            <v>0</v>
          </cell>
        </row>
        <row r="893">
          <cell r="B893">
            <v>1E-8</v>
          </cell>
          <cell r="C893">
            <v>-5</v>
          </cell>
        </row>
        <row r="894">
          <cell r="B894">
            <v>0.40000000004999997</v>
          </cell>
          <cell r="C894">
            <v>-10</v>
          </cell>
        </row>
        <row r="895">
          <cell r="B895">
            <v>0.60000000004999998</v>
          </cell>
          <cell r="C895">
            <v>-15</v>
          </cell>
        </row>
        <row r="896">
          <cell r="B896">
            <v>0</v>
          </cell>
          <cell r="C896">
            <v>0</v>
          </cell>
        </row>
        <row r="897">
          <cell r="B897">
            <v>1E-8</v>
          </cell>
          <cell r="C897">
            <v>-5</v>
          </cell>
        </row>
        <row r="898">
          <cell r="B898">
            <v>0.28000000003499997</v>
          </cell>
          <cell r="C898">
            <v>-10</v>
          </cell>
        </row>
        <row r="899">
          <cell r="B899">
            <v>0.42000000003499999</v>
          </cell>
          <cell r="C899">
            <v>-15</v>
          </cell>
        </row>
        <row r="900">
          <cell r="B900" t="str">
            <v>1|设置合规管理部门</v>
          </cell>
          <cell r="C900">
            <v>0</v>
          </cell>
        </row>
        <row r="901">
          <cell r="B901" t="str">
            <v>2|未设置合规管理部门</v>
          </cell>
          <cell r="C901">
            <v>-10</v>
          </cell>
        </row>
        <row r="902">
          <cell r="B902" t="str">
            <v>1|按照规定制定合规管理政策</v>
          </cell>
          <cell r="C902">
            <v>0</v>
          </cell>
        </row>
        <row r="903">
          <cell r="B903" t="str">
            <v>2|未按照规定制定合规管理政策</v>
          </cell>
          <cell r="C903">
            <v>-5</v>
          </cell>
        </row>
        <row r="904">
          <cell r="B904" t="str">
            <v>1|制定员工行为准则等落实合规政策的文件</v>
          </cell>
          <cell r="C904">
            <v>0</v>
          </cell>
        </row>
        <row r="905">
          <cell r="B905" t="str">
            <v>2|未制定员工行为准则等落实合规政策的文件</v>
          </cell>
          <cell r="C905">
            <v>-5</v>
          </cell>
        </row>
        <row r="906">
          <cell r="B906" t="str">
            <v>1|定期开展合规培训</v>
          </cell>
          <cell r="C906">
            <v>0</v>
          </cell>
        </row>
        <row r="907">
          <cell r="B907" t="str">
            <v>2|未定期开展合规培训</v>
          </cell>
          <cell r="C907">
            <v>-5</v>
          </cell>
        </row>
        <row r="908">
          <cell r="B908" t="str">
            <v>1|按时提交年度合规报告</v>
          </cell>
          <cell r="C908">
            <v>0</v>
          </cell>
        </row>
        <row r="909">
          <cell r="B909" t="str">
            <v>2|未按时提交年度合规报告</v>
          </cell>
          <cell r="C909">
            <v>-5</v>
          </cell>
        </row>
        <row r="910">
          <cell r="B910" t="str">
            <v>1|总公司被限制业务范围、责令停止接受新业务、责令停业整顿、吊销业务许可证</v>
          </cell>
          <cell r="C910">
            <v>-100</v>
          </cell>
        </row>
        <row r="911">
          <cell r="B911" t="str">
            <v>2|总公司董事长、总经理被撤销任职资格或者禁止进入保险业</v>
          </cell>
          <cell r="C911">
            <v>-100</v>
          </cell>
        </row>
        <row r="912">
          <cell r="B912" t="str">
            <v>3|无</v>
          </cell>
          <cell r="C912">
            <v>0</v>
          </cell>
        </row>
        <row r="917">
          <cell r="B917">
            <v>-10000000</v>
          </cell>
          <cell r="C917">
            <v>0</v>
          </cell>
        </row>
        <row r="918">
          <cell r="B918">
            <v>0</v>
          </cell>
          <cell r="C918">
            <v>10</v>
          </cell>
        </row>
        <row r="919">
          <cell r="B919">
            <v>-10000000</v>
          </cell>
          <cell r="C919">
            <v>0</v>
          </cell>
        </row>
        <row r="920">
          <cell r="B920">
            <v>0</v>
          </cell>
          <cell r="C920">
            <v>2.5</v>
          </cell>
        </row>
        <row r="921">
          <cell r="B921">
            <v>-10000000</v>
          </cell>
          <cell r="C921">
            <v>0</v>
          </cell>
        </row>
        <row r="922">
          <cell r="B922">
            <v>0</v>
          </cell>
          <cell r="C922">
            <v>2</v>
          </cell>
        </row>
        <row r="923">
          <cell r="B923">
            <v>-10000000</v>
          </cell>
          <cell r="C923">
            <v>0</v>
          </cell>
        </row>
        <row r="924">
          <cell r="B924">
            <v>0</v>
          </cell>
          <cell r="C924">
            <v>1</v>
          </cell>
        </row>
        <row r="925">
          <cell r="B925">
            <v>-10000000</v>
          </cell>
          <cell r="C925">
            <v>0</v>
          </cell>
        </row>
        <row r="926">
          <cell r="B926">
            <v>0</v>
          </cell>
          <cell r="C926">
            <v>1.25</v>
          </cell>
        </row>
        <row r="927">
          <cell r="B927">
            <v>-10000000</v>
          </cell>
          <cell r="C927">
            <v>0</v>
          </cell>
        </row>
        <row r="928">
          <cell r="B928">
            <v>0</v>
          </cell>
          <cell r="C928">
            <v>1</v>
          </cell>
        </row>
        <row r="929">
          <cell r="B929">
            <v>-10000000</v>
          </cell>
          <cell r="C929">
            <v>0</v>
          </cell>
        </row>
        <row r="930">
          <cell r="B930">
            <v>0</v>
          </cell>
          <cell r="C930">
            <v>0.5</v>
          </cell>
        </row>
        <row r="931">
          <cell r="B931">
            <v>-100000</v>
          </cell>
          <cell r="C931">
            <v>0</v>
          </cell>
        </row>
        <row r="932">
          <cell r="B932">
            <v>1</v>
          </cell>
          <cell r="C932">
            <v>10</v>
          </cell>
        </row>
        <row r="933">
          <cell r="B933">
            <v>-100000</v>
          </cell>
          <cell r="C933">
            <v>0</v>
          </cell>
        </row>
        <row r="934">
          <cell r="B934">
            <v>1</v>
          </cell>
          <cell r="C934">
            <v>6</v>
          </cell>
        </row>
        <row r="935">
          <cell r="B935">
            <v>-10000000</v>
          </cell>
          <cell r="C935">
            <v>0</v>
          </cell>
        </row>
        <row r="936">
          <cell r="B936">
            <v>0.5</v>
          </cell>
          <cell r="C936">
            <v>1.25</v>
          </cell>
        </row>
        <row r="937">
          <cell r="B937">
            <v>0.8</v>
          </cell>
          <cell r="C937">
            <v>3.75</v>
          </cell>
        </row>
        <row r="938">
          <cell r="B938">
            <v>1</v>
          </cell>
          <cell r="C938">
            <v>6.25</v>
          </cell>
        </row>
        <row r="939">
          <cell r="B939">
            <v>2</v>
          </cell>
          <cell r="C939">
            <v>7.5</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目录"/>
      <sheetName val="权重分配表"/>
      <sheetName val="法人机构封面页"/>
      <sheetName val="分支机构封面页"/>
      <sheetName val="附件1-1产险销售"/>
      <sheetName val="附件1-2寿险销售"/>
      <sheetName val="附件1-3-1分支产险销售"/>
      <sheetName val="附件1-3-2分支寿险销售"/>
      <sheetName val="附件2-1产险理赔"/>
      <sheetName val="附件2-2寿险理赔"/>
      <sheetName val="附件2-3-1分支产险理赔"/>
      <sheetName val="附件2-3-2分支寿险理赔"/>
      <sheetName val="附件3再保"/>
      <sheetName val="附件4资金运用"/>
      <sheetName val="附件5公司治理"/>
      <sheetName val="附件6-1法人财务"/>
      <sheetName val="附件6-2分支财务"/>
      <sheetName val="附件7-1产险准备金"/>
      <sheetName val="附件7-2寿险准备金"/>
      <sheetName val="附件8信息系统"/>
      <sheetName val="附件9案件管理 "/>
      <sheetName val="附件10合规风险"/>
      <sheetName val="附件11战略风险"/>
      <sheetName val="附件12-1声誉风险"/>
      <sheetName val="附件13流动性风险评价表"/>
    </sheetNames>
    <sheetDataSet>
      <sheetData sheetId="0"/>
      <sheetData sheetId="1"/>
      <sheetData sheetId="2"/>
      <sheetData sheetId="3">
        <row r="1">
          <cell r="H1" t="str">
            <v>北京保监局</v>
          </cell>
        </row>
        <row r="2">
          <cell r="H2" t="str">
            <v>天津保监局</v>
          </cell>
        </row>
        <row r="3">
          <cell r="H3" t="str">
            <v>河北保监局</v>
          </cell>
        </row>
        <row r="4">
          <cell r="H4" t="str">
            <v>山西保监局</v>
          </cell>
        </row>
        <row r="5">
          <cell r="H5" t="str">
            <v>内蒙古保监局</v>
          </cell>
        </row>
        <row r="6">
          <cell r="H6" t="str">
            <v>辽宁保监局</v>
          </cell>
        </row>
        <row r="7">
          <cell r="H7" t="str">
            <v>吉林保监局</v>
          </cell>
        </row>
        <row r="8">
          <cell r="H8" t="str">
            <v>黑龙江保监局</v>
          </cell>
        </row>
        <row r="9">
          <cell r="H9" t="str">
            <v>上海保监局</v>
          </cell>
        </row>
        <row r="10">
          <cell r="H10" t="str">
            <v>江苏保监局</v>
          </cell>
        </row>
        <row r="11">
          <cell r="H11" t="str">
            <v>浙江保监局</v>
          </cell>
        </row>
        <row r="12">
          <cell r="H12" t="str">
            <v>安徽保监局</v>
          </cell>
        </row>
        <row r="13">
          <cell r="H13" t="str">
            <v>福建保监局</v>
          </cell>
        </row>
        <row r="14">
          <cell r="H14" t="str">
            <v>江西保监局</v>
          </cell>
        </row>
        <row r="15">
          <cell r="H15" t="str">
            <v>山东保监局</v>
          </cell>
        </row>
        <row r="16">
          <cell r="H16" t="str">
            <v>河南保监局</v>
          </cell>
        </row>
        <row r="17">
          <cell r="H17" t="str">
            <v>湖北保监局</v>
          </cell>
        </row>
        <row r="18">
          <cell r="H18" t="str">
            <v>湖南保监局</v>
          </cell>
        </row>
        <row r="19">
          <cell r="H19" t="str">
            <v>广东保监局</v>
          </cell>
        </row>
        <row r="20">
          <cell r="H20" t="str">
            <v>广西保监局</v>
          </cell>
        </row>
        <row r="21">
          <cell r="H21" t="str">
            <v>海南保监局</v>
          </cell>
        </row>
        <row r="22">
          <cell r="H22" t="str">
            <v>重庆保监局</v>
          </cell>
        </row>
        <row r="23">
          <cell r="H23" t="str">
            <v>四川保监局</v>
          </cell>
        </row>
        <row r="24">
          <cell r="H24" t="str">
            <v>贵州保监局</v>
          </cell>
        </row>
        <row r="25">
          <cell r="H25" t="str">
            <v>云南保监局</v>
          </cell>
        </row>
        <row r="26">
          <cell r="H26" t="str">
            <v>西藏保监局</v>
          </cell>
        </row>
        <row r="27">
          <cell r="H27" t="str">
            <v>陕西保监局</v>
          </cell>
        </row>
        <row r="28">
          <cell r="H28" t="str">
            <v>甘肃保监局</v>
          </cell>
        </row>
        <row r="29">
          <cell r="H29" t="str">
            <v>青海保监局</v>
          </cell>
        </row>
        <row r="30">
          <cell r="H30" t="str">
            <v>宁夏保监局</v>
          </cell>
        </row>
        <row r="31">
          <cell r="H31" t="str">
            <v>新疆保监局</v>
          </cell>
        </row>
        <row r="32">
          <cell r="H32" t="str">
            <v>深圳保监局</v>
          </cell>
        </row>
        <row r="33">
          <cell r="H33" t="str">
            <v>大连保监局</v>
          </cell>
        </row>
        <row r="34">
          <cell r="H34" t="str">
            <v>宁波保监局</v>
          </cell>
        </row>
        <row r="35">
          <cell r="H35" t="str">
            <v>青岛保监局</v>
          </cell>
        </row>
        <row r="36">
          <cell r="H36" t="str">
            <v>厦门保监局</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徐梦薇/Mengwei Xu" refreshedDate="43614.448198148151" createdVersion="3" refreshedVersion="3" minRefreshableVersion="3" recordCount="50">
  <cacheSource type="worksheet">
    <worksheetSource ref="A1:F51" sheet="犹豫期内电话回访成功率"/>
  </cacheSource>
  <cacheFields count="6">
    <cacheField name="渠道" numFmtId="0">
      <sharedItems count="5">
        <s v="个险"/>
        <s v="团险"/>
        <s v="银保"/>
        <s v="多元"/>
        <s v="续期"/>
      </sharedItems>
    </cacheField>
    <cacheField name="分公司" numFmtId="0">
      <sharedItems/>
    </cacheField>
    <cacheField name="评估期内通过电话回访方式在犹豫期内完成新契约回访的保单件数" numFmtId="0">
      <sharedItems containsString="0" containsBlank="1" containsNumber="1" containsInteger="1" minValue="2" maxValue="3096"/>
    </cacheField>
    <cacheField name="评估期内承保的保单件数" numFmtId="0">
      <sharedItems containsString="0" containsBlank="1" containsNumber="1" containsInteger="1" minValue="2" maxValue="3110"/>
    </cacheField>
    <cacheField name="犹豫期内电话回访成功率" numFmtId="0">
      <sharedItems containsString="0" containsBlank="1" containsNumber="1" minValue="0.92307692307692313" maxValue="1"/>
    </cacheField>
    <cacheField name="得分" numFmtId="0">
      <sharedItems containsString="0" containsBlank="1" containsNumber="1" containsInteger="1" minValue="2" maxValue="2"/>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徐梦薇/Mengwei Xu" refreshedDate="43689.406466319444" createdVersion="3" refreshedVersion="3" minRefreshableVersion="3" recordCount="60">
  <cacheSource type="worksheet">
    <worksheetSource ref="A1:G61" sheet="员工流失率"/>
  </cacheSource>
  <cacheFields count="7">
    <cacheField name="渠道" numFmtId="0">
      <sharedItems count="6">
        <s v="客服"/>
        <s v="个险"/>
        <s v="团险"/>
        <s v="银保"/>
        <s v="多元"/>
        <s v="续期"/>
      </sharedItems>
    </cacheField>
    <cacheField name="分公司" numFmtId="0">
      <sharedItems/>
    </cacheField>
    <cacheField name="最近4个季度省级分公司及以下分支机构销售、承保、保全部门离职员工人数" numFmtId="0">
      <sharedItems containsSemiMixedTypes="0" containsString="0" containsNumber="1" containsInteger="1" minValue="0" maxValue="37"/>
    </cacheField>
    <cacheField name="前4个季度初省级分公司及以下分支机构销售、承保、保全部门员工人数" numFmtId="0">
      <sharedItems containsSemiMixedTypes="0" containsString="0" containsNumber="1" containsInteger="1" minValue="0" maxValue="95"/>
    </cacheField>
    <cacheField name="最近4个季度省级分公司及以下分支机构销售、承保、保全部门增加员工人数" numFmtId="0">
      <sharedItems containsSemiMixedTypes="0" containsString="0" containsNumber="1" containsInteger="1" minValue="0" maxValue="38"/>
    </cacheField>
    <cacheField name="离职率" numFmtId="10">
      <sharedItems containsString="0" containsBlank="1" containsNumber="1" minValue="0" maxValue="1"/>
    </cacheField>
    <cacheField name="得分" numFmtId="43">
      <sharedItems containsString="0" containsBlank="1" containsNumber="1" minValue="0" maxValue="3"/>
    </cacheField>
  </cacheFields>
</pivotCacheDefinition>
</file>

<file path=xl/pivotCache/pivotCacheDefinition3.xml><?xml version="1.0" encoding="utf-8"?>
<pivotCacheDefinition xmlns="http://schemas.openxmlformats.org/spreadsheetml/2006/main" xmlns:r="http://schemas.openxmlformats.org/officeDocument/2006/relationships" r:id="rId1" refreshedBy="徐梦薇/Mengwei Xu" refreshedDate="43689.41628888889" createdVersion="3" refreshedVersion="3" minRefreshableVersion="3" recordCount="121">
  <cacheSource type="worksheet">
    <worksheetSource ref="C1:G1048576" sheet="续期收费率"/>
  </cacheSource>
  <cacheFields count="5">
    <cacheField name="业务渠道" numFmtId="0">
      <sharedItems containsBlank="1" count="5">
        <s v="个险"/>
        <s v="多元"/>
        <s v="银保"/>
        <s v="收展"/>
        <m/>
      </sharedItems>
    </cacheField>
    <cacheField name="实收保费" numFmtId="0">
      <sharedItems containsString="0" containsBlank="1" containsNumber="1" containsInteger="1" minValue="0" maxValue="27248861"/>
    </cacheField>
    <cacheField name="应收保费" numFmtId="0">
      <sharedItems containsString="0" containsBlank="1" containsNumber="1" containsInteger="1" minValue="0" maxValue="28567971"/>
    </cacheField>
    <cacheField name="保费继续率" numFmtId="10">
      <sharedItems containsString="0" containsBlank="1" containsNumber="1" minValue="0.66050001570454409" maxValue="1.0006416247053409"/>
    </cacheField>
    <cacheField name="得分" numFmtId="0">
      <sharedItems containsString="0" containsBlank="1" containsNumber="1" minValue="0" maxValue="3"/>
    </cacheField>
  </cacheFields>
</pivotCacheDefinition>
</file>

<file path=xl/pivotCache/pivotCacheDefinition4.xml><?xml version="1.0" encoding="utf-8"?>
<pivotCacheDefinition xmlns="http://schemas.openxmlformats.org/spreadsheetml/2006/main" xmlns:r="http://schemas.openxmlformats.org/officeDocument/2006/relationships" r:id="rId1" refreshedBy="徐梦薇/Mengwei Xu" refreshedDate="43689.431791435185" createdVersion="3" refreshedVersion="3" minRefreshableVersion="3" recordCount="50">
  <cacheSource type="worksheet">
    <worksheetSource ref="A1:F51" sheet="新契约回访完成率"/>
  </cacheSource>
  <cacheFields count="6">
    <cacheField name="渠道" numFmtId="0">
      <sharedItems count="5">
        <s v="个险"/>
        <s v="团险"/>
        <s v="银保"/>
        <s v="多元"/>
        <s v="续期"/>
      </sharedItems>
    </cacheField>
    <cacheField name="分公司" numFmtId="0">
      <sharedItems/>
    </cacheField>
    <cacheField name="评估期内承保的保单中完成回访的保单件数" numFmtId="0">
      <sharedItems containsString="0" containsBlank="1" containsNumber="1" containsInteger="1" minValue="1" maxValue="3074"/>
    </cacheField>
    <cacheField name="评估期内承保的保单件数" numFmtId="0">
      <sharedItems containsString="0" containsBlank="1" containsNumber="1" containsInteger="1" minValue="1" maxValue="3106"/>
    </cacheField>
    <cacheField name="新契约回访完成率" numFmtId="10">
      <sharedItems containsString="0" containsBlank="1" containsNumber="1" minValue="0.92664092664092668" maxValue="1"/>
    </cacheField>
    <cacheField name="得分" numFmtId="0">
      <sharedItems containsString="0" containsBlank="1" containsNumber="1" containsInteger="1" minValue="1" maxValue="2"/>
    </cacheField>
  </cacheFields>
</pivotCacheDefinition>
</file>

<file path=xl/pivotCache/pivotCacheDefinition5.xml><?xml version="1.0" encoding="utf-8"?>
<pivotCacheDefinition xmlns="http://schemas.openxmlformats.org/spreadsheetml/2006/main" xmlns:r="http://schemas.openxmlformats.org/officeDocument/2006/relationships" r:id="rId1" refreshedBy="徐梦薇/Mengwei Xu" refreshedDate="43689.485972800925" createdVersion="3" refreshedVersion="3" minRefreshableVersion="3" recordCount="62">
  <cacheSource type="worksheet">
    <worksheetSource ref="A1:H63" sheet="退撤保率"/>
  </cacheSource>
  <cacheFields count="8">
    <cacheField name="渠道" numFmtId="0">
      <sharedItems count="6">
        <s v="多元"/>
        <s v="个险"/>
        <s v="团险"/>
        <s v="网销"/>
        <s v="续期"/>
        <s v="银保"/>
      </sharedItems>
    </cacheField>
    <cacheField name="分公司" numFmtId="0">
      <sharedItems/>
    </cacheField>
    <cacheField name="退保金" numFmtId="0">
      <sharedItems containsString="0" containsBlank="1" containsNumber="1" minValue="0" maxValue="3313395.09"/>
    </cacheField>
    <cacheField name="撤保金" numFmtId="0">
      <sharedItems containsString="0" containsBlank="1" containsNumber="1" containsInteger="1" minValue="0" maxValue="9030000"/>
    </cacheField>
    <cacheField name="实收保费" numFmtId="0">
      <sharedItems containsString="0" containsBlank="1" containsNumber="1" minValue="303.75" maxValue="108709347.52000001"/>
    </cacheField>
    <cacheField name="预收保费" numFmtId="0">
      <sharedItems containsString="0" containsBlank="1" containsNumber="1" containsInteger="1" minValue="0" maxValue="36204875"/>
    </cacheField>
    <cacheField name="退撤保率" numFmtId="10">
      <sharedItems containsString="0" containsBlank="1" containsNumber="1" minValue="0" maxValue="1.5508201204710066"/>
    </cacheField>
    <cacheField name="分数" numFmtId="0">
      <sharedItems containsString="0" containsBlank="1" containsNumber="1" minValue="0" maxValue="3"/>
    </cacheField>
  </cacheFields>
</pivotCacheDefinition>
</file>

<file path=xl/pivotCache/pivotCacheRecords1.xml><?xml version="1.0" encoding="utf-8"?>
<pivotCacheRecords xmlns="http://schemas.openxmlformats.org/spreadsheetml/2006/main" xmlns:r="http://schemas.openxmlformats.org/officeDocument/2006/relationships" count="50">
  <r>
    <x v="0"/>
    <s v="北京"/>
    <n v="192"/>
    <n v="196"/>
    <n v="0.97959183673469385"/>
    <n v="2"/>
  </r>
  <r>
    <x v="1"/>
    <s v="北京"/>
    <n v="2"/>
    <n v="2"/>
    <n v="1"/>
    <n v="2"/>
  </r>
  <r>
    <x v="2"/>
    <s v="北京"/>
    <n v="25"/>
    <n v="26"/>
    <n v="0.96153846153846156"/>
    <n v="2"/>
  </r>
  <r>
    <x v="3"/>
    <s v="北京"/>
    <n v="272"/>
    <n v="291"/>
    <n v="0.93470790378006874"/>
    <n v="2"/>
  </r>
  <r>
    <x v="4"/>
    <s v="北京"/>
    <n v="24"/>
    <n v="24"/>
    <n v="1"/>
    <n v="2"/>
  </r>
  <r>
    <x v="0"/>
    <s v="天津"/>
    <n v="2064"/>
    <n v="2074"/>
    <n v="0.9951783992285439"/>
    <n v="2"/>
  </r>
  <r>
    <x v="1"/>
    <s v="天津"/>
    <n v="15"/>
    <n v="15"/>
    <n v="1"/>
    <n v="2"/>
  </r>
  <r>
    <x v="2"/>
    <s v="天津"/>
    <n v="313"/>
    <n v="314"/>
    <n v="0.99681528662420382"/>
    <n v="2"/>
  </r>
  <r>
    <x v="3"/>
    <s v="天津"/>
    <m/>
    <m/>
    <m/>
    <m/>
  </r>
  <r>
    <x v="4"/>
    <s v="天津"/>
    <n v="46"/>
    <n v="46"/>
    <n v="1"/>
    <n v="2"/>
  </r>
  <r>
    <x v="0"/>
    <s v="辽宁"/>
    <n v="3096"/>
    <n v="3110"/>
    <n v="0.99549839228295822"/>
    <n v="2"/>
  </r>
  <r>
    <x v="1"/>
    <s v="辽宁"/>
    <m/>
    <m/>
    <m/>
    <m/>
  </r>
  <r>
    <x v="2"/>
    <s v="辽宁"/>
    <m/>
    <m/>
    <m/>
    <m/>
  </r>
  <r>
    <x v="3"/>
    <s v="辽宁"/>
    <n v="947"/>
    <n v="965"/>
    <n v="0.98134715025906738"/>
    <n v="2"/>
  </r>
  <r>
    <x v="4"/>
    <s v="辽宁"/>
    <n v="86"/>
    <n v="86"/>
    <n v="1"/>
    <n v="2"/>
  </r>
  <r>
    <x v="0"/>
    <s v="大连"/>
    <n v="281"/>
    <n v="282"/>
    <n v="0.99645390070921991"/>
    <n v="2"/>
  </r>
  <r>
    <x v="1"/>
    <s v="大连"/>
    <m/>
    <m/>
    <m/>
    <m/>
  </r>
  <r>
    <x v="2"/>
    <s v="大连"/>
    <n v="761"/>
    <n v="775"/>
    <n v="0.98193548387096774"/>
    <n v="2"/>
  </r>
  <r>
    <x v="3"/>
    <s v="大连"/>
    <m/>
    <m/>
    <m/>
    <m/>
  </r>
  <r>
    <x v="4"/>
    <s v="大连"/>
    <n v="7"/>
    <n v="7"/>
    <n v="1"/>
    <n v="2"/>
  </r>
  <r>
    <x v="0"/>
    <s v="江苏"/>
    <n v="2884"/>
    <n v="2909"/>
    <n v="0.99140598143691994"/>
    <n v="2"/>
  </r>
  <r>
    <x v="1"/>
    <s v="江苏"/>
    <n v="4"/>
    <n v="4"/>
    <n v="1"/>
    <n v="2"/>
  </r>
  <r>
    <x v="2"/>
    <s v="江苏"/>
    <m/>
    <m/>
    <m/>
    <m/>
  </r>
  <r>
    <x v="3"/>
    <s v="江苏"/>
    <n v="697"/>
    <n v="715"/>
    <n v="0.97482517482517483"/>
    <n v="2"/>
  </r>
  <r>
    <x v="4"/>
    <s v="江苏"/>
    <n v="71"/>
    <n v="73"/>
    <n v="0.9726027397260274"/>
    <n v="2"/>
  </r>
  <r>
    <x v="0"/>
    <s v="山东"/>
    <n v="2479"/>
    <n v="2481"/>
    <n v="0.99919387343812982"/>
    <n v="2"/>
  </r>
  <r>
    <x v="1"/>
    <s v="山东"/>
    <n v="5"/>
    <n v="5"/>
    <n v="1"/>
    <n v="2"/>
  </r>
  <r>
    <x v="2"/>
    <s v="山东"/>
    <n v="168"/>
    <n v="168"/>
    <n v="1"/>
    <n v="2"/>
  </r>
  <r>
    <x v="3"/>
    <s v="山东"/>
    <n v="1140"/>
    <n v="1147"/>
    <n v="0.99389712292938104"/>
    <n v="2"/>
  </r>
  <r>
    <x v="4"/>
    <s v="山东"/>
    <n v="70"/>
    <n v="70"/>
    <n v="1"/>
    <n v="2"/>
  </r>
  <r>
    <x v="0"/>
    <s v="青岛"/>
    <n v="634"/>
    <n v="637"/>
    <n v="0.9952904238618524"/>
    <n v="2"/>
  </r>
  <r>
    <x v="1"/>
    <s v="青岛"/>
    <m/>
    <m/>
    <m/>
    <m/>
  </r>
  <r>
    <x v="2"/>
    <s v="青岛"/>
    <m/>
    <m/>
    <m/>
    <m/>
  </r>
  <r>
    <x v="3"/>
    <s v="青岛"/>
    <m/>
    <m/>
    <m/>
    <m/>
  </r>
  <r>
    <x v="4"/>
    <s v="青岛"/>
    <n v="8"/>
    <n v="8"/>
    <n v="1"/>
    <n v="2"/>
  </r>
  <r>
    <x v="0"/>
    <s v="河南"/>
    <n v="2163"/>
    <n v="2171"/>
    <n v="0.99631506218332566"/>
    <n v="2"/>
  </r>
  <r>
    <x v="1"/>
    <s v="河南"/>
    <m/>
    <m/>
    <m/>
    <m/>
  </r>
  <r>
    <x v="2"/>
    <s v="河南"/>
    <n v="425"/>
    <n v="428"/>
    <n v="0.9929906542056075"/>
    <n v="2"/>
  </r>
  <r>
    <x v="3"/>
    <s v="河南"/>
    <n v="662"/>
    <n v="670"/>
    <n v="0.9880597014925373"/>
    <n v="2"/>
  </r>
  <r>
    <x v="4"/>
    <s v="河南"/>
    <n v="28"/>
    <n v="28"/>
    <n v="1"/>
    <n v="2"/>
  </r>
  <r>
    <x v="0"/>
    <s v="广东"/>
    <n v="915"/>
    <n v="938"/>
    <n v="0.97547974413646055"/>
    <n v="2"/>
  </r>
  <r>
    <x v="1"/>
    <s v="广东"/>
    <m/>
    <m/>
    <m/>
    <m/>
  </r>
  <r>
    <x v="2"/>
    <s v="广东"/>
    <m/>
    <m/>
    <m/>
    <m/>
  </r>
  <r>
    <x v="3"/>
    <s v="广东"/>
    <n v="143"/>
    <n v="146"/>
    <n v="0.97945205479452058"/>
    <n v="2"/>
  </r>
  <r>
    <x v="4"/>
    <s v="广东"/>
    <n v="12"/>
    <n v="13"/>
    <n v="0.92307692307692313"/>
    <n v="2"/>
  </r>
  <r>
    <x v="0"/>
    <s v="四川"/>
    <n v="1086"/>
    <n v="1094"/>
    <n v="0.99268738574040216"/>
    <n v="2"/>
  </r>
  <r>
    <x v="1"/>
    <s v="四川"/>
    <n v="6"/>
    <n v="6"/>
    <n v="1"/>
    <n v="2"/>
  </r>
  <r>
    <x v="2"/>
    <s v="四川"/>
    <n v="13"/>
    <n v="13"/>
    <n v="1"/>
    <n v="2"/>
  </r>
  <r>
    <x v="3"/>
    <s v="四川"/>
    <n v="322"/>
    <n v="340"/>
    <n v="0.94705882352941173"/>
    <n v="2"/>
  </r>
  <r>
    <x v="4"/>
    <s v="四川"/>
    <n v="13"/>
    <n v="13"/>
    <n v="1"/>
    <n v="2"/>
  </r>
</pivotCacheRecords>
</file>

<file path=xl/pivotCache/pivotCacheRecords2.xml><?xml version="1.0" encoding="utf-8"?>
<pivotCacheRecords xmlns="http://schemas.openxmlformats.org/spreadsheetml/2006/main" xmlns:r="http://schemas.openxmlformats.org/officeDocument/2006/relationships" count="60">
  <r>
    <x v="0"/>
    <s v="北京"/>
    <n v="5"/>
    <n v="4"/>
    <n v="3"/>
    <n v="0.7142857142857143"/>
    <n v="0"/>
  </r>
  <r>
    <x v="1"/>
    <s v="北京"/>
    <n v="2"/>
    <n v="13"/>
    <n v="8"/>
    <n v="9.5238095238095233E-2"/>
    <n v="3"/>
  </r>
  <r>
    <x v="2"/>
    <s v="北京"/>
    <n v="4"/>
    <n v="9"/>
    <n v="3"/>
    <n v="0.33333333333333331"/>
    <n v="0"/>
  </r>
  <r>
    <x v="3"/>
    <s v="北京"/>
    <n v="9"/>
    <n v="8"/>
    <n v="7"/>
    <n v="0.6"/>
    <n v="0"/>
  </r>
  <r>
    <x v="4"/>
    <s v="北京"/>
    <n v="1"/>
    <n v="5"/>
    <n v="3"/>
    <n v="0.125"/>
    <n v="3"/>
  </r>
  <r>
    <x v="5"/>
    <s v="北京"/>
    <n v="0"/>
    <n v="4"/>
    <n v="0"/>
    <n v="0"/>
    <n v="3"/>
  </r>
  <r>
    <x v="0"/>
    <s v="天津"/>
    <n v="1"/>
    <n v="6"/>
    <n v="2"/>
    <n v="0.125"/>
    <n v="3"/>
  </r>
  <r>
    <x v="1"/>
    <s v="天津"/>
    <n v="16"/>
    <n v="66"/>
    <n v="26"/>
    <n v="0.17391304347826086"/>
    <n v="1.5"/>
  </r>
  <r>
    <x v="2"/>
    <s v="天津"/>
    <n v="1"/>
    <n v="23"/>
    <n v="6"/>
    <n v="3.4482758620689655E-2"/>
    <n v="3"/>
  </r>
  <r>
    <x v="3"/>
    <s v="天津"/>
    <n v="2"/>
    <n v="26"/>
    <n v="6"/>
    <n v="6.25E-2"/>
    <n v="3"/>
  </r>
  <r>
    <x v="4"/>
    <s v="天津"/>
    <n v="0"/>
    <n v="0"/>
    <n v="0"/>
    <m/>
    <m/>
  </r>
  <r>
    <x v="5"/>
    <s v="天津"/>
    <n v="1"/>
    <n v="8"/>
    <n v="3"/>
    <n v="9.0909090909090912E-2"/>
    <n v="3"/>
  </r>
  <r>
    <x v="0"/>
    <s v="辽宁"/>
    <n v="1"/>
    <n v="7"/>
    <n v="1"/>
    <n v="0.125"/>
    <n v="3"/>
  </r>
  <r>
    <x v="1"/>
    <s v="辽宁"/>
    <n v="12"/>
    <n v="61"/>
    <n v="18"/>
    <n v="0.15189873417721519"/>
    <n v="1.5"/>
  </r>
  <r>
    <x v="2"/>
    <s v="辽宁"/>
    <n v="3"/>
    <n v="0"/>
    <n v="3"/>
    <n v="1"/>
    <n v="0"/>
  </r>
  <r>
    <x v="3"/>
    <s v="辽宁"/>
    <n v="0"/>
    <n v="0"/>
    <n v="0"/>
    <m/>
    <m/>
  </r>
  <r>
    <x v="4"/>
    <s v="辽宁"/>
    <n v="2"/>
    <n v="14"/>
    <n v="2"/>
    <n v="0.125"/>
    <n v="3"/>
  </r>
  <r>
    <x v="5"/>
    <s v="辽宁"/>
    <n v="3"/>
    <n v="15"/>
    <n v="6"/>
    <n v="0.14285714285714285"/>
    <n v="3"/>
  </r>
  <r>
    <x v="0"/>
    <s v="大连"/>
    <n v="1"/>
    <n v="3"/>
    <n v="2"/>
    <n v="0.2"/>
    <n v="1.5"/>
  </r>
  <r>
    <x v="1"/>
    <s v="大连"/>
    <n v="3"/>
    <n v="10"/>
    <n v="9"/>
    <n v="0.15789473684210525"/>
    <n v="1.5"/>
  </r>
  <r>
    <x v="2"/>
    <s v="大连"/>
    <n v="1"/>
    <n v="0"/>
    <n v="1"/>
    <n v="1"/>
    <n v="0"/>
  </r>
  <r>
    <x v="3"/>
    <s v="大连"/>
    <n v="11"/>
    <n v="23"/>
    <n v="9"/>
    <n v="0.34375"/>
    <n v="0"/>
  </r>
  <r>
    <x v="4"/>
    <s v="大连"/>
    <n v="0"/>
    <n v="0"/>
    <n v="0"/>
    <m/>
    <m/>
  </r>
  <r>
    <x v="5"/>
    <s v="大连"/>
    <n v="2"/>
    <n v="4"/>
    <n v="1"/>
    <n v="0.4"/>
    <n v="0"/>
  </r>
  <r>
    <x v="0"/>
    <s v="江苏"/>
    <n v="2"/>
    <n v="5"/>
    <n v="2"/>
    <n v="0.2857142857142857"/>
    <n v="1.5"/>
  </r>
  <r>
    <x v="1"/>
    <s v="江苏"/>
    <n v="24"/>
    <n v="65"/>
    <n v="26"/>
    <n v="0.26373626373626374"/>
    <n v="1.5"/>
  </r>
  <r>
    <x v="2"/>
    <s v="江苏"/>
    <n v="4"/>
    <n v="18"/>
    <n v="6"/>
    <n v="0.16666666666666666"/>
    <n v="1.5"/>
  </r>
  <r>
    <x v="3"/>
    <s v="江苏"/>
    <n v="11"/>
    <n v="13"/>
    <n v="2"/>
    <n v="0.73333333333333328"/>
    <n v="0"/>
  </r>
  <r>
    <x v="4"/>
    <s v="江苏"/>
    <n v="3"/>
    <n v="7"/>
    <n v="3"/>
    <n v="0.3"/>
    <n v="1.5"/>
  </r>
  <r>
    <x v="5"/>
    <s v="江苏"/>
    <n v="4"/>
    <n v="12"/>
    <n v="12"/>
    <n v="0.16666666666666666"/>
    <n v="1.5"/>
  </r>
  <r>
    <x v="0"/>
    <s v="山东"/>
    <n v="1"/>
    <n v="5"/>
    <n v="3"/>
    <n v="0.125"/>
    <n v="3"/>
  </r>
  <r>
    <x v="1"/>
    <s v="山东"/>
    <n v="22"/>
    <n v="95"/>
    <n v="38"/>
    <n v="0.16541353383458646"/>
    <n v="1.5"/>
  </r>
  <r>
    <x v="2"/>
    <s v="山东"/>
    <n v="6"/>
    <n v="20"/>
    <n v="4"/>
    <n v="0.25"/>
    <n v="1.5"/>
  </r>
  <r>
    <x v="3"/>
    <s v="山东"/>
    <n v="29"/>
    <n v="29"/>
    <n v="25"/>
    <n v="0.53703703703703709"/>
    <n v="0"/>
  </r>
  <r>
    <x v="4"/>
    <s v="山东"/>
    <n v="4"/>
    <n v="11"/>
    <n v="5"/>
    <n v="0.25"/>
    <n v="1.5"/>
  </r>
  <r>
    <x v="5"/>
    <s v="山东"/>
    <n v="3"/>
    <n v="18"/>
    <n v="4"/>
    <n v="0.13636363636363635"/>
    <n v="3"/>
  </r>
  <r>
    <x v="0"/>
    <s v="青岛"/>
    <n v="2"/>
    <n v="3"/>
    <n v="2"/>
    <n v="0.4"/>
    <n v="0"/>
  </r>
  <r>
    <x v="1"/>
    <s v="青岛"/>
    <n v="8"/>
    <n v="19"/>
    <n v="14"/>
    <n v="0.24242424242424243"/>
    <n v="1.5"/>
  </r>
  <r>
    <x v="2"/>
    <s v="青岛"/>
    <n v="3"/>
    <n v="5"/>
    <n v="2"/>
    <n v="0.42857142857142855"/>
    <n v="0"/>
  </r>
  <r>
    <x v="3"/>
    <s v="青岛"/>
    <n v="0"/>
    <n v="0"/>
    <n v="0"/>
    <m/>
    <m/>
  </r>
  <r>
    <x v="4"/>
    <s v="青岛"/>
    <n v="0"/>
    <n v="0"/>
    <n v="1"/>
    <n v="0"/>
    <n v="3"/>
  </r>
  <r>
    <x v="5"/>
    <s v="青岛"/>
    <n v="4"/>
    <n v="5"/>
    <n v="3"/>
    <n v="0.5"/>
    <n v="0"/>
  </r>
  <r>
    <x v="0"/>
    <s v="河南"/>
    <n v="0"/>
    <n v="7"/>
    <n v="2"/>
    <n v="0"/>
    <n v="3"/>
  </r>
  <r>
    <x v="1"/>
    <s v="河南"/>
    <n v="16"/>
    <n v="65"/>
    <n v="24"/>
    <n v="0.1797752808988764"/>
    <n v="1.5"/>
  </r>
  <r>
    <x v="2"/>
    <s v="河南"/>
    <n v="4"/>
    <n v="7"/>
    <n v="2"/>
    <n v="0.44444444444444442"/>
    <n v="0"/>
  </r>
  <r>
    <x v="3"/>
    <s v="河南"/>
    <n v="37"/>
    <n v="61"/>
    <n v="24"/>
    <n v="0.43529411764705883"/>
    <n v="0"/>
  </r>
  <r>
    <x v="4"/>
    <s v="河南"/>
    <n v="1"/>
    <n v="5"/>
    <n v="4"/>
    <n v="0.1111111111111111"/>
    <n v="3"/>
  </r>
  <r>
    <x v="5"/>
    <s v="河南"/>
    <n v="3"/>
    <n v="8"/>
    <n v="6"/>
    <n v="0.21428571428571427"/>
    <n v="1.5"/>
  </r>
  <r>
    <x v="0"/>
    <s v="广东"/>
    <n v="3"/>
    <n v="3"/>
    <n v="3"/>
    <n v="0.5"/>
    <n v="0"/>
  </r>
  <r>
    <x v="1"/>
    <s v="广东"/>
    <n v="12"/>
    <n v="25"/>
    <n v="17"/>
    <n v="0.2857142857142857"/>
    <n v="1.5"/>
  </r>
  <r>
    <x v="2"/>
    <s v="广东"/>
    <n v="3"/>
    <n v="0"/>
    <n v="6"/>
    <n v="0.5"/>
    <n v="0"/>
  </r>
  <r>
    <x v="3"/>
    <s v="广东"/>
    <n v="3"/>
    <n v="3"/>
    <n v="0"/>
    <n v="1"/>
    <n v="0"/>
  </r>
  <r>
    <x v="4"/>
    <s v="广东"/>
    <n v="2"/>
    <n v="2"/>
    <n v="3"/>
    <n v="0.4"/>
    <n v="0"/>
  </r>
  <r>
    <x v="5"/>
    <s v="广东"/>
    <n v="1"/>
    <n v="3"/>
    <n v="2"/>
    <n v="0.2"/>
    <n v="1.5"/>
  </r>
  <r>
    <x v="0"/>
    <s v="四川"/>
    <n v="0"/>
    <n v="3"/>
    <n v="1"/>
    <n v="0"/>
    <n v="3"/>
  </r>
  <r>
    <x v="1"/>
    <s v="四川"/>
    <n v="9"/>
    <n v="36"/>
    <n v="20"/>
    <n v="0.16071428571428573"/>
    <n v="1.5"/>
  </r>
  <r>
    <x v="2"/>
    <s v="四川"/>
    <n v="2"/>
    <n v="8"/>
    <n v="5"/>
    <n v="0.15384615384615385"/>
    <n v="1.5"/>
  </r>
  <r>
    <x v="3"/>
    <s v="四川"/>
    <n v="7"/>
    <n v="9"/>
    <n v="10"/>
    <n v="0.36842105263157893"/>
    <n v="0"/>
  </r>
  <r>
    <x v="4"/>
    <s v="四川"/>
    <n v="1"/>
    <n v="3"/>
    <n v="2"/>
    <n v="0.2"/>
    <n v="1.5"/>
  </r>
  <r>
    <x v="5"/>
    <s v="四川"/>
    <n v="3"/>
    <n v="6"/>
    <n v="2"/>
    <n v="0.375"/>
    <n v="0"/>
  </r>
</pivotCacheRecords>
</file>

<file path=xl/pivotCache/pivotCacheRecords3.xml><?xml version="1.0" encoding="utf-8"?>
<pivotCacheRecords xmlns="http://schemas.openxmlformats.org/spreadsheetml/2006/main" xmlns:r="http://schemas.openxmlformats.org/officeDocument/2006/relationships" count="121">
  <r>
    <x v="0"/>
    <n v="4717310"/>
    <n v="4776547"/>
    <n v="0.98759836342026996"/>
    <n v="3"/>
  </r>
  <r>
    <x v="1"/>
    <n v="2315059"/>
    <n v="2351617"/>
    <n v="0.98445410115677856"/>
    <n v="3"/>
  </r>
  <r>
    <x v="2"/>
    <n v="1632648"/>
    <n v="1632648"/>
    <n v="1"/>
    <n v="3"/>
  </r>
  <r>
    <x v="3"/>
    <n v="45755"/>
    <n v="47679"/>
    <n v="0.95964680467291674"/>
    <n v="3"/>
  </r>
  <r>
    <x v="0"/>
    <n v="19123770"/>
    <n v="20096616"/>
    <n v="0.95159155153285513"/>
    <n v="3"/>
  </r>
  <r>
    <x v="1"/>
    <n v="234184"/>
    <n v="236684"/>
    <n v="0.98943739331767255"/>
    <n v="3"/>
  </r>
  <r>
    <x v="2"/>
    <n v="2228203"/>
    <n v="2363261"/>
    <n v="0.94285100122246335"/>
    <n v="3"/>
  </r>
  <r>
    <x v="3"/>
    <n v="139777"/>
    <n v="139822"/>
    <n v="0.99967816223484141"/>
    <n v="3"/>
  </r>
  <r>
    <x v="0"/>
    <n v="4235577"/>
    <n v="4419925"/>
    <n v="0.95829159997058777"/>
    <n v="3"/>
  </r>
  <r>
    <x v="1"/>
    <n v="0"/>
    <n v="0"/>
    <m/>
    <m/>
  </r>
  <r>
    <x v="2"/>
    <n v="418495"/>
    <n v="444495"/>
    <n v="0.94150665361815089"/>
    <n v="3"/>
  </r>
  <r>
    <x v="3"/>
    <n v="111678"/>
    <n v="141898"/>
    <n v="0.78703012022720542"/>
    <n v="0"/>
  </r>
  <r>
    <x v="0"/>
    <n v="18391790"/>
    <n v="19561512"/>
    <n v="0.94020288411243469"/>
    <n v="3"/>
  </r>
  <r>
    <x v="1"/>
    <n v="3015827"/>
    <n v="3203311"/>
    <n v="0.94147180838825828"/>
    <n v="3"/>
  </r>
  <r>
    <x v="2"/>
    <n v="8094382"/>
    <n v="8670969"/>
    <n v="0.93350374104670419"/>
    <n v="3"/>
  </r>
  <r>
    <x v="3"/>
    <n v="321384"/>
    <n v="323361"/>
    <n v="0.99388609015929563"/>
    <n v="3"/>
  </r>
  <r>
    <x v="0"/>
    <n v="24054268"/>
    <n v="25391464"/>
    <n v="0.94733679003305993"/>
    <n v="3"/>
  </r>
  <r>
    <x v="1"/>
    <n v="4075151"/>
    <n v="4296063"/>
    <n v="0.94857803528486428"/>
    <n v="3"/>
  </r>
  <r>
    <x v="2"/>
    <n v="992809"/>
    <n v="992809"/>
    <n v="1"/>
    <n v="3"/>
  </r>
  <r>
    <x v="3"/>
    <n v="148221"/>
    <n v="148179"/>
    <n v="1.0002834409734174"/>
    <n v="3"/>
  </r>
  <r>
    <x v="0"/>
    <n v="20482450"/>
    <n v="21398872"/>
    <n v="0.95717428470061416"/>
    <n v="3"/>
  </r>
  <r>
    <x v="1"/>
    <n v="8349114"/>
    <n v="9035305"/>
    <n v="0.92405447298126631"/>
    <n v="3"/>
  </r>
  <r>
    <x v="2"/>
    <n v="2074624"/>
    <n v="2112530"/>
    <n v="0.98205658617865776"/>
    <n v="3"/>
  </r>
  <r>
    <x v="3"/>
    <n v="238374"/>
    <n v="240822"/>
    <n v="0.9898348157560356"/>
    <n v="3"/>
  </r>
  <r>
    <x v="0"/>
    <n v="4804771"/>
    <n v="5153890"/>
    <n v="0.93226106882374282"/>
    <n v="3"/>
  </r>
  <r>
    <x v="1"/>
    <n v="773140"/>
    <n v="782809"/>
    <n v="0.98764832800849245"/>
    <n v="3"/>
  </r>
  <r>
    <x v="2"/>
    <n v="851603"/>
    <n v="971603"/>
    <n v="0.87649276504909923"/>
    <n v="1.5"/>
  </r>
  <r>
    <x v="3"/>
    <n v="99931"/>
    <n v="101819"/>
    <n v="0.98145729186104758"/>
    <n v="3"/>
  </r>
  <r>
    <x v="0"/>
    <n v="12465281"/>
    <n v="13100087"/>
    <n v="0.95154184853886847"/>
    <n v="3"/>
  </r>
  <r>
    <x v="1"/>
    <n v="883990"/>
    <n v="943644"/>
    <n v="0.93678336321748457"/>
    <n v="3"/>
  </r>
  <r>
    <x v="2"/>
    <n v="6456392"/>
    <n v="6702388"/>
    <n v="0.96329726061815579"/>
    <n v="3"/>
  </r>
  <r>
    <x v="3"/>
    <n v="229413"/>
    <n v="229968"/>
    <n v="0.99758662074723436"/>
    <n v="3"/>
  </r>
  <r>
    <x v="0"/>
    <n v="3790621"/>
    <n v="4074917"/>
    <n v="0.93023268940201731"/>
    <n v="3"/>
  </r>
  <r>
    <x v="1"/>
    <n v="0"/>
    <n v="0"/>
    <m/>
    <m/>
  </r>
  <r>
    <x v="2"/>
    <n v="3997946"/>
    <n v="4134618"/>
    <n v="0.96694446742117413"/>
    <n v="3"/>
  </r>
  <r>
    <x v="3"/>
    <n v="100324"/>
    <n v="107862"/>
    <n v="0.93011440544399326"/>
    <n v="3"/>
  </r>
  <r>
    <x v="0"/>
    <n v="2961033"/>
    <n v="3185956"/>
    <n v="0.92940172431759882"/>
    <n v="3"/>
  </r>
  <r>
    <x v="1"/>
    <n v="584995"/>
    <n v="612082"/>
    <n v="0.95574612551912974"/>
    <n v="3"/>
  </r>
  <r>
    <x v="2"/>
    <n v="254231"/>
    <n v="261105"/>
    <n v="0.97367342639934129"/>
    <n v="3"/>
  </r>
  <r>
    <x v="3"/>
    <n v="1044"/>
    <n v="1044"/>
    <n v="1"/>
    <n v="3"/>
  </r>
  <r>
    <x v="0"/>
    <n v="6532230"/>
    <n v="6715962"/>
    <n v="0.97264248963886335"/>
    <n v="3"/>
  </r>
  <r>
    <x v="1"/>
    <n v="2632069"/>
    <n v="2852118"/>
    <n v="0.92284716130258282"/>
    <n v="3"/>
  </r>
  <r>
    <x v="2"/>
    <n v="417748"/>
    <n v="417748"/>
    <n v="1"/>
    <n v="3"/>
  </r>
  <r>
    <x v="3"/>
    <n v="85618"/>
    <n v="88568"/>
    <n v="0.96669225905518918"/>
    <n v="3"/>
  </r>
  <r>
    <x v="0"/>
    <n v="22381129"/>
    <n v="23660274"/>
    <n v="0.94593701662119378"/>
    <n v="3"/>
  </r>
  <r>
    <x v="1"/>
    <n v="570953"/>
    <n v="704244"/>
    <n v="0.8107317918221526"/>
    <n v="1.5"/>
  </r>
  <r>
    <x v="2"/>
    <n v="6741831"/>
    <n v="6872939"/>
    <n v="0.98092402682462332"/>
    <n v="3"/>
  </r>
  <r>
    <x v="3"/>
    <n v="146783"/>
    <n v="146697"/>
    <n v="1.0005862423907783"/>
    <n v="3"/>
  </r>
  <r>
    <x v="0"/>
    <n v="6280122"/>
    <n v="6460671"/>
    <n v="0.97205414112558897"/>
    <n v="3"/>
  </r>
  <r>
    <x v="1"/>
    <n v="0"/>
    <n v="0"/>
    <m/>
    <m/>
  </r>
  <r>
    <x v="2"/>
    <n v="570126"/>
    <n v="595126"/>
    <n v="0.95799208907021371"/>
    <n v="3"/>
  </r>
  <r>
    <x v="3"/>
    <n v="68504"/>
    <n v="74815"/>
    <n v="0.91564525830381605"/>
    <n v="3"/>
  </r>
  <r>
    <x v="0"/>
    <n v="22464420"/>
    <n v="24722916"/>
    <n v="0.90864766923125084"/>
    <n v="3"/>
  </r>
  <r>
    <x v="1"/>
    <n v="7088918"/>
    <n v="7549093"/>
    <n v="0.93904234588181656"/>
    <n v="3"/>
  </r>
  <r>
    <x v="2"/>
    <n v="7820961"/>
    <n v="8265895"/>
    <n v="0.9461723140688334"/>
    <n v="3"/>
  </r>
  <r>
    <x v="3"/>
    <n v="268290"/>
    <n v="278683"/>
    <n v="0.9627067313040264"/>
    <n v="3"/>
  </r>
  <r>
    <x v="0"/>
    <n v="27248861"/>
    <n v="28567971"/>
    <n v="0.9538255622004097"/>
    <n v="3"/>
  </r>
  <r>
    <x v="1"/>
    <n v="5826177"/>
    <n v="6057668"/>
    <n v="0.96178545935498616"/>
    <n v="3"/>
  </r>
  <r>
    <x v="2"/>
    <n v="979031"/>
    <n v="989031"/>
    <n v="0.98988909346623111"/>
    <n v="3"/>
  </r>
  <r>
    <x v="3"/>
    <n v="198189"/>
    <n v="202611"/>
    <n v="0.97817492633667469"/>
    <n v="3"/>
  </r>
  <r>
    <x v="0"/>
    <n v="22308933"/>
    <n v="23984182"/>
    <n v="0.93015192262967317"/>
    <n v="3"/>
  </r>
  <r>
    <x v="1"/>
    <n v="17067164"/>
    <n v="18264519"/>
    <n v="0.934443660958167"/>
    <n v="3"/>
  </r>
  <r>
    <x v="2"/>
    <n v="1747564"/>
    <n v="1747564"/>
    <n v="1"/>
    <n v="3"/>
  </r>
  <r>
    <x v="3"/>
    <n v="160939"/>
    <n v="163166"/>
    <n v="0.98635132319233176"/>
    <n v="3"/>
  </r>
  <r>
    <x v="0"/>
    <n v="5761988"/>
    <n v="6328385"/>
    <n v="0.91049896616593329"/>
    <n v="3"/>
  </r>
  <r>
    <x v="1"/>
    <n v="1249203"/>
    <n v="1284197"/>
    <n v="0.97275028675506947"/>
    <n v="3"/>
  </r>
  <r>
    <x v="2"/>
    <n v="1477286"/>
    <n v="1487609"/>
    <n v="0.99306067656218799"/>
    <n v="3"/>
  </r>
  <r>
    <x v="3"/>
    <n v="37578"/>
    <n v="37902"/>
    <n v="0.9914516384359664"/>
    <n v="3"/>
  </r>
  <r>
    <x v="0"/>
    <n v="14855440"/>
    <n v="16208409"/>
    <n v="0.91652672387524281"/>
    <n v="3"/>
  </r>
  <r>
    <x v="1"/>
    <n v="1945022"/>
    <n v="2147050"/>
    <n v="0.90590438042896071"/>
    <n v="3"/>
  </r>
  <r>
    <x v="2"/>
    <n v="6479677"/>
    <n v="6833975"/>
    <n v="0.94815638043744677"/>
    <n v="3"/>
  </r>
  <r>
    <x v="3"/>
    <n v="81075"/>
    <n v="81177"/>
    <n v="0.99874348645552313"/>
    <n v="3"/>
  </r>
  <r>
    <x v="0"/>
    <n v="3942300"/>
    <n v="4291261"/>
    <n v="0.91868101241103717"/>
    <n v="3"/>
  </r>
  <r>
    <x v="1"/>
    <n v="0"/>
    <n v="0"/>
    <m/>
    <m/>
  </r>
  <r>
    <x v="2"/>
    <n v="6542546"/>
    <n v="6765720"/>
    <n v="0.96701400590033282"/>
    <n v="3"/>
  </r>
  <r>
    <x v="3"/>
    <n v="118763"/>
    <n v="123884"/>
    <n v="0.95866294275289787"/>
    <n v="3"/>
  </r>
  <r>
    <x v="0"/>
    <n v="3230677"/>
    <n v="3668908"/>
    <n v="0.88055546773045279"/>
    <n v="1.5"/>
  </r>
  <r>
    <x v="1"/>
    <n v="778071"/>
    <n v="1178003"/>
    <n v="0.66050001570454409"/>
    <n v="0"/>
  </r>
  <r>
    <x v="2"/>
    <n v="412033"/>
    <n v="413921"/>
    <n v="0.99543874314180725"/>
    <n v="3"/>
  </r>
  <r>
    <x v="3"/>
    <n v="20322"/>
    <n v="28496"/>
    <n v="0.71315272318921952"/>
    <n v="0"/>
  </r>
  <r>
    <x v="0"/>
    <n v="4714202"/>
    <n v="4847013"/>
    <n v="0.97259941328814259"/>
    <n v="3"/>
  </r>
  <r>
    <x v="1"/>
    <n v="2317062"/>
    <n v="2392517"/>
    <n v="0.96846208407296586"/>
    <n v="3"/>
  </r>
  <r>
    <x v="2"/>
    <n v="178384"/>
    <n v="178384"/>
    <n v="1"/>
    <n v="3"/>
  </r>
  <r>
    <x v="3"/>
    <n v="49539"/>
    <n v="49554"/>
    <n v="0.99969729991524403"/>
    <n v="3"/>
  </r>
  <r>
    <x v="0"/>
    <n v="19887440"/>
    <n v="20991765"/>
    <n v="0.94739246556923629"/>
    <n v="3"/>
  </r>
  <r>
    <x v="1"/>
    <n v="618764"/>
    <n v="714897"/>
    <n v="0.8655288803841672"/>
    <n v="1.5"/>
  </r>
  <r>
    <x v="2"/>
    <n v="7436132"/>
    <n v="7555230"/>
    <n v="0.98423635018391231"/>
    <n v="3"/>
  </r>
  <r>
    <x v="3"/>
    <n v="61754"/>
    <n v="61954"/>
    <n v="0.99677179843109409"/>
    <n v="3"/>
  </r>
  <r>
    <x v="0"/>
    <n v="4098811"/>
    <n v="4322468"/>
    <n v="0.9482571068195299"/>
    <n v="3"/>
  </r>
  <r>
    <x v="1"/>
    <n v="0"/>
    <n v="0"/>
    <m/>
    <m/>
  </r>
  <r>
    <x v="2"/>
    <n v="229084"/>
    <n v="229084"/>
    <n v="1"/>
    <n v="3"/>
  </r>
  <r>
    <x v="3"/>
    <n v="66880"/>
    <n v="66847"/>
    <n v="1.0004936646371565"/>
    <n v="3"/>
  </r>
  <r>
    <x v="0"/>
    <n v="16118050"/>
    <n v="17241969"/>
    <n v="0.93481492745985106"/>
    <n v="3"/>
  </r>
  <r>
    <x v="1"/>
    <n v="4226665"/>
    <n v="4487477"/>
    <n v="0.94188003637678808"/>
    <n v="3"/>
  </r>
  <r>
    <x v="2"/>
    <n v="3655380"/>
    <n v="4141921"/>
    <n v="0.88253252536685267"/>
    <n v="1.5"/>
  </r>
  <r>
    <x v="3"/>
    <n v="219655"/>
    <n v="238468"/>
    <n v="0.92110891188754884"/>
    <n v="3"/>
  </r>
  <r>
    <x v="0"/>
    <n v="21509958"/>
    <n v="22654683"/>
    <n v="0.94947071208191258"/>
    <n v="3"/>
  </r>
  <r>
    <x v="1"/>
    <n v="3987688"/>
    <n v="4190303"/>
    <n v="0.9516466947616915"/>
    <n v="3"/>
  </r>
  <r>
    <x v="2"/>
    <n v="2602956"/>
    <n v="2642956"/>
    <n v="0.9848654309795547"/>
    <n v="3"/>
  </r>
  <r>
    <x v="3"/>
    <n v="126354"/>
    <n v="130519"/>
    <n v="0.9680889372428535"/>
    <n v="3"/>
  </r>
  <r>
    <x v="0"/>
    <n v="17315824"/>
    <n v="18538961"/>
    <n v="0.93402343313630143"/>
    <n v="3"/>
  </r>
  <r>
    <x v="1"/>
    <n v="10558183"/>
    <n v="11263654"/>
    <n v="0.93736748305656403"/>
    <n v="3"/>
  </r>
  <r>
    <x v="2"/>
    <n v="609005"/>
    <n v="619005"/>
    <n v="0.98384504163940523"/>
    <n v="3"/>
  </r>
  <r>
    <x v="3"/>
    <n v="231338"/>
    <n v="235657"/>
    <n v="0.98167251556287316"/>
    <n v="3"/>
  </r>
  <r>
    <x v="0"/>
    <n v="4162105"/>
    <n v="4490513"/>
    <n v="0.92686626227337499"/>
    <n v="3"/>
  </r>
  <r>
    <x v="1"/>
    <n v="1154998"/>
    <n v="1184607"/>
    <n v="0.97500521269923279"/>
    <n v="3"/>
  </r>
  <r>
    <x v="2"/>
    <n v="773223"/>
    <n v="783777"/>
    <n v="0.98653443517735273"/>
    <n v="3"/>
  </r>
  <r>
    <x v="3"/>
    <n v="43593"/>
    <n v="46111"/>
    <n v="0.94539263950033614"/>
    <n v="3"/>
  </r>
  <r>
    <x v="0"/>
    <n v="10434803"/>
    <n v="11226830"/>
    <n v="0.92945230309891569"/>
    <n v="3"/>
  </r>
  <r>
    <x v="1"/>
    <n v="2275038"/>
    <n v="2438464"/>
    <n v="0.93297994147135244"/>
    <n v="3"/>
  </r>
  <r>
    <x v="2"/>
    <n v="5093330"/>
    <n v="5281837"/>
    <n v="0.96431033369640151"/>
    <n v="3"/>
  </r>
  <r>
    <x v="3"/>
    <n v="71739"/>
    <n v="71693"/>
    <n v="1.0006416247053409"/>
    <n v="3"/>
  </r>
  <r>
    <x v="0"/>
    <n v="2960658"/>
    <n v="3284947"/>
    <n v="0.90128029462880221"/>
    <n v="3"/>
  </r>
  <r>
    <x v="1"/>
    <n v="0"/>
    <n v="0"/>
    <m/>
    <m/>
  </r>
  <r>
    <x v="2"/>
    <n v="5991698"/>
    <n v="6142458"/>
    <n v="0.97545607963456971"/>
    <n v="3"/>
  </r>
  <r>
    <x v="3"/>
    <n v="37841"/>
    <n v="45882"/>
    <n v="0.82474608779041891"/>
    <n v="1.5"/>
  </r>
  <r>
    <x v="0"/>
    <n v="2888796"/>
    <n v="3158687"/>
    <n v="0.91455595315395288"/>
    <n v="3"/>
  </r>
  <r>
    <x v="1"/>
    <n v="639830"/>
    <n v="660770"/>
    <n v="0.96830969929022204"/>
    <n v="3"/>
  </r>
  <r>
    <x v="2"/>
    <n v="81757"/>
    <n v="83645"/>
    <n v="0.9774284177177357"/>
    <n v="3"/>
  </r>
  <r>
    <x v="3"/>
    <n v="24606"/>
    <n v="24601"/>
    <n v="1.0002032437705783"/>
    <n v="3"/>
  </r>
  <r>
    <x v="4"/>
    <m/>
    <m/>
    <m/>
    <m/>
  </r>
</pivotCacheRecords>
</file>

<file path=xl/pivotCache/pivotCacheRecords4.xml><?xml version="1.0" encoding="utf-8"?>
<pivotCacheRecords xmlns="http://schemas.openxmlformats.org/spreadsheetml/2006/main" xmlns:r="http://schemas.openxmlformats.org/officeDocument/2006/relationships" count="50">
  <r>
    <x v="0"/>
    <s v="北京"/>
    <n v="215"/>
    <n v="219"/>
    <n v="0.9817351598173516"/>
    <n v="2"/>
  </r>
  <r>
    <x v="1"/>
    <s v="北京"/>
    <n v="3"/>
    <n v="3"/>
    <n v="1"/>
    <n v="2"/>
  </r>
  <r>
    <x v="2"/>
    <s v="北京"/>
    <n v="6"/>
    <n v="6"/>
    <n v="1"/>
    <n v="2"/>
  </r>
  <r>
    <x v="3"/>
    <s v="北京"/>
    <n v="232"/>
    <n v="235"/>
    <n v="0.98723404255319147"/>
    <n v="2"/>
  </r>
  <r>
    <x v="4"/>
    <s v="北京"/>
    <n v="15"/>
    <n v="15"/>
    <n v="1"/>
    <n v="2"/>
  </r>
  <r>
    <x v="0"/>
    <s v="天津"/>
    <n v="2005"/>
    <n v="2029"/>
    <n v="0.98817151306062101"/>
    <n v="2"/>
  </r>
  <r>
    <x v="1"/>
    <s v="天津"/>
    <n v="14"/>
    <n v="14"/>
    <n v="1"/>
    <n v="2"/>
  </r>
  <r>
    <x v="2"/>
    <s v="天津"/>
    <n v="168"/>
    <n v="172"/>
    <n v="0.97674418604651159"/>
    <n v="2"/>
  </r>
  <r>
    <x v="3"/>
    <s v="天津"/>
    <m/>
    <m/>
    <m/>
    <m/>
  </r>
  <r>
    <x v="4"/>
    <s v="天津"/>
    <n v="39"/>
    <n v="39"/>
    <n v="1"/>
    <n v="2"/>
  </r>
  <r>
    <x v="0"/>
    <s v="辽宁"/>
    <n v="2743"/>
    <n v="2763"/>
    <n v="0.99276149113282663"/>
    <n v="2"/>
  </r>
  <r>
    <x v="1"/>
    <s v="辽宁"/>
    <m/>
    <m/>
    <m/>
    <m/>
  </r>
  <r>
    <x v="2"/>
    <s v="辽宁"/>
    <m/>
    <m/>
    <m/>
    <m/>
  </r>
  <r>
    <x v="3"/>
    <s v="辽宁"/>
    <n v="786"/>
    <n v="795"/>
    <n v="0.98867924528301887"/>
    <n v="2"/>
  </r>
  <r>
    <x v="4"/>
    <s v="辽宁"/>
    <n v="80"/>
    <n v="84"/>
    <n v="0.95238095238095233"/>
    <n v="2"/>
  </r>
  <r>
    <x v="0"/>
    <s v="大连"/>
    <n v="310"/>
    <n v="313"/>
    <n v="0.99041533546325877"/>
    <n v="2"/>
  </r>
  <r>
    <x v="1"/>
    <s v="大连"/>
    <m/>
    <m/>
    <m/>
    <m/>
  </r>
  <r>
    <x v="2"/>
    <s v="大连"/>
    <n v="385"/>
    <n v="402"/>
    <n v="0.95771144278606968"/>
    <n v="2"/>
  </r>
  <r>
    <x v="3"/>
    <s v="大连"/>
    <m/>
    <m/>
    <m/>
    <m/>
  </r>
  <r>
    <x v="4"/>
    <s v="大连"/>
    <n v="7"/>
    <n v="7"/>
    <n v="1"/>
    <n v="2"/>
  </r>
  <r>
    <x v="0"/>
    <s v="江苏"/>
    <n v="3074"/>
    <n v="3106"/>
    <n v="0.98969735994848684"/>
    <n v="2"/>
  </r>
  <r>
    <x v="1"/>
    <s v="江苏"/>
    <n v="2"/>
    <n v="2"/>
    <n v="1"/>
    <n v="2"/>
  </r>
  <r>
    <x v="2"/>
    <s v="江苏"/>
    <m/>
    <m/>
    <m/>
    <m/>
  </r>
  <r>
    <x v="3"/>
    <s v="江苏"/>
    <n v="668"/>
    <n v="685"/>
    <n v="0.97518248175182487"/>
    <n v="2"/>
  </r>
  <r>
    <x v="4"/>
    <s v="江苏"/>
    <n v="62"/>
    <n v="64"/>
    <n v="0.96875"/>
    <n v="2"/>
  </r>
  <r>
    <x v="0"/>
    <s v="山东"/>
    <n v="2179"/>
    <n v="2203"/>
    <n v="0.9891057648660917"/>
    <n v="2"/>
  </r>
  <r>
    <x v="1"/>
    <s v="山东"/>
    <n v="8"/>
    <n v="8"/>
    <n v="1"/>
    <n v="2"/>
  </r>
  <r>
    <x v="2"/>
    <s v="山东"/>
    <n v="135"/>
    <n v="144"/>
    <n v="0.9375"/>
    <n v="1"/>
  </r>
  <r>
    <x v="3"/>
    <s v="山东"/>
    <n v="1138"/>
    <n v="1151"/>
    <n v="0.98870547350130322"/>
    <n v="2"/>
  </r>
  <r>
    <x v="4"/>
    <s v="山东"/>
    <n v="62"/>
    <n v="64"/>
    <n v="0.96875"/>
    <n v="2"/>
  </r>
  <r>
    <x v="0"/>
    <s v="青岛"/>
    <n v="765"/>
    <n v="773"/>
    <n v="0.98965071151358341"/>
    <n v="2"/>
  </r>
  <r>
    <x v="1"/>
    <s v="青岛"/>
    <m/>
    <m/>
    <m/>
    <m/>
  </r>
  <r>
    <x v="2"/>
    <s v="青岛"/>
    <m/>
    <m/>
    <m/>
    <m/>
  </r>
  <r>
    <x v="3"/>
    <s v="青岛"/>
    <n v="2"/>
    <n v="2"/>
    <m/>
    <m/>
  </r>
  <r>
    <x v="4"/>
    <s v="青岛"/>
    <n v="16"/>
    <n v="16"/>
    <n v="1"/>
    <n v="2"/>
  </r>
  <r>
    <x v="0"/>
    <s v="河南"/>
    <n v="1493"/>
    <n v="1523"/>
    <n v="0.98030203545633621"/>
    <n v="2"/>
  </r>
  <r>
    <x v="1"/>
    <s v="河南"/>
    <m/>
    <m/>
    <m/>
    <m/>
  </r>
  <r>
    <x v="2"/>
    <s v="河南"/>
    <n v="240"/>
    <n v="259"/>
    <n v="0.92664092664092668"/>
    <n v="1"/>
  </r>
  <r>
    <x v="3"/>
    <s v="河南"/>
    <n v="501"/>
    <n v="512"/>
    <n v="0.978515625"/>
    <n v="2"/>
  </r>
  <r>
    <x v="4"/>
    <s v="河南"/>
    <n v="32"/>
    <n v="32"/>
    <n v="1"/>
    <n v="2"/>
  </r>
  <r>
    <x v="0"/>
    <s v="广东"/>
    <n v="718"/>
    <n v="729"/>
    <n v="0.98491083676268865"/>
    <n v="2"/>
  </r>
  <r>
    <x v="1"/>
    <s v="广东"/>
    <m/>
    <m/>
    <m/>
    <m/>
  </r>
  <r>
    <x v="2"/>
    <s v="广东"/>
    <m/>
    <m/>
    <m/>
    <m/>
  </r>
  <r>
    <x v="3"/>
    <s v="广东"/>
    <n v="209"/>
    <n v="220"/>
    <n v="0.95"/>
    <n v="2"/>
  </r>
  <r>
    <x v="4"/>
    <s v="广东"/>
    <n v="15"/>
    <n v="15"/>
    <n v="1"/>
    <n v="2"/>
  </r>
  <r>
    <x v="0"/>
    <s v="四川"/>
    <n v="928"/>
    <n v="944"/>
    <n v="0.98305084745762716"/>
    <n v="2"/>
  </r>
  <r>
    <x v="1"/>
    <s v="四川"/>
    <n v="1"/>
    <n v="1"/>
    <n v="1"/>
    <n v="2"/>
  </r>
  <r>
    <x v="2"/>
    <s v="四川"/>
    <n v="5"/>
    <n v="5"/>
    <n v="1"/>
    <n v="2"/>
  </r>
  <r>
    <x v="3"/>
    <s v="四川"/>
    <n v="325"/>
    <n v="328"/>
    <n v="0.99085365853658536"/>
    <n v="2"/>
  </r>
  <r>
    <x v="4"/>
    <s v="四川"/>
    <n v="19"/>
    <n v="19"/>
    <n v="1"/>
    <n v="2"/>
  </r>
</pivotCacheRecords>
</file>

<file path=xl/pivotCache/pivotCacheRecords5.xml><?xml version="1.0" encoding="utf-8"?>
<pivotCacheRecords xmlns="http://schemas.openxmlformats.org/spreadsheetml/2006/main" xmlns:r="http://schemas.openxmlformats.org/officeDocument/2006/relationships" count="62">
  <r>
    <x v="0"/>
    <s v="北京"/>
    <n v="160190.38999999998"/>
    <n v="309053"/>
    <n v="12677665.329999998"/>
    <n v="4946147"/>
    <n v="2.6625532615394121E-2"/>
    <n v="3"/>
  </r>
  <r>
    <x v="0"/>
    <s v="广东"/>
    <n v="606395.52"/>
    <n v="184146"/>
    <n v="5377820.0099999998"/>
    <n v="3529776"/>
    <n v="8.8749143889384818E-2"/>
    <n v="1.5"/>
  </r>
  <r>
    <x v="0"/>
    <s v="河北"/>
    <n v="2661"/>
    <n v="36255"/>
    <n v="2575560.34"/>
    <n v="1529509"/>
    <n v="9.4799860311251156E-3"/>
    <n v="3"/>
  </r>
  <r>
    <x v="0"/>
    <s v="河南"/>
    <n v="95967.07"/>
    <n v="241210"/>
    <n v="12519570.369999999"/>
    <n v="5202814"/>
    <n v="1.9025491319935754E-2"/>
    <n v="3"/>
  </r>
  <r>
    <x v="0"/>
    <s v="江苏"/>
    <n v="280683.65999999997"/>
    <n v="241659"/>
    <n v="20709900.760000002"/>
    <n v="5530481"/>
    <n v="1.9906061763028251E-2"/>
    <n v="3"/>
  </r>
  <r>
    <x v="0"/>
    <s v="辽宁"/>
    <n v="831540.71000000008"/>
    <n v="405419"/>
    <n v="36140664.080000013"/>
    <n v="9308365"/>
    <n v="2.7216416610851824E-2"/>
    <n v="3"/>
  </r>
  <r>
    <x v="0"/>
    <s v="青岛"/>
    <n v="0"/>
    <n v="0"/>
    <n v="19713"/>
    <n v="33291"/>
    <n v="0"/>
    <n v="3"/>
  </r>
  <r>
    <x v="0"/>
    <s v="山东"/>
    <n v="322730.55"/>
    <n v="333587"/>
    <n v="25868359.859999999"/>
    <n v="10534930"/>
    <n v="1.8029072441641134E-2"/>
    <n v="3"/>
  </r>
  <r>
    <x v="0"/>
    <s v="四川"/>
    <n v="115563.69"/>
    <n v="134083"/>
    <n v="8757967.2699999996"/>
    <n v="5465800"/>
    <n v="1.7551376176306067E-2"/>
    <n v="3"/>
  </r>
  <r>
    <x v="0"/>
    <s v="天津"/>
    <n v="335259.84999999998"/>
    <n v="0"/>
    <n v="1487600.29"/>
    <n v="0"/>
    <n v="0.2253695782756267"/>
    <n v="0"/>
  </r>
  <r>
    <x v="1"/>
    <s v="北京"/>
    <n v="339951.67"/>
    <n v="1037347"/>
    <n v="20999486.450000003"/>
    <n v="5278377"/>
    <n v="5.2412886329995745E-2"/>
    <n v="1.5"/>
  </r>
  <r>
    <x v="1"/>
    <s v="大连"/>
    <n v="1380316.2000000002"/>
    <n v="37863"/>
    <n v="15130400.790000001"/>
    <n v="4032874"/>
    <n v="7.4005054748787033E-2"/>
    <n v="1.5"/>
  </r>
  <r>
    <x v="1"/>
    <s v="广东"/>
    <n v="318149.01"/>
    <n v="156263"/>
    <n v="19362339.759999998"/>
    <n v="7559046"/>
    <n v="1.7622124441487148E-2"/>
    <n v="3"/>
  </r>
  <r>
    <x v="1"/>
    <s v="河北"/>
    <n v="0"/>
    <n v="0"/>
    <n v="2066.81"/>
    <n v="2077"/>
    <n v="0"/>
    <n v="3"/>
  </r>
  <r>
    <x v="1"/>
    <s v="河南"/>
    <n v="1277658.8600000001"/>
    <n v="1504106"/>
    <n v="63822679.520000011"/>
    <n v="17867051"/>
    <n v="3.4052809848833368E-2"/>
    <n v="3"/>
  </r>
  <r>
    <x v="1"/>
    <s v="江苏"/>
    <n v="2465357.64"/>
    <n v="676857"/>
    <n v="108709347.52000001"/>
    <n v="33177308"/>
    <n v="2.2145949021661736E-2"/>
    <n v="3"/>
  </r>
  <r>
    <x v="1"/>
    <s v="辽宁"/>
    <n v="3313395.09"/>
    <n v="1306649"/>
    <n v="97725024.810000002"/>
    <n v="30656677"/>
    <n v="3.5986780240983937E-2"/>
    <n v="3"/>
  </r>
  <r>
    <x v="1"/>
    <s v="青岛"/>
    <n v="327788.44"/>
    <n v="228983"/>
    <n v="21689581.289999995"/>
    <n v="7701101"/>
    <n v="1.894380792205828E-2"/>
    <n v="3"/>
  </r>
  <r>
    <x v="1"/>
    <s v="山东"/>
    <n v="1338306.0900000001"/>
    <n v="902827"/>
    <n v="83764652.269999981"/>
    <n v="25143122"/>
    <n v="2.0578265463803057E-2"/>
    <n v="3"/>
  </r>
  <r>
    <x v="1"/>
    <s v="四川"/>
    <n v="748757.96"/>
    <n v="574318"/>
    <n v="25290839.66"/>
    <n v="8702534"/>
    <n v="3.8921584342682156E-2"/>
    <n v="3"/>
  </r>
  <r>
    <x v="1"/>
    <s v="天津"/>
    <n v="2356309.2099999995"/>
    <n v="1068879"/>
    <n v="91717367.300000012"/>
    <n v="26509244"/>
    <n v="2.8971381081951041E-2"/>
    <n v="3"/>
  </r>
  <r>
    <x v="2"/>
    <s v="北京"/>
    <n v="0"/>
    <n v="0"/>
    <n v="23301019.719999999"/>
    <n v="49915"/>
    <n v="0"/>
    <n v="3"/>
  </r>
  <r>
    <x v="2"/>
    <s v="大连"/>
    <n v="0"/>
    <n v="0"/>
    <n v="71717.489999999991"/>
    <n v="0"/>
    <n v="0"/>
    <n v="3"/>
  </r>
  <r>
    <x v="2"/>
    <s v="广东"/>
    <n v="0"/>
    <n v="0"/>
    <n v="113395.71"/>
    <n v="0"/>
    <n v="0"/>
    <n v="3"/>
  </r>
  <r>
    <x v="2"/>
    <s v="河北"/>
    <m/>
    <m/>
    <m/>
    <m/>
    <m/>
    <m/>
  </r>
  <r>
    <x v="2"/>
    <s v="河南"/>
    <n v="0"/>
    <n v="0"/>
    <n v="852654.88000000012"/>
    <n v="0"/>
    <n v="0"/>
    <n v="3"/>
  </r>
  <r>
    <x v="2"/>
    <s v="江苏"/>
    <n v="0"/>
    <n v="0"/>
    <n v="4672438.5699999994"/>
    <n v="24800"/>
    <n v="0"/>
    <n v="3"/>
  </r>
  <r>
    <x v="2"/>
    <s v="辽宁"/>
    <n v="0"/>
    <n v="0"/>
    <n v="125765.70000000001"/>
    <n v="0"/>
    <n v="0"/>
    <n v="3"/>
  </r>
  <r>
    <x v="2"/>
    <s v="青岛"/>
    <n v="0"/>
    <n v="0"/>
    <n v="906714.75"/>
    <n v="0"/>
    <n v="0"/>
    <n v="3"/>
  </r>
  <r>
    <x v="2"/>
    <s v="山东"/>
    <n v="589.5"/>
    <n v="0"/>
    <n v="2823049.17"/>
    <n v="23523"/>
    <n v="2.0709118363930327E-4"/>
    <n v="3"/>
  </r>
  <r>
    <x v="2"/>
    <s v="四川"/>
    <n v="0"/>
    <n v="0"/>
    <n v="1719528.75"/>
    <n v="34351"/>
    <n v="0"/>
    <n v="3"/>
  </r>
  <r>
    <x v="2"/>
    <s v="天津"/>
    <n v="1963.11"/>
    <n v="750670"/>
    <n v="86361876.219999999"/>
    <n v="626582"/>
    <n v="8.6521031111568541E-3"/>
    <n v="3"/>
  </r>
  <r>
    <x v="3"/>
    <s v="北京"/>
    <n v="0"/>
    <n v="0"/>
    <n v="432.06"/>
    <n v="82167"/>
    <n v="0"/>
    <n v="3"/>
  </r>
  <r>
    <x v="3"/>
    <s v="大连"/>
    <n v="0"/>
    <n v="0"/>
    <n v="329.21"/>
    <n v="0"/>
    <n v="0"/>
    <n v="3"/>
  </r>
  <r>
    <x v="3"/>
    <s v="广东"/>
    <n v="0"/>
    <n v="0"/>
    <n v="303.75"/>
    <n v="0"/>
    <n v="0"/>
    <n v="3"/>
  </r>
  <r>
    <x v="3"/>
    <s v="河南"/>
    <n v="0"/>
    <n v="0"/>
    <n v="351.87"/>
    <n v="0"/>
    <n v="0"/>
    <n v="3"/>
  </r>
  <r>
    <x v="3"/>
    <s v="江苏"/>
    <n v="0"/>
    <n v="0"/>
    <n v="7781.95"/>
    <n v="0"/>
    <n v="0"/>
    <n v="3"/>
  </r>
  <r>
    <x v="3"/>
    <s v="辽宁"/>
    <n v="0"/>
    <n v="0"/>
    <n v="2115.08"/>
    <n v="0"/>
    <n v="0"/>
    <n v="3"/>
  </r>
  <r>
    <x v="3"/>
    <s v="青岛"/>
    <n v="0"/>
    <n v="0"/>
    <n v="2208.4299999999998"/>
    <n v="0"/>
    <n v="0"/>
    <n v="3"/>
  </r>
  <r>
    <x v="3"/>
    <s v="山东"/>
    <n v="0"/>
    <n v="0"/>
    <n v="765.06999999999994"/>
    <n v="0"/>
    <n v="0"/>
    <n v="3"/>
  </r>
  <r>
    <x v="3"/>
    <s v="四川"/>
    <n v="0"/>
    <n v="0"/>
    <n v="1276.3500000000001"/>
    <n v="0"/>
    <n v="0"/>
    <n v="3"/>
  </r>
  <r>
    <x v="3"/>
    <s v="天津"/>
    <n v="0"/>
    <n v="0"/>
    <n v="8346.9500000000007"/>
    <n v="0"/>
    <n v="0"/>
    <n v="3"/>
  </r>
  <r>
    <x v="4"/>
    <s v="北京"/>
    <n v="31422.35"/>
    <n v="3587"/>
    <n v="629115.77"/>
    <n v="393035"/>
    <n v="3.425067125860503E-2"/>
    <n v="3"/>
  </r>
  <r>
    <x v="4"/>
    <s v="大连"/>
    <n v="839.7"/>
    <n v="0"/>
    <n v="253311"/>
    <n v="65896"/>
    <n v="2.6305814095555552E-3"/>
    <n v="3"/>
  </r>
  <r>
    <x v="4"/>
    <s v="广东"/>
    <n v="0"/>
    <n v="18236"/>
    <n v="220408.25"/>
    <n v="185123"/>
    <n v="4.4968174462510599E-2"/>
    <n v="3"/>
  </r>
  <r>
    <x v="4"/>
    <s v="河南"/>
    <n v="0"/>
    <n v="0"/>
    <n v="564306.84000000008"/>
    <n v="289615"/>
    <n v="0"/>
    <n v="3"/>
  </r>
  <r>
    <x v="4"/>
    <s v="江苏"/>
    <n v="60406.36"/>
    <n v="20726"/>
    <n v="1011342.98"/>
    <n v="469680"/>
    <n v="5.4781297181492758E-2"/>
    <n v="1.5"/>
  </r>
  <r>
    <x v="4"/>
    <s v="辽宁"/>
    <n v="7982.89"/>
    <n v="9038"/>
    <n v="1552250.56"/>
    <n v="704286"/>
    <n v="7.5429267585188156E-3"/>
    <n v="3"/>
  </r>
  <r>
    <x v="4"/>
    <s v="青岛"/>
    <n v="0"/>
    <n v="4784"/>
    <n v="277071.27"/>
    <n v="82060"/>
    <n v="1.3321034395027756E-2"/>
    <n v="3"/>
  </r>
  <r>
    <x v="4"/>
    <s v="山东"/>
    <n v="2402.25"/>
    <n v="10703"/>
    <n v="1732727.8299999998"/>
    <n v="642127"/>
    <n v="5.5183373040111252E-3"/>
    <n v="3"/>
  </r>
  <r>
    <x v="4"/>
    <s v="四川"/>
    <n v="4469.76"/>
    <n v="2221"/>
    <n v="418718.3"/>
    <n v="215931"/>
    <n v="1.0542452343365068E-2"/>
    <n v="3"/>
  </r>
  <r>
    <x v="4"/>
    <s v="天津"/>
    <n v="0"/>
    <n v="15105"/>
    <n v="767962.04"/>
    <n v="303128"/>
    <n v="1.4102455849556774E-2"/>
    <n v="3"/>
  </r>
  <r>
    <x v="5"/>
    <s v="北京"/>
    <n v="647841.68000000005"/>
    <n v="10000"/>
    <n v="2036935"/>
    <n v="660000"/>
    <n v="0.2439219632657072"/>
    <n v="0"/>
  </r>
  <r>
    <x v="5"/>
    <s v="大连"/>
    <n v="900839.14"/>
    <n v="7410000"/>
    <n v="67327854"/>
    <n v="36204875"/>
    <n v="8.0272578732083835E-2"/>
    <n v="1.5"/>
  </r>
  <r>
    <x v="5"/>
    <s v="广东"/>
    <n v="530292.04"/>
    <n v="0"/>
    <n v="560245"/>
    <n v="0"/>
    <n v="0.94653596194522049"/>
    <n v="0"/>
  </r>
  <r>
    <x v="5"/>
    <s v="河南"/>
    <n v="1596127.18"/>
    <n v="2608478"/>
    <n v="30242261"/>
    <n v="14594185"/>
    <n v="9.3776504498148658E-2"/>
    <n v="1.5"/>
  </r>
  <r>
    <x v="5"/>
    <s v="江苏"/>
    <n v="2319624.59"/>
    <n v="0"/>
    <n v="5699100"/>
    <n v="0"/>
    <n v="0.40701594813216119"/>
    <n v="0"/>
  </r>
  <r>
    <x v="5"/>
    <s v="辽宁"/>
    <n v="2497871.85"/>
    <n v="0"/>
    <n v="1610678"/>
    <n v="0"/>
    <n v="1.5508201204710066"/>
    <n v="0"/>
  </r>
  <r>
    <x v="5"/>
    <s v="青岛"/>
    <n v="337317.63"/>
    <n v="0"/>
    <n v="1036592"/>
    <n v="0"/>
    <n v="0.32541021925694968"/>
    <n v="0"/>
  </r>
  <r>
    <x v="5"/>
    <s v="山东"/>
    <n v="2740305.45"/>
    <n v="1824714"/>
    <n v="21039712"/>
    <n v="8695672"/>
    <n v="0.15352145612109802"/>
    <n v="0"/>
  </r>
  <r>
    <x v="5"/>
    <s v="四川"/>
    <n v="1241227.17"/>
    <n v="110000"/>
    <n v="3132357"/>
    <n v="211979"/>
    <n v="0.40403451387659611"/>
    <n v="0"/>
  </r>
  <r>
    <x v="5"/>
    <s v="天津"/>
    <n v="2143087.35"/>
    <n v="9030000"/>
    <n v="76708564"/>
    <n v="35880000"/>
    <n v="9.9238208154071486E-2"/>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数据透视表9" cacheId="30" applyNumberFormats="0" applyBorderFormats="0" applyFontFormats="0" applyPatternFormats="0" applyAlignmentFormats="0" applyWidthHeightFormats="1" dataCaption="值" updatedVersion="3" minRefreshableVersion="3" showCalcMbrs="0" useAutoFormatting="1" rowGrandTotals="0" itemPrintTitles="1" createdVersion="3" indent="0" showHeaders="0" outline="1" outlineData="1" multipleFieldFilters="0">
  <location ref="K2:M8" firstHeaderRow="0" firstDataRow="1" firstDataCol="1"/>
  <pivotFields count="7">
    <pivotField axis="axisRow" showAll="0" defaultSubtotal="0">
      <items count="6">
        <item x="4"/>
        <item x="1"/>
        <item x="0"/>
        <item x="2"/>
        <item x="5"/>
        <item x="3"/>
      </items>
    </pivotField>
    <pivotField showAll="0" defaultSubtotal="0"/>
    <pivotField showAll="0" defaultSubtotal="0"/>
    <pivotField showAll="0" defaultSubtotal="0"/>
    <pivotField showAll="0" defaultSubtotal="0"/>
    <pivotField name="离职率2" dataField="1" showAll="0" defaultSubtotal="0"/>
    <pivotField dataField="1" showAll="0" defaultSubtotal="0"/>
  </pivotFields>
  <rowFields count="1">
    <field x="0"/>
  </rowFields>
  <rowItems count="6">
    <i>
      <x/>
    </i>
    <i>
      <x v="1"/>
    </i>
    <i>
      <x v="2"/>
    </i>
    <i>
      <x v="3"/>
    </i>
    <i>
      <x v="4"/>
    </i>
    <i>
      <x v="5"/>
    </i>
  </rowItems>
  <colFields count="1">
    <field x="-2"/>
  </colFields>
  <colItems count="2">
    <i>
      <x/>
    </i>
    <i i="1">
      <x v="1"/>
    </i>
  </colItems>
  <dataFields count="2">
    <dataField name="平均值项:得分" fld="6" subtotal="average" baseField="0" baseItem="0" numFmtId="176"/>
    <dataField name="平均值项:离职率" fld="5" subtotal="average" baseField="0" baseItem="0" numFmtId="10"/>
  </dataFields>
  <formats count="7">
    <format dxfId="431">
      <pivotArea outline="0" collapsedLevelsAreSubtotals="1" fieldPosition="0"/>
    </format>
    <format dxfId="430">
      <pivotArea dataOnly="0" labelOnly="1" grandRow="1" outline="0" fieldPosition="0"/>
    </format>
    <format dxfId="429">
      <pivotArea type="all" dataOnly="0" outline="0" fieldPosition="0"/>
    </format>
    <format dxfId="428">
      <pivotArea type="all" dataOnly="0" outline="0" fieldPosition="0"/>
    </format>
    <format dxfId="427">
      <pivotArea type="all" dataOnly="0" outline="0" fieldPosition="0"/>
    </format>
    <format dxfId="426">
      <pivotArea outline="0" collapsedLevelsAreSubtotals="1" fieldPosition="0">
        <references count="1">
          <reference field="4294967294" count="1" selected="0">
            <x v="1"/>
          </reference>
        </references>
      </pivotArea>
    </format>
    <format dxfId="425">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数据透视表10" cacheId="2" applyNumberFormats="0" applyBorderFormats="0" applyFontFormats="0" applyPatternFormats="0" applyAlignmentFormats="0" applyWidthHeightFormats="1" dataCaption="0" updatedVersion="3" minRefreshableVersion="3" showCalcMbrs="0" useAutoFormatting="1" rowGrandTotals="0" itemPrintTitles="1" createdVersion="3" indent="0" showHeaders="0" outline="1" outlineData="1" multipleFieldFilters="0">
  <location ref="I2:K7" firstHeaderRow="0" firstDataRow="1" firstDataCol="1"/>
  <pivotFields count="6">
    <pivotField axis="axisRow" showAll="0" defaultSubtotal="0">
      <items count="5">
        <item x="3"/>
        <item x="0"/>
        <item x="1"/>
        <item x="4"/>
        <item x="2"/>
      </items>
    </pivotField>
    <pivotField showAll="0" defaultSubtotal="0"/>
    <pivotField showAll="0" defaultSubtotal="0"/>
    <pivotField showAll="0" defaultSubtotal="0"/>
    <pivotField dataField="1" showAll="0" defaultSubtotal="0"/>
    <pivotField dataField="1" showAll="0" defaultSubtotal="0"/>
  </pivotFields>
  <rowFields count="1">
    <field x="0"/>
  </rowFields>
  <rowItems count="5">
    <i>
      <x/>
    </i>
    <i>
      <x v="1"/>
    </i>
    <i>
      <x v="2"/>
    </i>
    <i>
      <x v="3"/>
    </i>
    <i>
      <x v="4"/>
    </i>
  </rowItems>
  <colFields count="1">
    <field x="-2"/>
  </colFields>
  <colItems count="2">
    <i>
      <x/>
    </i>
    <i i="1">
      <x v="1"/>
    </i>
  </colItems>
  <dataFields count="2">
    <dataField name="平均值项:得分" fld="5" subtotal="average" baseField="0" baseItem="0"/>
    <dataField name="平均值项:犹豫期内电话回访成功率" fld="4" subtotal="average" baseField="0" baseItem="0" numFmtId="10"/>
  </dataFields>
  <formats count="4">
    <format dxfId="423">
      <pivotArea type="all" dataOnly="0" outline="0" fieldPosition="0"/>
    </format>
    <format dxfId="422">
      <pivotArea dataOnly="0" fieldPosition="0">
        <references count="1">
          <reference field="0" count="0"/>
        </references>
      </pivotArea>
    </format>
    <format dxfId="421">
      <pivotArea type="all" dataOnly="0" outline="0" fieldPosition="0"/>
    </format>
    <format dxfId="420">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数据透视表11" cacheId="48" applyNumberFormats="0" applyBorderFormats="0" applyFontFormats="0" applyPatternFormats="0" applyAlignmentFormats="0" applyWidthHeightFormats="1" dataCaption="值" updatedVersion="3" minRefreshableVersion="3" showCalcMbrs="0" useAutoFormatting="1" rowGrandTotals="0" itemPrintTitles="1" createdVersion="3" indent="0" showHeaders="0" outline="1" outlineData="1" multipleFieldFilters="0">
  <location ref="I2:K7" firstHeaderRow="0" firstDataRow="1" firstDataCol="1"/>
  <pivotFields count="6">
    <pivotField axis="axisRow" showAll="0">
      <items count="6">
        <item x="3"/>
        <item x="0"/>
        <item x="1"/>
        <item x="4"/>
        <item x="2"/>
        <item t="default"/>
      </items>
    </pivotField>
    <pivotField showAll="0"/>
    <pivotField showAll="0"/>
    <pivotField showAll="0"/>
    <pivotField dataField="1" showAll="0"/>
    <pivotField dataField="1" showAll="0"/>
  </pivotFields>
  <rowFields count="1">
    <field x="0"/>
  </rowFields>
  <rowItems count="5">
    <i>
      <x/>
    </i>
    <i>
      <x v="1"/>
    </i>
    <i>
      <x v="2"/>
    </i>
    <i>
      <x v="3"/>
    </i>
    <i>
      <x v="4"/>
    </i>
  </rowItems>
  <colFields count="1">
    <field x="-2"/>
  </colFields>
  <colItems count="2">
    <i>
      <x/>
    </i>
    <i i="1">
      <x v="1"/>
    </i>
  </colItems>
  <dataFields count="2">
    <dataField name="平均值项:得分" fld="5" subtotal="average" baseField="0" baseItem="0" numFmtId="176"/>
    <dataField name="平均值项:新契约回访完成率" fld="4" subtotal="average" baseField="0" baseItem="0" numFmtId="10"/>
  </dataFields>
  <formats count="12">
    <format dxfId="418">
      <pivotArea outline="0" collapsedLevelsAreSubtotals="1" fieldPosition="0">
        <references count="1">
          <reference field="4294967294" count="1" selected="0">
            <x v="0"/>
          </reference>
        </references>
      </pivotArea>
    </format>
    <format dxfId="417">
      <pivotArea collapsedLevelsAreSubtotals="1" fieldPosition="0">
        <references count="2">
          <reference field="4294967294" count="1" selected="0">
            <x v="0"/>
          </reference>
          <reference field="0" count="4">
            <x v="0"/>
            <x v="1"/>
            <x v="2"/>
            <x v="3"/>
          </reference>
        </references>
      </pivotArea>
    </format>
    <format dxfId="416">
      <pivotArea outline="0" collapsedLevelsAreSubtotals="1" fieldPosition="0">
        <references count="1">
          <reference field="4294967294" count="1" selected="0">
            <x v="1"/>
          </reference>
        </references>
      </pivotArea>
    </format>
    <format dxfId="415">
      <pivotArea outline="0" collapsedLevelsAreSubtotals="1" fieldPosition="0">
        <references count="1">
          <reference field="4294967294" count="1" selected="0">
            <x v="1"/>
          </reference>
        </references>
      </pivotArea>
    </format>
    <format dxfId="414">
      <pivotArea outline="0" collapsedLevelsAreSubtotals="1" fieldPosition="0"/>
    </format>
    <format dxfId="413">
      <pivotArea dataOnly="0" labelOnly="1" fieldPosition="0">
        <references count="1">
          <reference field="0" count="0"/>
        </references>
      </pivotArea>
    </format>
    <format dxfId="412">
      <pivotArea collapsedLevelsAreSubtotals="1" fieldPosition="0">
        <references count="1">
          <reference field="0" count="1">
            <x v="4"/>
          </reference>
        </references>
      </pivotArea>
    </format>
    <format dxfId="411">
      <pivotArea outline="0" collapsedLevelsAreSubtotals="1" fieldPosition="0">
        <references count="1">
          <reference field="4294967294" count="1" selected="0">
            <x v="0"/>
          </reference>
        </references>
      </pivotArea>
    </format>
    <format dxfId="410">
      <pivotArea type="all" dataOnly="0" outline="0" fieldPosition="0"/>
    </format>
    <format dxfId="409">
      <pivotArea type="all" dataOnly="0" outline="0" fieldPosition="0"/>
    </format>
    <format dxfId="408">
      <pivotArea outline="0" collapsedLevelsAreSubtotals="1" fieldPosition="0">
        <references count="1">
          <reference field="4294967294" count="1" selected="0">
            <x v="1"/>
          </reference>
        </references>
      </pivotArea>
    </format>
    <format dxfId="5">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数据透视表12" cacheId="42" applyNumberFormats="0" applyBorderFormats="0" applyFontFormats="0" applyPatternFormats="0" applyAlignmentFormats="0" applyWidthHeightFormats="1" dataCaption="值" updatedVersion="3" minRefreshableVersion="3" showCalcMbrs="0" useAutoFormatting="1" rowGrandTotals="0" itemPrintTitles="1" createdVersion="3" indent="0" outline="1" outlineData="1" multipleFieldFilters="0">
  <location ref="H5:J10" firstHeaderRow="1" firstDataRow="2" firstDataCol="1"/>
  <pivotFields count="5">
    <pivotField axis="axisRow" showAll="0" defaultSubtotal="0">
      <items count="5">
        <item x="1"/>
        <item x="0"/>
        <item x="3"/>
        <item x="2"/>
        <item h="1" x="4"/>
      </items>
    </pivotField>
    <pivotField showAll="0"/>
    <pivotField showAll="0"/>
    <pivotField dataField="1" showAll="0"/>
    <pivotField dataField="1" showAll="0"/>
  </pivotFields>
  <rowFields count="1">
    <field x="0"/>
  </rowFields>
  <rowItems count="4">
    <i>
      <x/>
    </i>
    <i>
      <x v="1"/>
    </i>
    <i>
      <x v="2"/>
    </i>
    <i>
      <x v="3"/>
    </i>
  </rowItems>
  <colFields count="1">
    <field x="-2"/>
  </colFields>
  <colItems count="2">
    <i>
      <x/>
    </i>
    <i i="1">
      <x v="1"/>
    </i>
  </colItems>
  <dataFields count="2">
    <dataField name="平均值项:保费继续率" fld="3" subtotal="average" baseField="0" baseItem="0" numFmtId="10"/>
    <dataField name="平均值项:得分" fld="4" subtotal="average" baseField="0" baseItem="0" numFmtId="176"/>
  </dataFields>
  <formats count="5">
    <format dxfId="407">
      <pivotArea outline="0" collapsedLevelsAreSubtotals="1" fieldPosition="0"/>
    </format>
    <format dxfId="406">
      <pivotArea dataOnly="0" labelOnly="1" fieldPosition="0">
        <references count="1">
          <reference field="0" count="0"/>
        </references>
      </pivotArea>
    </format>
    <format dxfId="405">
      <pivotArea type="all" dataOnly="0" outline="0" fieldPosition="0"/>
    </format>
    <format dxfId="404">
      <pivotArea outline="0" collapsedLevelsAreSubtotals="1" fieldPosition="0">
        <references count="1">
          <reference field="4294967294" count="1" selected="0">
            <x v="0"/>
          </reference>
        </references>
      </pivotArea>
    </format>
    <format dxfId="403">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pivotTableDefinition>
</file>

<file path=xl/pivotTables/pivotTable5.xml><?xml version="1.0" encoding="utf-8"?>
<pivotTableDefinition xmlns="http://schemas.openxmlformats.org/spreadsheetml/2006/main" name="数据透视表4" cacheId="98" applyNumberFormats="0" applyBorderFormats="0" applyFontFormats="0" applyPatternFormats="0" applyAlignmentFormats="0" applyWidthHeightFormats="1" dataCaption="值" updatedVersion="3" minRefreshableVersion="3" showCalcMbrs="0" useAutoFormatting="1" rowGrandTotals="0" itemPrintTitles="1" createdVersion="3" indent="0" outline="1" outlineData="1" multipleFieldFilters="0">
  <location ref="L16:N22" firstHeaderRow="1" firstDataRow="2" firstDataCol="1"/>
  <pivotFields count="8">
    <pivotField axis="axisRow" showAll="0">
      <items count="7">
        <item x="0"/>
        <item x="1"/>
        <item x="2"/>
        <item h="1" x="3"/>
        <item x="4"/>
        <item x="5"/>
        <item t="default"/>
      </items>
    </pivotField>
    <pivotField showAll="0"/>
    <pivotField showAll="0"/>
    <pivotField showAll="0"/>
    <pivotField showAll="0"/>
    <pivotField showAll="0"/>
    <pivotField dataField="1" numFmtId="10" showAll="0"/>
    <pivotField dataField="1" showAll="0"/>
  </pivotFields>
  <rowFields count="1">
    <field x="0"/>
  </rowFields>
  <rowItems count="5">
    <i>
      <x/>
    </i>
    <i>
      <x v="1"/>
    </i>
    <i>
      <x v="2"/>
    </i>
    <i>
      <x v="4"/>
    </i>
    <i>
      <x v="5"/>
    </i>
  </rowItems>
  <colFields count="1">
    <field x="-2"/>
  </colFields>
  <colItems count="2">
    <i>
      <x/>
    </i>
    <i i="1">
      <x v="1"/>
    </i>
  </colItems>
  <dataFields count="2">
    <dataField name="平均值项:退撤保率" fld="6" subtotal="average" baseField="0" baseItem="0" numFmtId="10"/>
    <dataField name="平均值项:分数" fld="7" subtotal="average" baseField="0" baseItem="0" numFmtId="176"/>
  </dataFields>
  <formats count="9">
    <format dxfId="402">
      <pivotArea collapsedLevelsAreSubtotals="1" fieldPosition="0">
        <references count="2">
          <reference field="4294967294" count="1" selected="0">
            <x v="1"/>
          </reference>
          <reference field="0" count="0"/>
        </references>
      </pivotArea>
    </format>
    <format dxfId="401">
      <pivotArea collapsedLevelsAreSubtotals="1" fieldPosition="0">
        <references count="2">
          <reference field="4294967294" count="1" selected="0">
            <x v="0"/>
          </reference>
          <reference field="0" count="0"/>
        </references>
      </pivotArea>
    </format>
    <format dxfId="400">
      <pivotArea field="0" grandRow="1" outline="0" collapsedLevelsAreSubtotals="1" axis="axisRow" fieldPosition="0">
        <references count="1">
          <reference field="4294967294" count="1" selected="0">
            <x v="0"/>
          </reference>
        </references>
      </pivotArea>
    </format>
    <format dxfId="399">
      <pivotArea outline="0" collapsedLevelsAreSubtotals="1" fieldPosition="0"/>
    </format>
    <format dxfId="398">
      <pivotArea dataOnly="0" labelOnly="1" fieldPosition="0">
        <references count="1">
          <reference field="0" count="0"/>
        </references>
      </pivotArea>
    </format>
    <format dxfId="397">
      <pivotArea dataOnly="0" fieldPosition="0">
        <references count="1">
          <reference field="0" count="1">
            <x v="3"/>
          </reference>
        </references>
      </pivotArea>
    </format>
    <format dxfId="396">
      <pivotArea type="all" dataOnly="0" outline="0" fieldPosition="0"/>
    </format>
    <format dxfId="395">
      <pivotArea outline="0" collapsedLevelsAreSubtotals="1" fieldPosition="0">
        <references count="1">
          <reference field="4294967294" count="1" selected="0">
            <x v="1"/>
          </reference>
        </references>
      </pivotArea>
    </format>
    <format dxfId="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openxmlformats.org/officeDocument/2006/relationships/hyperlink" Target="mailto:JN.LuBao_Guo@hengansl.com" TargetMode="External"/><Relationship Id="rId2" Type="http://schemas.openxmlformats.org/officeDocument/2006/relationships/hyperlink" Target="mailto:dl.shuai_liang@hengansl.com" TargetMode="External"/><Relationship Id="rId1" Type="http://schemas.openxmlformats.org/officeDocument/2006/relationships/hyperlink" Target="mailto:TJ.Alisa_Yu@hengansl.com" TargetMode="External"/><Relationship Id="rId4" Type="http://schemas.openxmlformats.org/officeDocument/2006/relationships/hyperlink" Target="mailto:qd.haisheng_sui@hengansl.com"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sheetPr>
    <tabColor rgb="FF00B0F0"/>
  </sheetPr>
  <dimension ref="A1:O88"/>
  <sheetViews>
    <sheetView topLeftCell="E1" workbookViewId="0">
      <selection activeCell="J10" sqref="J10"/>
    </sheetView>
  </sheetViews>
  <sheetFormatPr defaultRowHeight="13.5"/>
  <cols>
    <col min="1" max="2" width="9" style="325"/>
    <col min="3" max="3" width="21.875" style="325" customWidth="1"/>
    <col min="4" max="4" width="20.875" style="325" customWidth="1"/>
    <col min="5" max="5" width="13.625" style="325" customWidth="1"/>
    <col min="6" max="6" width="13.625" style="320" customWidth="1"/>
    <col min="7" max="10" width="13.625" style="325" customWidth="1"/>
    <col min="11" max="11" width="5.25" style="325" customWidth="1"/>
    <col min="12" max="12" width="17.375" style="325" customWidth="1"/>
    <col min="13" max="13" width="19.625" style="325" customWidth="1"/>
    <col min="14" max="16384" width="9" style="325"/>
  </cols>
  <sheetData>
    <row r="1" spans="1:13" ht="61.5" thickBot="1">
      <c r="A1" s="684" t="s">
        <v>2084</v>
      </c>
      <c r="B1" s="684" t="s">
        <v>2085</v>
      </c>
      <c r="C1" s="671" t="s">
        <v>2098</v>
      </c>
      <c r="D1" s="671" t="s">
        <v>2099</v>
      </c>
      <c r="E1" s="671" t="s">
        <v>2496</v>
      </c>
      <c r="F1" s="1161" t="s">
        <v>1913</v>
      </c>
      <c r="G1" s="684" t="s">
        <v>1914</v>
      </c>
      <c r="K1" s="1514"/>
      <c r="L1" s="1514"/>
      <c r="M1" s="1514"/>
    </row>
    <row r="2" spans="1:13" ht="15" thickBot="1">
      <c r="A2" s="672" t="s">
        <v>1915</v>
      </c>
      <c r="B2" s="673" t="s">
        <v>1916</v>
      </c>
      <c r="C2" s="674">
        <v>5</v>
      </c>
      <c r="D2" s="674">
        <v>4</v>
      </c>
      <c r="E2" s="685">
        <v>3</v>
      </c>
      <c r="F2" s="1162">
        <f>C2/SUM(D2:E2)</f>
        <v>0.7142857142857143</v>
      </c>
      <c r="G2" s="686">
        <f>IF(F2&lt;=0.15,3,IF(F2&lt;=0.3,1.5,0))</f>
        <v>0</v>
      </c>
      <c r="K2" s="1168"/>
      <c r="L2" s="1168" t="s">
        <v>1952</v>
      </c>
      <c r="M2" s="1168" t="s">
        <v>1954</v>
      </c>
    </row>
    <row r="3" spans="1:13" ht="15" thickBot="1">
      <c r="A3" s="675" t="s">
        <v>1917</v>
      </c>
      <c r="B3" s="676" t="s">
        <v>1916</v>
      </c>
      <c r="C3" s="677">
        <v>2</v>
      </c>
      <c r="D3" s="677">
        <v>13</v>
      </c>
      <c r="E3" s="687">
        <v>8</v>
      </c>
      <c r="F3" s="1162">
        <f t="shared" ref="F3:F61" si="0">C3/SUM(D3:E3)</f>
        <v>9.5238095238095233E-2</v>
      </c>
      <c r="G3" s="686">
        <f t="shared" ref="G3:G61" si="1">IF(F3&lt;=0.15,3,IF(F3&lt;=0.3,1.5,0))</f>
        <v>3</v>
      </c>
      <c r="K3" s="1169" t="s">
        <v>1867</v>
      </c>
      <c r="L3" s="1166">
        <v>2.0625</v>
      </c>
      <c r="M3" s="1167">
        <v>0.18888888888888891</v>
      </c>
    </row>
    <row r="4" spans="1:13" ht="15" thickBot="1">
      <c r="A4" s="675" t="s">
        <v>1918</v>
      </c>
      <c r="B4" s="676" t="s">
        <v>1916</v>
      </c>
      <c r="C4" s="677">
        <v>4</v>
      </c>
      <c r="D4" s="677">
        <v>9</v>
      </c>
      <c r="E4" s="687">
        <v>3</v>
      </c>
      <c r="F4" s="1162">
        <f t="shared" si="0"/>
        <v>0.33333333333333331</v>
      </c>
      <c r="G4" s="686">
        <f t="shared" si="1"/>
        <v>0</v>
      </c>
      <c r="K4" s="1169" t="s">
        <v>1864</v>
      </c>
      <c r="L4" s="1166">
        <v>1.65</v>
      </c>
      <c r="M4" s="1167">
        <v>0.18767225020582171</v>
      </c>
    </row>
    <row r="5" spans="1:13" ht="15" thickBot="1">
      <c r="A5" s="675" t="s">
        <v>1919</v>
      </c>
      <c r="B5" s="676" t="s">
        <v>1916</v>
      </c>
      <c r="C5" s="677">
        <v>9</v>
      </c>
      <c r="D5" s="677">
        <v>8</v>
      </c>
      <c r="E5" s="687">
        <v>7</v>
      </c>
      <c r="F5" s="1162">
        <f t="shared" si="0"/>
        <v>0.6</v>
      </c>
      <c r="G5" s="686">
        <f t="shared" si="1"/>
        <v>0</v>
      </c>
      <c r="K5" s="1169" t="s">
        <v>1862</v>
      </c>
      <c r="L5" s="1166">
        <v>1.8</v>
      </c>
      <c r="M5" s="1167">
        <v>0.2475</v>
      </c>
    </row>
    <row r="6" spans="1:13" ht="15" thickBot="1">
      <c r="A6" s="675" t="s">
        <v>1920</v>
      </c>
      <c r="B6" s="676" t="s">
        <v>1916</v>
      </c>
      <c r="C6" s="677">
        <v>1</v>
      </c>
      <c r="D6" s="677">
        <v>5</v>
      </c>
      <c r="E6" s="687">
        <v>3</v>
      </c>
      <c r="F6" s="1162">
        <f t="shared" si="0"/>
        <v>0.125</v>
      </c>
      <c r="G6" s="686">
        <f t="shared" si="1"/>
        <v>3</v>
      </c>
      <c r="K6" s="1169" t="s">
        <v>1865</v>
      </c>
      <c r="L6" s="1166">
        <v>0.75</v>
      </c>
      <c r="M6" s="1167">
        <v>0.43113447854827164</v>
      </c>
    </row>
    <row r="7" spans="1:13" ht="15" thickBot="1">
      <c r="A7" s="679" t="s">
        <v>1921</v>
      </c>
      <c r="B7" s="680" t="s">
        <v>1916</v>
      </c>
      <c r="C7" s="681">
        <v>0</v>
      </c>
      <c r="D7" s="681">
        <v>4</v>
      </c>
      <c r="E7" s="688">
        <v>0</v>
      </c>
      <c r="F7" s="1162">
        <f t="shared" si="0"/>
        <v>0</v>
      </c>
      <c r="G7" s="686">
        <f t="shared" si="1"/>
        <v>3</v>
      </c>
      <c r="K7" s="1169" t="s">
        <v>1863</v>
      </c>
      <c r="L7" s="1166">
        <v>1.65</v>
      </c>
      <c r="M7" s="1167">
        <v>0.22260822510822509</v>
      </c>
    </row>
    <row r="8" spans="1:13" ht="15" thickBot="1">
      <c r="A8" s="672" t="s">
        <v>1915</v>
      </c>
      <c r="B8" s="689" t="s">
        <v>1922</v>
      </c>
      <c r="C8" s="674">
        <v>1</v>
      </c>
      <c r="D8" s="674">
        <v>6</v>
      </c>
      <c r="E8" s="685">
        <v>2</v>
      </c>
      <c r="F8" s="1162">
        <f t="shared" si="0"/>
        <v>0.125</v>
      </c>
      <c r="G8" s="686">
        <f t="shared" si="1"/>
        <v>3</v>
      </c>
      <c r="K8" s="1169" t="s">
        <v>1866</v>
      </c>
      <c r="L8" s="1166">
        <v>0.375</v>
      </c>
      <c r="M8" s="1167">
        <v>0.51004194258112601</v>
      </c>
    </row>
    <row r="9" spans="1:13" ht="15" thickBot="1">
      <c r="A9" s="675" t="s">
        <v>1923</v>
      </c>
      <c r="B9" s="676" t="s">
        <v>1922</v>
      </c>
      <c r="C9" s="677">
        <v>16</v>
      </c>
      <c r="D9" s="677">
        <v>66</v>
      </c>
      <c r="E9" s="687">
        <v>26</v>
      </c>
      <c r="F9" s="1162">
        <f t="shared" si="0"/>
        <v>0.17391304347826086</v>
      </c>
      <c r="G9" s="686">
        <f t="shared" si="1"/>
        <v>1.5</v>
      </c>
    </row>
    <row r="10" spans="1:13" ht="15" thickBot="1">
      <c r="A10" s="675" t="s">
        <v>1924</v>
      </c>
      <c r="B10" s="676" t="s">
        <v>1922</v>
      </c>
      <c r="C10" s="677">
        <v>1</v>
      </c>
      <c r="D10" s="677">
        <v>23</v>
      </c>
      <c r="E10" s="687">
        <v>6</v>
      </c>
      <c r="F10" s="1162">
        <f t="shared" si="0"/>
        <v>3.4482758620689655E-2</v>
      </c>
      <c r="G10" s="686">
        <f t="shared" si="1"/>
        <v>3</v>
      </c>
    </row>
    <row r="11" spans="1:13" ht="15" thickBot="1">
      <c r="A11" s="675" t="s">
        <v>1925</v>
      </c>
      <c r="B11" s="676" t="s">
        <v>1922</v>
      </c>
      <c r="C11" s="677">
        <v>2</v>
      </c>
      <c r="D11" s="677">
        <v>26</v>
      </c>
      <c r="E11" s="687">
        <v>6</v>
      </c>
      <c r="F11" s="1162">
        <f t="shared" si="0"/>
        <v>6.25E-2</v>
      </c>
      <c r="G11" s="686">
        <f t="shared" si="1"/>
        <v>3</v>
      </c>
    </row>
    <row r="12" spans="1:13" ht="15" thickBot="1">
      <c r="A12" s="675" t="s">
        <v>1926</v>
      </c>
      <c r="B12" s="676" t="s">
        <v>1922</v>
      </c>
      <c r="C12" s="690">
        <v>0</v>
      </c>
      <c r="D12" s="690">
        <v>0</v>
      </c>
      <c r="E12" s="691">
        <v>0</v>
      </c>
      <c r="F12" s="1163"/>
      <c r="G12" s="692"/>
      <c r="K12" s="325" t="s">
        <v>1964</v>
      </c>
    </row>
    <row r="13" spans="1:13" ht="15" thickBot="1">
      <c r="A13" s="679" t="s">
        <v>1927</v>
      </c>
      <c r="B13" s="680" t="s">
        <v>1922</v>
      </c>
      <c r="C13" s="681">
        <v>1</v>
      </c>
      <c r="D13" s="681">
        <v>8</v>
      </c>
      <c r="E13" s="688">
        <v>3</v>
      </c>
      <c r="F13" s="1162">
        <f t="shared" si="0"/>
        <v>9.0909090909090912E-2</v>
      </c>
      <c r="G13" s="686">
        <f t="shared" si="1"/>
        <v>3</v>
      </c>
      <c r="K13" s="325" t="s">
        <v>1962</v>
      </c>
    </row>
    <row r="14" spans="1:13" ht="15" thickBot="1">
      <c r="A14" s="672" t="s">
        <v>1862</v>
      </c>
      <c r="B14" s="673" t="s">
        <v>1928</v>
      </c>
      <c r="C14" s="693">
        <v>1</v>
      </c>
      <c r="D14" s="693">
        <v>7</v>
      </c>
      <c r="E14" s="694">
        <v>1</v>
      </c>
      <c r="F14" s="1162">
        <f t="shared" si="0"/>
        <v>0.125</v>
      </c>
      <c r="G14" s="686">
        <f t="shared" si="1"/>
        <v>3</v>
      </c>
      <c r="K14" s="325" t="s">
        <v>1963</v>
      </c>
    </row>
    <row r="15" spans="1:13" ht="15" thickBot="1">
      <c r="A15" s="675" t="s">
        <v>1864</v>
      </c>
      <c r="B15" s="676" t="s">
        <v>1928</v>
      </c>
      <c r="C15" s="695">
        <v>12</v>
      </c>
      <c r="D15" s="695">
        <v>61</v>
      </c>
      <c r="E15" s="696">
        <v>18</v>
      </c>
      <c r="F15" s="1162">
        <f t="shared" si="0"/>
        <v>0.15189873417721519</v>
      </c>
      <c r="G15" s="686">
        <f t="shared" si="1"/>
        <v>1.5</v>
      </c>
    </row>
    <row r="16" spans="1:13" ht="15" thickBot="1">
      <c r="A16" s="675" t="s">
        <v>1865</v>
      </c>
      <c r="B16" s="676" t="s">
        <v>1928</v>
      </c>
      <c r="C16" s="695">
        <v>3</v>
      </c>
      <c r="D16" s="695">
        <v>0</v>
      </c>
      <c r="E16" s="696">
        <v>3</v>
      </c>
      <c r="F16" s="1162">
        <f t="shared" si="0"/>
        <v>1</v>
      </c>
      <c r="G16" s="686">
        <f t="shared" si="1"/>
        <v>0</v>
      </c>
    </row>
    <row r="17" spans="1:11" ht="15" thickBot="1">
      <c r="A17" s="675" t="s">
        <v>1866</v>
      </c>
      <c r="B17" s="676" t="s">
        <v>1928</v>
      </c>
      <c r="C17" s="1164">
        <v>0</v>
      </c>
      <c r="D17" s="1164">
        <v>0</v>
      </c>
      <c r="E17" s="1165">
        <v>0</v>
      </c>
      <c r="F17" s="1163"/>
      <c r="G17" s="692"/>
    </row>
    <row r="18" spans="1:11" ht="15" thickBot="1">
      <c r="A18" s="675" t="s">
        <v>1867</v>
      </c>
      <c r="B18" s="676" t="s">
        <v>1928</v>
      </c>
      <c r="C18" s="695">
        <v>2</v>
      </c>
      <c r="D18" s="695">
        <v>14</v>
      </c>
      <c r="E18" s="696">
        <v>2</v>
      </c>
      <c r="F18" s="1162">
        <f t="shared" si="0"/>
        <v>0.125</v>
      </c>
      <c r="G18" s="686">
        <f t="shared" si="1"/>
        <v>3</v>
      </c>
      <c r="K18" s="641" t="s">
        <v>1995</v>
      </c>
    </row>
    <row r="19" spans="1:11" ht="15" thickBot="1">
      <c r="A19" s="679" t="s">
        <v>1863</v>
      </c>
      <c r="B19" s="680" t="s">
        <v>1928</v>
      </c>
      <c r="C19" s="697">
        <v>3</v>
      </c>
      <c r="D19" s="697">
        <v>15</v>
      </c>
      <c r="E19" s="698">
        <v>6</v>
      </c>
      <c r="F19" s="1162">
        <f t="shared" si="0"/>
        <v>0.14285714285714285</v>
      </c>
      <c r="G19" s="686">
        <f t="shared" si="1"/>
        <v>3</v>
      </c>
      <c r="K19" s="641" t="s">
        <v>1996</v>
      </c>
    </row>
    <row r="20" spans="1:11" ht="15" thickBot="1">
      <c r="A20" s="672" t="s">
        <v>1929</v>
      </c>
      <c r="B20" s="673" t="s">
        <v>1930</v>
      </c>
      <c r="C20" s="674">
        <v>1</v>
      </c>
      <c r="D20" s="674">
        <v>3</v>
      </c>
      <c r="E20" s="685">
        <v>2</v>
      </c>
      <c r="F20" s="1162">
        <f t="shared" si="0"/>
        <v>0.2</v>
      </c>
      <c r="G20" s="686">
        <f t="shared" si="1"/>
        <v>1.5</v>
      </c>
      <c r="K20" s="641" t="s">
        <v>1997</v>
      </c>
    </row>
    <row r="21" spans="1:11" ht="15" thickBot="1">
      <c r="A21" s="675" t="s">
        <v>1923</v>
      </c>
      <c r="B21" s="676" t="s">
        <v>1930</v>
      </c>
      <c r="C21" s="677">
        <v>3</v>
      </c>
      <c r="D21" s="677">
        <v>10</v>
      </c>
      <c r="E21" s="687">
        <v>9</v>
      </c>
      <c r="F21" s="1162">
        <f t="shared" si="0"/>
        <v>0.15789473684210525</v>
      </c>
      <c r="G21" s="686">
        <f t="shared" si="1"/>
        <v>1.5</v>
      </c>
    </row>
    <row r="22" spans="1:11" ht="15" thickBot="1">
      <c r="A22" s="675" t="s">
        <v>1924</v>
      </c>
      <c r="B22" s="676" t="s">
        <v>1930</v>
      </c>
      <c r="C22" s="677">
        <v>1</v>
      </c>
      <c r="D22" s="677">
        <v>0</v>
      </c>
      <c r="E22" s="687">
        <v>1</v>
      </c>
      <c r="F22" s="1162">
        <f t="shared" si="0"/>
        <v>1</v>
      </c>
      <c r="G22" s="686">
        <f t="shared" si="1"/>
        <v>0</v>
      </c>
    </row>
    <row r="23" spans="1:11" ht="15" thickBot="1">
      <c r="A23" s="675" t="s">
        <v>1925</v>
      </c>
      <c r="B23" s="676" t="s">
        <v>1930</v>
      </c>
      <c r="C23" s="677">
        <v>11</v>
      </c>
      <c r="D23" s="677">
        <v>23</v>
      </c>
      <c r="E23" s="687">
        <v>9</v>
      </c>
      <c r="F23" s="1162">
        <f t="shared" si="0"/>
        <v>0.34375</v>
      </c>
      <c r="G23" s="686">
        <f t="shared" si="1"/>
        <v>0</v>
      </c>
    </row>
    <row r="24" spans="1:11" ht="15" thickBot="1">
      <c r="A24" s="675" t="s">
        <v>1926</v>
      </c>
      <c r="B24" s="676" t="s">
        <v>1930</v>
      </c>
      <c r="C24" s="690">
        <v>0</v>
      </c>
      <c r="D24" s="690">
        <v>0</v>
      </c>
      <c r="E24" s="691">
        <v>0</v>
      </c>
      <c r="F24" s="1163"/>
      <c r="G24" s="692"/>
    </row>
    <row r="25" spans="1:11" ht="15" thickBot="1">
      <c r="A25" s="679" t="s">
        <v>1927</v>
      </c>
      <c r="B25" s="680" t="s">
        <v>1930</v>
      </c>
      <c r="C25" s="681">
        <v>2</v>
      </c>
      <c r="D25" s="681">
        <v>4</v>
      </c>
      <c r="E25" s="688">
        <v>1</v>
      </c>
      <c r="F25" s="1162">
        <f t="shared" si="0"/>
        <v>0.4</v>
      </c>
      <c r="G25" s="686">
        <f t="shared" si="1"/>
        <v>0</v>
      </c>
    </row>
    <row r="26" spans="1:11" ht="15" thickBot="1">
      <c r="A26" s="672" t="s">
        <v>1929</v>
      </c>
      <c r="B26" s="673" t="s">
        <v>1931</v>
      </c>
      <c r="C26" s="674">
        <v>2</v>
      </c>
      <c r="D26" s="674">
        <v>5</v>
      </c>
      <c r="E26" s="685">
        <v>2</v>
      </c>
      <c r="F26" s="1162">
        <f t="shared" si="0"/>
        <v>0.2857142857142857</v>
      </c>
      <c r="G26" s="686">
        <f t="shared" si="1"/>
        <v>1.5</v>
      </c>
    </row>
    <row r="27" spans="1:11" ht="15" thickBot="1">
      <c r="A27" s="675" t="s">
        <v>1923</v>
      </c>
      <c r="B27" s="676" t="s">
        <v>1931</v>
      </c>
      <c r="C27" s="677">
        <v>24</v>
      </c>
      <c r="D27" s="677">
        <v>65</v>
      </c>
      <c r="E27" s="687">
        <v>26</v>
      </c>
      <c r="F27" s="1162">
        <f t="shared" si="0"/>
        <v>0.26373626373626374</v>
      </c>
      <c r="G27" s="686">
        <f t="shared" si="1"/>
        <v>1.5</v>
      </c>
    </row>
    <row r="28" spans="1:11" ht="15" thickBot="1">
      <c r="A28" s="675" t="s">
        <v>1924</v>
      </c>
      <c r="B28" s="676" t="s">
        <v>1931</v>
      </c>
      <c r="C28" s="677">
        <v>4</v>
      </c>
      <c r="D28" s="677">
        <v>18</v>
      </c>
      <c r="E28" s="687">
        <v>6</v>
      </c>
      <c r="F28" s="1162">
        <f t="shared" si="0"/>
        <v>0.16666666666666666</v>
      </c>
      <c r="G28" s="686">
        <f t="shared" si="1"/>
        <v>1.5</v>
      </c>
    </row>
    <row r="29" spans="1:11" ht="15" thickBot="1">
      <c r="A29" s="675" t="s">
        <v>1925</v>
      </c>
      <c r="B29" s="676" t="s">
        <v>1931</v>
      </c>
      <c r="C29" s="677">
        <v>11</v>
      </c>
      <c r="D29" s="677">
        <v>13</v>
      </c>
      <c r="E29" s="687">
        <v>2</v>
      </c>
      <c r="F29" s="1162">
        <f t="shared" si="0"/>
        <v>0.73333333333333328</v>
      </c>
      <c r="G29" s="686">
        <f t="shared" si="1"/>
        <v>0</v>
      </c>
    </row>
    <row r="30" spans="1:11" ht="15" thickBot="1">
      <c r="A30" s="675" t="s">
        <v>1926</v>
      </c>
      <c r="B30" s="676" t="s">
        <v>1931</v>
      </c>
      <c r="C30" s="677">
        <v>3</v>
      </c>
      <c r="D30" s="677">
        <v>7</v>
      </c>
      <c r="E30" s="687">
        <v>3</v>
      </c>
      <c r="F30" s="1162">
        <f t="shared" si="0"/>
        <v>0.3</v>
      </c>
      <c r="G30" s="686">
        <f t="shared" si="1"/>
        <v>1.5</v>
      </c>
    </row>
    <row r="31" spans="1:11" ht="15" thickBot="1">
      <c r="A31" s="679" t="s">
        <v>1927</v>
      </c>
      <c r="B31" s="680" t="s">
        <v>1931</v>
      </c>
      <c r="C31" s="681">
        <v>4</v>
      </c>
      <c r="D31" s="681">
        <v>12</v>
      </c>
      <c r="E31" s="688">
        <v>12</v>
      </c>
      <c r="F31" s="1162">
        <f t="shared" si="0"/>
        <v>0.16666666666666666</v>
      </c>
      <c r="G31" s="686">
        <f t="shared" si="1"/>
        <v>1.5</v>
      </c>
    </row>
    <row r="32" spans="1:11" ht="15" thickBot="1">
      <c r="A32" s="672" t="s">
        <v>1929</v>
      </c>
      <c r="B32" s="673" t="s">
        <v>1932</v>
      </c>
      <c r="C32" s="674">
        <v>1</v>
      </c>
      <c r="D32" s="674">
        <v>5</v>
      </c>
      <c r="E32" s="685">
        <v>3</v>
      </c>
      <c r="F32" s="1162">
        <f t="shared" si="0"/>
        <v>0.125</v>
      </c>
      <c r="G32" s="686">
        <f t="shared" si="1"/>
        <v>3</v>
      </c>
    </row>
    <row r="33" spans="1:15" ht="15" thickBot="1">
      <c r="A33" s="675" t="s">
        <v>1923</v>
      </c>
      <c r="B33" s="676" t="s">
        <v>1932</v>
      </c>
      <c r="C33" s="677">
        <v>22</v>
      </c>
      <c r="D33" s="677">
        <v>95</v>
      </c>
      <c r="E33" s="687">
        <v>38</v>
      </c>
      <c r="F33" s="1162">
        <f t="shared" si="0"/>
        <v>0.16541353383458646</v>
      </c>
      <c r="G33" s="686">
        <f t="shared" si="1"/>
        <v>1.5</v>
      </c>
    </row>
    <row r="34" spans="1:15" ht="15" thickBot="1">
      <c r="A34" s="675" t="s">
        <v>1924</v>
      </c>
      <c r="B34" s="676" t="s">
        <v>1932</v>
      </c>
      <c r="C34" s="677">
        <v>6</v>
      </c>
      <c r="D34" s="677">
        <v>20</v>
      </c>
      <c r="E34" s="687">
        <v>4</v>
      </c>
      <c r="F34" s="1162">
        <f t="shared" si="0"/>
        <v>0.25</v>
      </c>
      <c r="G34" s="686">
        <f t="shared" si="1"/>
        <v>1.5</v>
      </c>
    </row>
    <row r="35" spans="1:15" ht="15" thickBot="1">
      <c r="A35" s="675" t="s">
        <v>1925</v>
      </c>
      <c r="B35" s="676" t="s">
        <v>1932</v>
      </c>
      <c r="C35" s="677">
        <v>29</v>
      </c>
      <c r="D35" s="677">
        <v>29</v>
      </c>
      <c r="E35" s="687">
        <v>25</v>
      </c>
      <c r="F35" s="1162">
        <f t="shared" si="0"/>
        <v>0.53703703703703709</v>
      </c>
      <c r="G35" s="686">
        <f t="shared" si="1"/>
        <v>0</v>
      </c>
    </row>
    <row r="36" spans="1:15" ht="15" thickBot="1">
      <c r="A36" s="675" t="s">
        <v>1926</v>
      </c>
      <c r="B36" s="676" t="s">
        <v>1932</v>
      </c>
      <c r="C36" s="677">
        <v>4</v>
      </c>
      <c r="D36" s="677">
        <v>11</v>
      </c>
      <c r="E36" s="687">
        <v>5</v>
      </c>
      <c r="F36" s="1162">
        <f t="shared" si="0"/>
        <v>0.25</v>
      </c>
      <c r="G36" s="686">
        <f t="shared" si="1"/>
        <v>1.5</v>
      </c>
      <c r="I36" s="701"/>
      <c r="J36" s="701"/>
      <c r="K36" s="701"/>
      <c r="L36" s="701"/>
      <c r="M36" s="701"/>
      <c r="N36" s="701"/>
      <c r="O36" s="701"/>
    </row>
    <row r="37" spans="1:15" ht="15" thickBot="1">
      <c r="A37" s="679" t="s">
        <v>1927</v>
      </c>
      <c r="B37" s="680" t="s">
        <v>1932</v>
      </c>
      <c r="C37" s="681">
        <v>3</v>
      </c>
      <c r="D37" s="681">
        <v>18</v>
      </c>
      <c r="E37" s="688">
        <v>4</v>
      </c>
      <c r="F37" s="1162">
        <f t="shared" si="0"/>
        <v>0.13636363636363635</v>
      </c>
      <c r="G37" s="686">
        <f t="shared" si="1"/>
        <v>3</v>
      </c>
      <c r="I37" s="701"/>
      <c r="J37" s="701"/>
      <c r="K37" s="701"/>
      <c r="L37" s="701"/>
      <c r="M37" s="701"/>
      <c r="N37" s="701"/>
      <c r="O37" s="701"/>
    </row>
    <row r="38" spans="1:15" ht="15" thickBot="1">
      <c r="A38" s="672" t="s">
        <v>1862</v>
      </c>
      <c r="B38" s="673" t="s">
        <v>1933</v>
      </c>
      <c r="C38" s="674">
        <v>2</v>
      </c>
      <c r="D38" s="674">
        <v>3</v>
      </c>
      <c r="E38" s="685">
        <v>2</v>
      </c>
      <c r="F38" s="1162">
        <f t="shared" si="0"/>
        <v>0.4</v>
      </c>
      <c r="G38" s="686">
        <f t="shared" si="1"/>
        <v>0</v>
      </c>
      <c r="I38" s="701"/>
      <c r="J38" s="701"/>
      <c r="K38" s="701"/>
      <c r="L38" s="701"/>
      <c r="M38" s="701"/>
      <c r="N38" s="701"/>
      <c r="O38" s="701"/>
    </row>
    <row r="39" spans="1:15" ht="15" thickBot="1">
      <c r="A39" s="675" t="s">
        <v>1864</v>
      </c>
      <c r="B39" s="676" t="s">
        <v>1933</v>
      </c>
      <c r="C39" s="677">
        <v>8</v>
      </c>
      <c r="D39" s="677">
        <v>19</v>
      </c>
      <c r="E39" s="687">
        <v>14</v>
      </c>
      <c r="F39" s="1162">
        <f t="shared" si="0"/>
        <v>0.24242424242424243</v>
      </c>
      <c r="G39" s="686">
        <f t="shared" si="1"/>
        <v>1.5</v>
      </c>
      <c r="I39" s="1824"/>
      <c r="J39" s="1824"/>
      <c r="K39" s="1824"/>
      <c r="L39" s="1824"/>
      <c r="M39" s="1824"/>
      <c r="N39" s="1824"/>
      <c r="O39" s="701"/>
    </row>
    <row r="40" spans="1:15" ht="15" thickBot="1">
      <c r="A40" s="675" t="s">
        <v>1865</v>
      </c>
      <c r="B40" s="676" t="s">
        <v>1933</v>
      </c>
      <c r="C40" s="677">
        <v>3</v>
      </c>
      <c r="D40" s="677">
        <v>5</v>
      </c>
      <c r="E40" s="687">
        <v>2</v>
      </c>
      <c r="F40" s="1162">
        <f t="shared" si="0"/>
        <v>0.42857142857142855</v>
      </c>
      <c r="G40" s="686">
        <f t="shared" si="1"/>
        <v>0</v>
      </c>
      <c r="I40" s="1824"/>
      <c r="J40" s="1824"/>
      <c r="K40" s="1824"/>
      <c r="L40" s="1824"/>
      <c r="M40" s="1824"/>
      <c r="N40" s="1824"/>
      <c r="O40" s="701"/>
    </row>
    <row r="41" spans="1:15" ht="15" thickBot="1">
      <c r="A41" s="675" t="s">
        <v>1866</v>
      </c>
      <c r="B41" s="676" t="s">
        <v>1933</v>
      </c>
      <c r="C41" s="690">
        <v>0</v>
      </c>
      <c r="D41" s="690">
        <v>0</v>
      </c>
      <c r="E41" s="691">
        <v>0</v>
      </c>
      <c r="F41" s="1163"/>
      <c r="G41" s="692"/>
      <c r="I41" s="1824"/>
      <c r="J41" s="1824"/>
      <c r="K41" s="1824"/>
      <c r="L41" s="1824"/>
      <c r="M41" s="1824"/>
      <c r="N41" s="1824"/>
      <c r="O41" s="701"/>
    </row>
    <row r="42" spans="1:15" ht="15" thickBot="1">
      <c r="A42" s="675" t="s">
        <v>1867</v>
      </c>
      <c r="B42" s="676" t="s">
        <v>1933</v>
      </c>
      <c r="C42" s="677">
        <v>0</v>
      </c>
      <c r="D42" s="677">
        <v>0</v>
      </c>
      <c r="E42" s="687">
        <v>1</v>
      </c>
      <c r="F42" s="1162">
        <f t="shared" si="0"/>
        <v>0</v>
      </c>
      <c r="G42" s="686">
        <f t="shared" si="1"/>
        <v>3</v>
      </c>
      <c r="I42" s="701"/>
      <c r="J42" s="701"/>
      <c r="K42" s="701"/>
      <c r="L42" s="701"/>
      <c r="M42" s="701"/>
      <c r="N42" s="701"/>
      <c r="O42" s="701"/>
    </row>
    <row r="43" spans="1:15" ht="15" thickBot="1">
      <c r="A43" s="679" t="s">
        <v>1863</v>
      </c>
      <c r="B43" s="680" t="s">
        <v>1933</v>
      </c>
      <c r="C43" s="681">
        <v>4</v>
      </c>
      <c r="D43" s="681">
        <v>5</v>
      </c>
      <c r="E43" s="688">
        <v>3</v>
      </c>
      <c r="F43" s="1162">
        <f t="shared" si="0"/>
        <v>0.5</v>
      </c>
      <c r="G43" s="686">
        <f t="shared" si="1"/>
        <v>0</v>
      </c>
      <c r="I43" s="701"/>
      <c r="J43" s="701"/>
      <c r="K43" s="701"/>
      <c r="L43" s="701"/>
      <c r="M43" s="701"/>
      <c r="N43" s="701"/>
      <c r="O43" s="701"/>
    </row>
    <row r="44" spans="1:15" ht="15" thickBot="1">
      <c r="A44" s="672" t="s">
        <v>1862</v>
      </c>
      <c r="B44" s="673" t="s">
        <v>1934</v>
      </c>
      <c r="C44" s="674">
        <v>0</v>
      </c>
      <c r="D44" s="674">
        <v>7</v>
      </c>
      <c r="E44" s="685">
        <v>2</v>
      </c>
      <c r="F44" s="1162">
        <f t="shared" si="0"/>
        <v>0</v>
      </c>
      <c r="G44" s="686">
        <f t="shared" si="1"/>
        <v>3</v>
      </c>
      <c r="I44" s="701"/>
      <c r="J44" s="701"/>
      <c r="K44" s="701"/>
      <c r="L44" s="701"/>
      <c r="M44" s="701"/>
      <c r="N44" s="701"/>
      <c r="O44" s="701"/>
    </row>
    <row r="45" spans="1:15" ht="15" thickBot="1">
      <c r="A45" s="675" t="s">
        <v>1923</v>
      </c>
      <c r="B45" s="676" t="s">
        <v>1934</v>
      </c>
      <c r="C45" s="677">
        <v>16</v>
      </c>
      <c r="D45" s="677">
        <v>65</v>
      </c>
      <c r="E45" s="687">
        <v>24</v>
      </c>
      <c r="F45" s="1162">
        <f t="shared" si="0"/>
        <v>0.1797752808988764</v>
      </c>
      <c r="G45" s="686">
        <f t="shared" si="1"/>
        <v>1.5</v>
      </c>
    </row>
    <row r="46" spans="1:15" ht="15" thickBot="1">
      <c r="A46" s="675" t="s">
        <v>1924</v>
      </c>
      <c r="B46" s="676" t="s">
        <v>1934</v>
      </c>
      <c r="C46" s="677">
        <v>4</v>
      </c>
      <c r="D46" s="677">
        <v>7</v>
      </c>
      <c r="E46" s="687">
        <v>2</v>
      </c>
      <c r="F46" s="1162">
        <f t="shared" si="0"/>
        <v>0.44444444444444442</v>
      </c>
      <c r="G46" s="686">
        <f t="shared" si="1"/>
        <v>0</v>
      </c>
    </row>
    <row r="47" spans="1:15" ht="15" thickBot="1">
      <c r="A47" s="675" t="s">
        <v>1925</v>
      </c>
      <c r="B47" s="676" t="s">
        <v>1934</v>
      </c>
      <c r="C47" s="677">
        <v>37</v>
      </c>
      <c r="D47" s="677">
        <v>61</v>
      </c>
      <c r="E47" s="687">
        <v>24</v>
      </c>
      <c r="F47" s="1162">
        <f t="shared" si="0"/>
        <v>0.43529411764705883</v>
      </c>
      <c r="G47" s="686">
        <f t="shared" si="1"/>
        <v>0</v>
      </c>
    </row>
    <row r="48" spans="1:15" ht="15" thickBot="1">
      <c r="A48" s="675" t="s">
        <v>1926</v>
      </c>
      <c r="B48" s="676" t="s">
        <v>1934</v>
      </c>
      <c r="C48" s="677">
        <v>1</v>
      </c>
      <c r="D48" s="677">
        <v>5</v>
      </c>
      <c r="E48" s="687">
        <v>4</v>
      </c>
      <c r="F48" s="1162">
        <f t="shared" si="0"/>
        <v>0.1111111111111111</v>
      </c>
      <c r="G48" s="686">
        <f t="shared" si="1"/>
        <v>3</v>
      </c>
    </row>
    <row r="49" spans="1:7" ht="15" thickBot="1">
      <c r="A49" s="679" t="s">
        <v>1927</v>
      </c>
      <c r="B49" s="680" t="s">
        <v>1934</v>
      </c>
      <c r="C49" s="681">
        <v>3</v>
      </c>
      <c r="D49" s="681">
        <v>8</v>
      </c>
      <c r="E49" s="688">
        <v>6</v>
      </c>
      <c r="F49" s="1162">
        <f t="shared" si="0"/>
        <v>0.21428571428571427</v>
      </c>
      <c r="G49" s="686">
        <f t="shared" si="1"/>
        <v>1.5</v>
      </c>
    </row>
    <row r="50" spans="1:7" ht="15" thickBot="1">
      <c r="A50" s="672" t="s">
        <v>1929</v>
      </c>
      <c r="B50" s="673" t="s">
        <v>1935</v>
      </c>
      <c r="C50" s="674">
        <v>3</v>
      </c>
      <c r="D50" s="674">
        <v>3</v>
      </c>
      <c r="E50" s="685">
        <v>3</v>
      </c>
      <c r="F50" s="1162">
        <f t="shared" si="0"/>
        <v>0.5</v>
      </c>
      <c r="G50" s="686">
        <f t="shared" si="1"/>
        <v>0</v>
      </c>
    </row>
    <row r="51" spans="1:7" ht="15" thickBot="1">
      <c r="A51" s="675" t="s">
        <v>1923</v>
      </c>
      <c r="B51" s="682" t="s">
        <v>1935</v>
      </c>
      <c r="C51" s="677">
        <v>12</v>
      </c>
      <c r="D51" s="677">
        <v>25</v>
      </c>
      <c r="E51" s="687">
        <v>17</v>
      </c>
      <c r="F51" s="1162">
        <f t="shared" si="0"/>
        <v>0.2857142857142857</v>
      </c>
      <c r="G51" s="686">
        <f t="shared" si="1"/>
        <v>1.5</v>
      </c>
    </row>
    <row r="52" spans="1:7" ht="15" thickBot="1">
      <c r="A52" s="675" t="s">
        <v>1924</v>
      </c>
      <c r="B52" s="682" t="s">
        <v>1935</v>
      </c>
      <c r="C52" s="677">
        <v>3</v>
      </c>
      <c r="D52" s="677">
        <v>0</v>
      </c>
      <c r="E52" s="687">
        <v>6</v>
      </c>
      <c r="F52" s="1162">
        <f t="shared" si="0"/>
        <v>0.5</v>
      </c>
      <c r="G52" s="686">
        <f t="shared" si="1"/>
        <v>0</v>
      </c>
    </row>
    <row r="53" spans="1:7" ht="15" thickBot="1">
      <c r="A53" s="675" t="s">
        <v>1925</v>
      </c>
      <c r="B53" s="682" t="s">
        <v>1935</v>
      </c>
      <c r="C53" s="677">
        <v>3</v>
      </c>
      <c r="D53" s="677">
        <v>3</v>
      </c>
      <c r="E53" s="687">
        <v>0</v>
      </c>
      <c r="F53" s="1162">
        <f t="shared" si="0"/>
        <v>1</v>
      </c>
      <c r="G53" s="686">
        <f t="shared" si="1"/>
        <v>0</v>
      </c>
    </row>
    <row r="54" spans="1:7" ht="15" thickBot="1">
      <c r="A54" s="675" t="s">
        <v>1926</v>
      </c>
      <c r="B54" s="682" t="s">
        <v>1935</v>
      </c>
      <c r="C54" s="677">
        <v>2</v>
      </c>
      <c r="D54" s="677">
        <v>2</v>
      </c>
      <c r="E54" s="687">
        <v>3</v>
      </c>
      <c r="F54" s="1162">
        <f t="shared" si="0"/>
        <v>0.4</v>
      </c>
      <c r="G54" s="686">
        <f t="shared" si="1"/>
        <v>0</v>
      </c>
    </row>
    <row r="55" spans="1:7" ht="15" thickBot="1">
      <c r="A55" s="679" t="s">
        <v>1927</v>
      </c>
      <c r="B55" s="683" t="s">
        <v>1935</v>
      </c>
      <c r="C55" s="681">
        <v>1</v>
      </c>
      <c r="D55" s="681">
        <v>3</v>
      </c>
      <c r="E55" s="688">
        <v>2</v>
      </c>
      <c r="F55" s="1162">
        <f t="shared" si="0"/>
        <v>0.2</v>
      </c>
      <c r="G55" s="686">
        <f t="shared" si="1"/>
        <v>1.5</v>
      </c>
    </row>
    <row r="56" spans="1:7" ht="15" thickBot="1">
      <c r="A56" s="672" t="s">
        <v>1862</v>
      </c>
      <c r="B56" s="673" t="s">
        <v>1936</v>
      </c>
      <c r="C56" s="674">
        <v>0</v>
      </c>
      <c r="D56" s="674">
        <v>3</v>
      </c>
      <c r="E56" s="685">
        <v>1</v>
      </c>
      <c r="F56" s="1162">
        <f t="shared" si="0"/>
        <v>0</v>
      </c>
      <c r="G56" s="686">
        <f t="shared" si="1"/>
        <v>3</v>
      </c>
    </row>
    <row r="57" spans="1:7" ht="15" thickBot="1">
      <c r="A57" s="675" t="s">
        <v>1864</v>
      </c>
      <c r="B57" s="676" t="s">
        <v>1936</v>
      </c>
      <c r="C57" s="677">
        <v>9</v>
      </c>
      <c r="D57" s="677">
        <v>36</v>
      </c>
      <c r="E57" s="687">
        <v>20</v>
      </c>
      <c r="F57" s="1162">
        <f t="shared" si="0"/>
        <v>0.16071428571428573</v>
      </c>
      <c r="G57" s="686">
        <f t="shared" si="1"/>
        <v>1.5</v>
      </c>
    </row>
    <row r="58" spans="1:7" ht="15" thickBot="1">
      <c r="A58" s="675" t="s">
        <v>1865</v>
      </c>
      <c r="B58" s="676" t="s">
        <v>1936</v>
      </c>
      <c r="C58" s="677">
        <v>2</v>
      </c>
      <c r="D58" s="677">
        <v>8</v>
      </c>
      <c r="E58" s="687">
        <v>5</v>
      </c>
      <c r="F58" s="1162">
        <f t="shared" si="0"/>
        <v>0.15384615384615385</v>
      </c>
      <c r="G58" s="686">
        <f t="shared" si="1"/>
        <v>1.5</v>
      </c>
    </row>
    <row r="59" spans="1:7" ht="15" thickBot="1">
      <c r="A59" s="675" t="s">
        <v>1866</v>
      </c>
      <c r="B59" s="676" t="s">
        <v>1936</v>
      </c>
      <c r="C59" s="677">
        <v>7</v>
      </c>
      <c r="D59" s="677">
        <v>9</v>
      </c>
      <c r="E59" s="687">
        <v>10</v>
      </c>
      <c r="F59" s="1162">
        <f t="shared" si="0"/>
        <v>0.36842105263157893</v>
      </c>
      <c r="G59" s="686">
        <f t="shared" si="1"/>
        <v>0</v>
      </c>
    </row>
    <row r="60" spans="1:7" ht="15" thickBot="1">
      <c r="A60" s="675" t="s">
        <v>1867</v>
      </c>
      <c r="B60" s="676" t="s">
        <v>1936</v>
      </c>
      <c r="C60" s="677">
        <v>1</v>
      </c>
      <c r="D60" s="677">
        <v>3</v>
      </c>
      <c r="E60" s="687">
        <v>2</v>
      </c>
      <c r="F60" s="1162">
        <f t="shared" si="0"/>
        <v>0.2</v>
      </c>
      <c r="G60" s="686">
        <f t="shared" si="1"/>
        <v>1.5</v>
      </c>
    </row>
    <row r="61" spans="1:7" ht="15" thickBot="1">
      <c r="A61" s="679" t="s">
        <v>1863</v>
      </c>
      <c r="B61" s="680" t="s">
        <v>1936</v>
      </c>
      <c r="C61" s="681">
        <v>3</v>
      </c>
      <c r="D61" s="681">
        <v>6</v>
      </c>
      <c r="E61" s="688">
        <v>2</v>
      </c>
      <c r="F61" s="1162">
        <f t="shared" si="0"/>
        <v>0.375</v>
      </c>
      <c r="G61" s="686">
        <f t="shared" si="1"/>
        <v>0</v>
      </c>
    </row>
    <row r="63" spans="1:7">
      <c r="D63" s="699"/>
    </row>
    <row r="64" spans="1:7">
      <c r="D64" s="699"/>
    </row>
    <row r="65" spans="2:4">
      <c r="D65" s="699"/>
    </row>
    <row r="66" spans="2:4">
      <c r="D66" s="699"/>
    </row>
    <row r="67" spans="2:4">
      <c r="D67" s="699"/>
    </row>
    <row r="68" spans="2:4">
      <c r="D68" s="699"/>
    </row>
    <row r="74" spans="2:4">
      <c r="B74" s="700"/>
    </row>
    <row r="75" spans="2:4">
      <c r="B75" s="700"/>
    </row>
    <row r="76" spans="2:4">
      <c r="B76" s="700"/>
    </row>
    <row r="77" spans="2:4">
      <c r="B77" s="700"/>
    </row>
    <row r="78" spans="2:4">
      <c r="B78" s="700"/>
    </row>
    <row r="79" spans="2:4">
      <c r="B79" s="700"/>
    </row>
    <row r="80" spans="2:4">
      <c r="B80" s="700"/>
    </row>
    <row r="81" spans="2:2">
      <c r="B81" s="700"/>
    </row>
    <row r="82" spans="2:2">
      <c r="B82" s="700"/>
    </row>
    <row r="83" spans="2:2">
      <c r="B83" s="700"/>
    </row>
    <row r="84" spans="2:2">
      <c r="B84" s="700"/>
    </row>
    <row r="85" spans="2:2">
      <c r="B85" s="700"/>
    </row>
    <row r="86" spans="2:2">
      <c r="B86" s="701"/>
    </row>
    <row r="87" spans="2:2">
      <c r="B87" s="701"/>
    </row>
    <row r="88" spans="2:2">
      <c r="B88" s="701"/>
    </row>
  </sheetData>
  <mergeCells count="1">
    <mergeCell ref="K1:M1"/>
  </mergeCells>
  <phoneticPr fontId="3" type="noConversion"/>
  <hyperlinks>
    <hyperlink ref="K18" location="'总公司绩效-II'!A1" display="总公司绩效-II"/>
    <hyperlink ref="K19" location="目录!A1" display="目录"/>
    <hyperlink ref="K20" location="'OR04-分公司销售、承保、保全'!A1" display="OR04"/>
  </hyperlinks>
  <pageMargins left="0.7" right="0.7" top="0.75" bottom="0.75" header="0.3" footer="0.3"/>
</worksheet>
</file>

<file path=xl/worksheets/sheet10.xml><?xml version="1.0" encoding="utf-8"?>
<worksheet xmlns="http://schemas.openxmlformats.org/spreadsheetml/2006/main" xmlns:r="http://schemas.openxmlformats.org/officeDocument/2006/relationships">
  <sheetPr>
    <tabColor rgb="FF00B050"/>
  </sheetPr>
  <dimension ref="A1:K36"/>
  <sheetViews>
    <sheetView workbookViewId="0">
      <pane xSplit="1" ySplit="1" topLeftCell="B2" activePane="bottomRight" state="frozen"/>
      <selection pane="topRight" activeCell="B1" sqref="B1"/>
      <selection pane="bottomLeft" activeCell="A2" sqref="A2"/>
      <selection pane="bottomRight" activeCell="G10" sqref="G10"/>
    </sheetView>
  </sheetViews>
  <sheetFormatPr defaultColWidth="8.875" defaultRowHeight="14.25"/>
  <cols>
    <col min="1" max="1" width="20.5" style="134" bestFit="1" customWidth="1"/>
    <col min="2" max="2" width="16.875" style="134" customWidth="1"/>
    <col min="3" max="3" width="17.125" style="131" customWidth="1"/>
    <col min="4" max="5" width="16.25" style="132" customWidth="1"/>
    <col min="6" max="6" width="15.375" style="132" customWidth="1"/>
    <col min="7" max="7" width="17" style="132" customWidth="1"/>
    <col min="8" max="8" width="17.5" style="132" customWidth="1"/>
    <col min="9" max="9" width="18.875" style="132" customWidth="1"/>
    <col min="10" max="10" width="18.25" style="132" customWidth="1"/>
    <col min="11" max="11" width="17.75" style="132" customWidth="1"/>
    <col min="12" max="16384" width="8.875" style="132"/>
  </cols>
  <sheetData>
    <row r="1" spans="1:11" ht="15">
      <c r="A1" s="321" t="s">
        <v>1291</v>
      </c>
      <c r="B1" s="322" t="s">
        <v>1861</v>
      </c>
      <c r="C1" s="132"/>
    </row>
    <row r="2" spans="1:11">
      <c r="A2" s="135" t="s">
        <v>1293</v>
      </c>
      <c r="B2" s="136" t="s">
        <v>2275</v>
      </c>
      <c r="C2" s="136" t="str">
        <f>B2</f>
        <v>2019年第2季度</v>
      </c>
      <c r="D2" s="136" t="str">
        <f>C2</f>
        <v>2019年第2季度</v>
      </c>
      <c r="E2" s="136" t="str">
        <f t="shared" ref="E2:K2" si="0">D2</f>
        <v>2019年第2季度</v>
      </c>
      <c r="F2" s="136" t="str">
        <f t="shared" si="0"/>
        <v>2019年第2季度</v>
      </c>
      <c r="G2" s="136" t="str">
        <f t="shared" si="0"/>
        <v>2019年第2季度</v>
      </c>
      <c r="H2" s="136" t="str">
        <f t="shared" si="0"/>
        <v>2019年第2季度</v>
      </c>
      <c r="I2" s="136" t="str">
        <f t="shared" si="0"/>
        <v>2019年第2季度</v>
      </c>
      <c r="J2" s="136" t="str">
        <f>I2</f>
        <v>2019年第2季度</v>
      </c>
      <c r="K2" s="136" t="str">
        <f t="shared" si="0"/>
        <v>2019年第2季度</v>
      </c>
    </row>
    <row r="3" spans="1:11" ht="28.5">
      <c r="A3" s="135" t="s">
        <v>1294</v>
      </c>
      <c r="B3" s="141" t="s">
        <v>1349</v>
      </c>
      <c r="C3" s="141" t="s">
        <v>1317</v>
      </c>
      <c r="D3" s="136" t="s">
        <v>1322</v>
      </c>
      <c r="E3" s="310" t="s">
        <v>1337</v>
      </c>
      <c r="F3" s="275" t="s">
        <v>1343</v>
      </c>
      <c r="G3" s="275" t="s">
        <v>1354</v>
      </c>
      <c r="H3" s="275" t="s">
        <v>1364</v>
      </c>
      <c r="I3" s="311" t="s">
        <v>1328</v>
      </c>
      <c r="J3" s="275" t="s">
        <v>1352</v>
      </c>
      <c r="K3" s="275" t="s">
        <v>1336</v>
      </c>
    </row>
    <row r="4" spans="1:11" ht="57">
      <c r="A4" s="135" t="s">
        <v>1295</v>
      </c>
      <c r="B4" s="274" t="s">
        <v>2276</v>
      </c>
      <c r="C4" s="274" t="s">
        <v>2282</v>
      </c>
      <c r="D4" s="274" t="s">
        <v>2277</v>
      </c>
      <c r="E4" s="274" t="s">
        <v>2278</v>
      </c>
      <c r="F4" s="274" t="s">
        <v>2279</v>
      </c>
      <c r="G4" s="274" t="s">
        <v>2280</v>
      </c>
      <c r="H4" s="274" t="s">
        <v>2281</v>
      </c>
      <c r="I4" s="274" t="s">
        <v>2288</v>
      </c>
      <c r="J4" s="274" t="s">
        <v>2289</v>
      </c>
      <c r="K4" s="274" t="s">
        <v>2290</v>
      </c>
    </row>
    <row r="5" spans="1:11">
      <c r="A5" s="135" t="s">
        <v>1296</v>
      </c>
      <c r="B5" s="136" t="s">
        <v>1297</v>
      </c>
      <c r="C5" s="136" t="s">
        <v>1297</v>
      </c>
      <c r="D5" s="136" t="s">
        <v>2003</v>
      </c>
      <c r="E5" s="136" t="s">
        <v>1297</v>
      </c>
      <c r="F5" s="136" t="s">
        <v>1297</v>
      </c>
      <c r="G5" s="136" t="s">
        <v>1297</v>
      </c>
      <c r="H5" s="136" t="s">
        <v>1297</v>
      </c>
      <c r="I5" s="136" t="s">
        <v>1297</v>
      </c>
      <c r="J5" s="136" t="s">
        <v>1297</v>
      </c>
      <c r="K5" s="136" t="s">
        <v>1297</v>
      </c>
    </row>
    <row r="6" spans="1:11">
      <c r="A6" s="135" t="s">
        <v>1298</v>
      </c>
      <c r="B6" s="136" t="s">
        <v>1350</v>
      </c>
      <c r="C6" s="274" t="s">
        <v>2283</v>
      </c>
      <c r="D6" s="141" t="s">
        <v>2004</v>
      </c>
      <c r="E6" s="136" t="s">
        <v>2028</v>
      </c>
      <c r="F6" s="136" t="s">
        <v>1344</v>
      </c>
      <c r="G6" s="136" t="s">
        <v>1355</v>
      </c>
      <c r="H6" s="136" t="s">
        <v>1365</v>
      </c>
      <c r="I6" s="136" t="s">
        <v>1329</v>
      </c>
      <c r="J6" s="136" t="s">
        <v>1685</v>
      </c>
      <c r="K6" s="136" t="s">
        <v>1359</v>
      </c>
    </row>
    <row r="7" spans="1:11" ht="71.25">
      <c r="A7" s="135" t="s">
        <v>1300</v>
      </c>
      <c r="B7" s="310" t="s">
        <v>2287</v>
      </c>
      <c r="C7" s="310" t="s">
        <v>1318</v>
      </c>
      <c r="D7" s="275" t="s">
        <v>1323</v>
      </c>
      <c r="E7" s="310" t="s">
        <v>1338</v>
      </c>
      <c r="F7" s="275" t="s">
        <v>1345</v>
      </c>
      <c r="G7" s="275" t="s">
        <v>1356</v>
      </c>
      <c r="H7" s="275" t="s">
        <v>1366</v>
      </c>
      <c r="I7" s="311" t="s">
        <v>1330</v>
      </c>
      <c r="J7" s="311" t="s">
        <v>1689</v>
      </c>
      <c r="K7" s="275" t="s">
        <v>1360</v>
      </c>
    </row>
    <row r="8" spans="1:11" ht="28.5">
      <c r="A8" s="135" t="s">
        <v>1301</v>
      </c>
      <c r="B8" s="312" t="s">
        <v>2233</v>
      </c>
      <c r="C8" s="312" t="s">
        <v>2232</v>
      </c>
      <c r="D8" s="309" t="s">
        <v>1324</v>
      </c>
      <c r="E8" s="138" t="s">
        <v>1371</v>
      </c>
      <c r="F8" s="313" t="s">
        <v>1370</v>
      </c>
      <c r="G8" s="314" t="s">
        <v>1369</v>
      </c>
      <c r="H8" s="315" t="s">
        <v>1367</v>
      </c>
      <c r="I8" s="138" t="s">
        <v>1331</v>
      </c>
      <c r="J8" s="312" t="s">
        <v>1690</v>
      </c>
      <c r="K8" s="316" t="s">
        <v>1361</v>
      </c>
    </row>
    <row r="9" spans="1:11">
      <c r="A9" s="135" t="s">
        <v>1302</v>
      </c>
      <c r="B9" s="142">
        <v>38768</v>
      </c>
      <c r="C9" s="142">
        <v>39568</v>
      </c>
      <c r="D9" s="142">
        <v>39267</v>
      </c>
      <c r="E9" s="142">
        <v>41170</v>
      </c>
      <c r="F9" s="142">
        <v>39007</v>
      </c>
      <c r="G9" s="142">
        <v>39435</v>
      </c>
      <c r="H9" s="142">
        <v>38497</v>
      </c>
      <c r="I9" s="139">
        <v>39709</v>
      </c>
      <c r="J9" s="136" t="s">
        <v>1353</v>
      </c>
      <c r="K9" s="274">
        <v>39476</v>
      </c>
    </row>
    <row r="10" spans="1:11" ht="142.5">
      <c r="A10" s="276" t="s">
        <v>1303</v>
      </c>
      <c r="B10" s="310" t="s">
        <v>2286</v>
      </c>
      <c r="C10" s="310" t="s">
        <v>2285</v>
      </c>
      <c r="D10" s="275" t="s">
        <v>2284</v>
      </c>
      <c r="E10" s="310" t="s">
        <v>1339</v>
      </c>
      <c r="F10" s="310" t="s">
        <v>2253</v>
      </c>
      <c r="G10" s="275" t="s">
        <v>2252</v>
      </c>
      <c r="H10" s="275" t="s">
        <v>2251</v>
      </c>
      <c r="I10" s="311" t="s">
        <v>1332</v>
      </c>
      <c r="J10" s="275" t="s">
        <v>2249</v>
      </c>
      <c r="K10" s="275" t="s">
        <v>2250</v>
      </c>
    </row>
    <row r="11" spans="1:11">
      <c r="A11" s="135" t="s">
        <v>1305</v>
      </c>
      <c r="B11" s="351" t="s">
        <v>2172</v>
      </c>
      <c r="C11" s="141" t="s">
        <v>2154</v>
      </c>
      <c r="D11" s="136" t="s">
        <v>2239</v>
      </c>
      <c r="E11" s="274" t="s">
        <v>2241</v>
      </c>
      <c r="F11" s="274" t="s">
        <v>2242</v>
      </c>
      <c r="G11" s="136" t="s">
        <v>2243</v>
      </c>
      <c r="H11" s="136" t="s">
        <v>2245</v>
      </c>
      <c r="I11" s="137" t="s">
        <v>2246</v>
      </c>
      <c r="J11" s="137" t="s">
        <v>2247</v>
      </c>
      <c r="K11" s="136" t="s">
        <v>2153</v>
      </c>
    </row>
    <row r="12" spans="1:11">
      <c r="A12" s="135" t="s">
        <v>1306</v>
      </c>
      <c r="B12" s="351" t="s">
        <v>1678</v>
      </c>
      <c r="C12" s="141" t="s">
        <v>1319</v>
      </c>
      <c r="D12" s="136" t="s">
        <v>2005</v>
      </c>
      <c r="E12" s="141" t="s">
        <v>1340</v>
      </c>
      <c r="F12" s="141" t="s">
        <v>1346</v>
      </c>
      <c r="G12" s="136" t="s">
        <v>1357</v>
      </c>
      <c r="H12" s="136" t="s">
        <v>1325</v>
      </c>
      <c r="I12" s="137" t="s">
        <v>1333</v>
      </c>
      <c r="J12" s="136" t="s">
        <v>1686</v>
      </c>
      <c r="K12" s="141" t="s">
        <v>1362</v>
      </c>
    </row>
    <row r="13" spans="1:11">
      <c r="A13" s="135" t="s">
        <v>1307</v>
      </c>
      <c r="B13" s="351">
        <v>13810237844</v>
      </c>
      <c r="C13" s="141">
        <v>13821316199</v>
      </c>
      <c r="D13" s="141">
        <v>18640349623</v>
      </c>
      <c r="E13" s="141">
        <v>14741065816</v>
      </c>
      <c r="F13" s="141">
        <v>18651861196</v>
      </c>
      <c r="G13" s="141">
        <v>18615632891</v>
      </c>
      <c r="H13" s="141">
        <v>15621025971</v>
      </c>
      <c r="I13" s="137">
        <v>15136239636</v>
      </c>
      <c r="J13" s="141">
        <v>18588868174</v>
      </c>
      <c r="K13" s="141">
        <v>18244265821</v>
      </c>
    </row>
    <row r="14" spans="1:11">
      <c r="A14" s="135" t="s">
        <v>1308</v>
      </c>
      <c r="B14" s="351" t="s">
        <v>1351</v>
      </c>
      <c r="C14" s="141" t="s">
        <v>1320</v>
      </c>
      <c r="D14" s="136" t="s">
        <v>1290</v>
      </c>
      <c r="E14" s="141" t="s">
        <v>1341</v>
      </c>
      <c r="F14" s="141" t="s">
        <v>1347</v>
      </c>
      <c r="G14" s="136" t="s">
        <v>1358</v>
      </c>
      <c r="H14" s="136" t="s">
        <v>1326</v>
      </c>
      <c r="I14" s="137" t="s">
        <v>1334</v>
      </c>
      <c r="J14" s="136" t="s">
        <v>1687</v>
      </c>
      <c r="K14" s="141" t="s">
        <v>1363</v>
      </c>
    </row>
    <row r="15" spans="1:11" ht="28.5">
      <c r="A15" s="135" t="s">
        <v>1309</v>
      </c>
      <c r="B15" s="141" t="s">
        <v>2191</v>
      </c>
      <c r="C15" s="141" t="s">
        <v>1321</v>
      </c>
      <c r="D15" s="136" t="s">
        <v>2240</v>
      </c>
      <c r="E15" s="141" t="s">
        <v>1342</v>
      </c>
      <c r="F15" s="141" t="s">
        <v>1348</v>
      </c>
      <c r="G15" s="274" t="s">
        <v>2244</v>
      </c>
      <c r="H15" s="136" t="s">
        <v>1327</v>
      </c>
      <c r="I15" s="137" t="s">
        <v>1335</v>
      </c>
      <c r="J15" s="137" t="s">
        <v>1688</v>
      </c>
      <c r="K15" s="274" t="s">
        <v>2248</v>
      </c>
    </row>
    <row r="16" spans="1:11" ht="15" thickBot="1">
      <c r="A16" s="133" t="s">
        <v>1311</v>
      </c>
      <c r="B16" s="140" t="s">
        <v>1292</v>
      </c>
      <c r="C16" s="143" t="s">
        <v>2133</v>
      </c>
      <c r="D16" s="140" t="s">
        <v>1299</v>
      </c>
      <c r="E16" s="140" t="s">
        <v>1315</v>
      </c>
      <c r="F16" s="140" t="s">
        <v>1304</v>
      </c>
      <c r="G16" s="140" t="s">
        <v>1310</v>
      </c>
      <c r="H16" s="140" t="s">
        <v>1316</v>
      </c>
      <c r="I16" s="140" t="s">
        <v>1312</v>
      </c>
      <c r="J16" s="140" t="s">
        <v>1313</v>
      </c>
      <c r="K16" s="140" t="s">
        <v>1314</v>
      </c>
    </row>
    <row r="17" spans="1:2">
      <c r="A17" s="132"/>
      <c r="B17" s="132"/>
    </row>
    <row r="18" spans="1:2">
      <c r="A18" s="132"/>
      <c r="B18" s="132"/>
    </row>
    <row r="19" spans="1:2">
      <c r="A19" s="132"/>
      <c r="B19" s="132"/>
    </row>
    <row r="20" spans="1:2">
      <c r="A20" s="273"/>
      <c r="B20" s="132"/>
    </row>
    <row r="21" spans="1:2">
      <c r="A21" s="132"/>
      <c r="B21" s="132"/>
    </row>
    <row r="22" spans="1:2">
      <c r="A22" s="132"/>
      <c r="B22" s="132"/>
    </row>
    <row r="23" spans="1:2">
      <c r="A23" s="132"/>
      <c r="B23" s="132"/>
    </row>
    <row r="24" spans="1:2">
      <c r="A24" s="132"/>
    </row>
    <row r="25" spans="1:2">
      <c r="A25" s="132"/>
      <c r="B25" s="132"/>
    </row>
    <row r="26" spans="1:2">
      <c r="A26" s="132"/>
      <c r="B26" s="132"/>
    </row>
    <row r="27" spans="1:2">
      <c r="A27" s="132"/>
      <c r="B27" s="132"/>
    </row>
    <row r="28" spans="1:2">
      <c r="A28" s="132"/>
      <c r="B28" s="132"/>
    </row>
    <row r="29" spans="1:2">
      <c r="A29" s="132"/>
      <c r="B29" s="132"/>
    </row>
    <row r="30" spans="1:2">
      <c r="A30" s="132"/>
      <c r="B30" s="132"/>
    </row>
    <row r="31" spans="1:2">
      <c r="A31" s="132"/>
      <c r="B31" s="132"/>
    </row>
    <row r="32" spans="1:2">
      <c r="A32" s="132"/>
      <c r="B32" s="132"/>
    </row>
    <row r="33" spans="1:2">
      <c r="A33" s="132"/>
      <c r="B33" s="132"/>
    </row>
    <row r="34" spans="1:2">
      <c r="A34" s="132"/>
      <c r="B34" s="132"/>
    </row>
    <row r="35" spans="1:2">
      <c r="A35" s="132"/>
      <c r="B35" s="132"/>
    </row>
    <row r="36" spans="1:2">
      <c r="A36" s="132"/>
      <c r="B36" s="132"/>
    </row>
  </sheetData>
  <phoneticPr fontId="12" type="noConversion"/>
  <dataValidations count="2">
    <dataValidation type="list" allowBlank="1" showInputMessage="1" showErrorMessage="1" sqref="D16:K16 B5:K5 B16">
      <formula1>#REF!</formula1>
    </dataValidation>
    <dataValidation type="list" allowBlank="1" showInputMessage="1" showErrorMessage="1" sqref="C16">
      <formula1>隶属保监局</formula1>
    </dataValidation>
  </dataValidations>
  <hyperlinks>
    <hyperlink ref="C15" r:id="rId1"/>
    <hyperlink ref="E15" r:id="rId2"/>
    <hyperlink ref="G15" r:id="rId3" display="JN.LuBao_Guo@hengansl.com"/>
    <hyperlink ref="H15" r:id="rId4"/>
  </hyperlinks>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theme="5"/>
  </sheetPr>
  <dimension ref="A1:Y147"/>
  <sheetViews>
    <sheetView topLeftCell="A7" workbookViewId="0"/>
  </sheetViews>
  <sheetFormatPr defaultColWidth="9" defaultRowHeight="13.5" outlineLevelRow="1" outlineLevelCol="1"/>
  <cols>
    <col min="1" max="1" width="13.375" style="221" customWidth="1"/>
    <col min="2" max="2" width="23.75" style="221" bestFit="1" customWidth="1"/>
    <col min="3" max="3" width="12.125" style="244" customWidth="1"/>
    <col min="4" max="4" width="8.375" style="244" customWidth="1"/>
    <col min="5" max="5" width="8.125" style="244" customWidth="1"/>
    <col min="6" max="6" width="8" style="244" customWidth="1"/>
    <col min="7" max="7" width="7.625" style="244" customWidth="1"/>
    <col min="8" max="8" width="7.375" style="244" bestFit="1" customWidth="1"/>
    <col min="9" max="9" width="8.625" style="244" customWidth="1" outlineLevel="1"/>
    <col min="10" max="10" width="7.75" style="244" customWidth="1" outlineLevel="1"/>
    <col min="11" max="11" width="8.25" style="244" customWidth="1" outlineLevel="1"/>
    <col min="12" max="12" width="8.625" style="244" customWidth="1" outlineLevel="1"/>
    <col min="13" max="13" width="8.375" style="244" customWidth="1" outlineLevel="1"/>
    <col min="14" max="14" width="7.875" style="244" customWidth="1" outlineLevel="1"/>
    <col min="15" max="15" width="9.375" style="244" customWidth="1" outlineLevel="1"/>
    <col min="16" max="16" width="9.25" style="244" customWidth="1" outlineLevel="1"/>
    <col min="17" max="18" width="9.625" style="244" bestFit="1" customWidth="1" outlineLevel="1"/>
    <col min="19" max="19" width="11" style="244" customWidth="1"/>
    <col min="20" max="20" width="20.125" style="244" customWidth="1"/>
    <col min="21" max="21" width="15.25" style="244" customWidth="1"/>
    <col min="22" max="16384" width="9" style="221"/>
  </cols>
  <sheetData>
    <row r="1" spans="1:25">
      <c r="B1" s="300"/>
      <c r="D1" s="272" t="s">
        <v>1703</v>
      </c>
    </row>
    <row r="2" spans="1:25" ht="13.5" customHeight="1">
      <c r="A2" s="1601" t="s">
        <v>1615</v>
      </c>
      <c r="B2" s="1601"/>
      <c r="C2" s="1609" t="s">
        <v>2458</v>
      </c>
      <c r="D2" s="1618" t="s">
        <v>2256</v>
      </c>
      <c r="E2" s="1609" t="s">
        <v>2257</v>
      </c>
      <c r="F2" s="1609" t="s">
        <v>1658</v>
      </c>
      <c r="G2" s="1609" t="s">
        <v>1659</v>
      </c>
      <c r="N2" s="282"/>
      <c r="O2" s="1609" t="s">
        <v>1664</v>
      </c>
      <c r="P2" s="1609" t="s">
        <v>1663</v>
      </c>
      <c r="Q2" s="292" t="s">
        <v>1665</v>
      </c>
      <c r="R2" s="292" t="s">
        <v>1666</v>
      </c>
      <c r="S2" s="292" t="s">
        <v>1667</v>
      </c>
    </row>
    <row r="3" spans="1:25" ht="15.75" customHeight="1">
      <c r="A3" s="1601"/>
      <c r="B3" s="1601"/>
      <c r="C3" s="1609"/>
      <c r="D3" s="1618"/>
      <c r="E3" s="1609"/>
      <c r="F3" s="1609"/>
      <c r="G3" s="1609"/>
      <c r="N3" s="282"/>
      <c r="O3" s="1609"/>
      <c r="P3" s="1609"/>
      <c r="Q3" s="289"/>
      <c r="R3" s="290" t="s">
        <v>1662</v>
      </c>
      <c r="S3" s="291" t="s">
        <v>1661</v>
      </c>
      <c r="Y3" s="244"/>
    </row>
    <row r="4" spans="1:25" ht="15">
      <c r="A4" s="1607" t="s">
        <v>1577</v>
      </c>
      <c r="B4" s="263" t="s">
        <v>1578</v>
      </c>
      <c r="C4" s="246" t="s">
        <v>2460</v>
      </c>
      <c r="D4" s="331">
        <f>D25</f>
        <v>67.868229148916129</v>
      </c>
      <c r="E4" s="331">
        <v>70.922802695926734</v>
      </c>
      <c r="F4" s="1468">
        <f>D4-E4</f>
        <v>-3.0545735470106052</v>
      </c>
      <c r="G4" s="1510">
        <f>F4/36</f>
        <v>-8.4849265194739037E-2</v>
      </c>
      <c r="N4" s="282"/>
      <c r="O4" s="352">
        <f>$E$19</f>
        <v>91.526744519331288</v>
      </c>
      <c r="P4" s="264" t="str">
        <f>E2</f>
        <v>Q1得分</v>
      </c>
      <c r="Q4" s="348">
        <f>O4</f>
        <v>91.526744519331288</v>
      </c>
      <c r="R4" s="293">
        <v>0</v>
      </c>
      <c r="S4" s="296">
        <v>0</v>
      </c>
    </row>
    <row r="5" spans="1:25" ht="15">
      <c r="A5" s="1607"/>
      <c r="B5" s="264" t="s">
        <v>1582</v>
      </c>
      <c r="C5" s="245" t="s">
        <v>2460</v>
      </c>
      <c r="D5" s="271">
        <f>D26</f>
        <v>66.5</v>
      </c>
      <c r="E5" s="271">
        <v>71.11999999999999</v>
      </c>
      <c r="F5" s="335">
        <f>D5-E5</f>
        <v>-4.6199999999999903</v>
      </c>
      <c r="G5" s="1468">
        <f>F5/36</f>
        <v>-0.12833333333333308</v>
      </c>
      <c r="N5" s="282"/>
      <c r="O5" s="352">
        <f>$G$4</f>
        <v>-8.4849265194739037E-2</v>
      </c>
      <c r="P5" s="264" t="str">
        <f>B4</f>
        <v>销售、承保、保全业务线</v>
      </c>
      <c r="Q5" s="349">
        <f t="shared" ref="Q5:Q6" si="0">Q4+R4-S5</f>
        <v>91.441895254136554</v>
      </c>
      <c r="R5" s="294">
        <f t="shared" ref="R5:R6" si="1">IF(O5&gt;0,O5,0)</f>
        <v>0</v>
      </c>
      <c r="S5" s="295">
        <f t="shared" ref="S5:S6" si="2">IF(O5&lt;0,ABS(O5),0)</f>
        <v>8.4849265194739037E-2</v>
      </c>
    </row>
    <row r="6" spans="1:25" ht="15">
      <c r="A6" s="1607"/>
      <c r="B6" s="264" t="s">
        <v>1583</v>
      </c>
      <c r="C6" s="246" t="s">
        <v>2459</v>
      </c>
      <c r="D6" s="271">
        <f>D27</f>
        <v>85.52</v>
      </c>
      <c r="E6" s="271">
        <v>85.52</v>
      </c>
      <c r="F6" s="354">
        <f>D6-E6</f>
        <v>0</v>
      </c>
      <c r="G6" s="355">
        <f t="shared" ref="G6:G12" si="3">F6/36</f>
        <v>0</v>
      </c>
      <c r="N6" s="282"/>
      <c r="O6" s="352">
        <f>$G$5</f>
        <v>-0.12833333333333308</v>
      </c>
      <c r="P6" s="264" t="str">
        <f>B5</f>
        <v>理赔业务线</v>
      </c>
      <c r="Q6" s="349">
        <f t="shared" si="0"/>
        <v>91.313561920803224</v>
      </c>
      <c r="R6" s="294">
        <f t="shared" si="1"/>
        <v>0</v>
      </c>
      <c r="S6" s="295">
        <f t="shared" si="2"/>
        <v>0.12833333333333308</v>
      </c>
    </row>
    <row r="7" spans="1:25" ht="15">
      <c r="A7" s="1607"/>
      <c r="B7" s="264" t="s">
        <v>1584</v>
      </c>
      <c r="C7" s="245" t="s">
        <v>2459</v>
      </c>
      <c r="D7" s="271">
        <f>D28</f>
        <v>80</v>
      </c>
      <c r="E7" s="271">
        <v>80</v>
      </c>
      <c r="F7" s="354">
        <f t="shared" ref="F7:F16" si="4">D7-E7</f>
        <v>0</v>
      </c>
      <c r="G7" s="355">
        <f t="shared" si="3"/>
        <v>0</v>
      </c>
      <c r="N7" s="282"/>
      <c r="O7" s="352">
        <f>$G$12</f>
        <v>-1.3888888888888888E-2</v>
      </c>
      <c r="P7" s="264" t="str">
        <f>B12</f>
        <v>案件管理</v>
      </c>
      <c r="Q7" s="349">
        <f>Q17+R17-S7</f>
        <v>91.299673031914338</v>
      </c>
      <c r="R7" s="294">
        <f>IF(O7&gt;0,O7,0)</f>
        <v>0</v>
      </c>
      <c r="S7" s="295">
        <f>IF(O7&lt;0,ABS(O7),0)</f>
        <v>1.3888888888888888E-2</v>
      </c>
    </row>
    <row r="8" spans="1:25" ht="15">
      <c r="A8" s="1607"/>
      <c r="B8" s="264" t="s">
        <v>1586</v>
      </c>
      <c r="C8" s="246" t="s">
        <v>2459</v>
      </c>
      <c r="D8" s="271">
        <v>0</v>
      </c>
      <c r="E8" s="271">
        <v>0</v>
      </c>
      <c r="F8" s="354">
        <f>D8-E8</f>
        <v>0</v>
      </c>
      <c r="G8" s="355">
        <f t="shared" si="3"/>
        <v>0</v>
      </c>
      <c r="N8" s="282"/>
      <c r="O8" s="352">
        <f>$G$16</f>
        <v>1.1111111111111125</v>
      </c>
      <c r="P8" s="264" t="str">
        <f>A16</f>
        <v>流动性风险</v>
      </c>
      <c r="Q8" s="349">
        <f>Q14+R14-S8</f>
        <v>91.299673031914338</v>
      </c>
      <c r="R8" s="294">
        <f>IF(O8&gt;0,O8,0)</f>
        <v>1.1111111111111125</v>
      </c>
      <c r="S8" s="295">
        <f>IF(O8&lt;0,ABS(O8),0)</f>
        <v>0</v>
      </c>
    </row>
    <row r="9" spans="1:25" ht="15">
      <c r="A9" s="1607"/>
      <c r="B9" s="264" t="s">
        <v>1587</v>
      </c>
      <c r="C9" s="245" t="s">
        <v>2459</v>
      </c>
      <c r="D9" s="271">
        <f>D30</f>
        <v>88</v>
      </c>
      <c r="E9" s="271">
        <v>88</v>
      </c>
      <c r="F9" s="354">
        <f t="shared" si="4"/>
        <v>0</v>
      </c>
      <c r="G9" s="355">
        <f t="shared" si="3"/>
        <v>0</v>
      </c>
      <c r="N9" s="282"/>
      <c r="O9" s="353">
        <f>SUM(O4:O8)</f>
        <v>92.410784143025452</v>
      </c>
      <c r="P9" s="264" t="str">
        <f>D2</f>
        <v>Q2得分</v>
      </c>
      <c r="Q9" s="337">
        <f>Q8+R8-S9</f>
        <v>92.410784143025452</v>
      </c>
      <c r="R9" s="293">
        <v>0</v>
      </c>
      <c r="S9" s="296">
        <v>0</v>
      </c>
    </row>
    <row r="10" spans="1:25" ht="15">
      <c r="A10" s="1607"/>
      <c r="B10" s="264" t="s">
        <v>1588</v>
      </c>
      <c r="C10" s="246" t="s">
        <v>2459</v>
      </c>
      <c r="D10" s="271">
        <f t="shared" ref="D10:D18" si="5">D31</f>
        <v>74</v>
      </c>
      <c r="E10" s="271">
        <v>74</v>
      </c>
      <c r="F10" s="354">
        <f t="shared" si="4"/>
        <v>0</v>
      </c>
      <c r="G10" s="355">
        <f>F10/18</f>
        <v>0</v>
      </c>
      <c r="N10" s="282"/>
      <c r="O10" s="350"/>
      <c r="P10" s="126"/>
      <c r="Q10" s="126"/>
      <c r="R10" s="126"/>
      <c r="S10" s="126"/>
    </row>
    <row r="11" spans="1:25" ht="15">
      <c r="A11" s="1607"/>
      <c r="B11" s="264" t="s">
        <v>1590</v>
      </c>
      <c r="C11" s="245" t="s">
        <v>2459</v>
      </c>
      <c r="D11" s="271">
        <f t="shared" si="5"/>
        <v>90.1</v>
      </c>
      <c r="E11" s="271">
        <v>90.1</v>
      </c>
      <c r="F11" s="354">
        <f t="shared" si="4"/>
        <v>0</v>
      </c>
      <c r="G11" s="355">
        <f t="shared" si="3"/>
        <v>0</v>
      </c>
      <c r="N11" s="282"/>
      <c r="O11" s="317">
        <f>$G$15</f>
        <v>0</v>
      </c>
      <c r="P11" s="264" t="str">
        <f>A15</f>
        <v>声誉风险</v>
      </c>
      <c r="Q11" s="285">
        <f>Q17+R17-S11</f>
        <v>91.313561920803224</v>
      </c>
      <c r="R11" s="294">
        <f t="shared" ref="R11:R17" si="6">IF(O11&gt;0,O11,0)</f>
        <v>0</v>
      </c>
      <c r="S11" s="295">
        <f t="shared" ref="S11:S17" si="7">IF(O11&lt;0,ABS(O11),0)</f>
        <v>0</v>
      </c>
    </row>
    <row r="12" spans="1:25" ht="15">
      <c r="A12" s="1607"/>
      <c r="B12" s="264" t="s">
        <v>1591</v>
      </c>
      <c r="C12" s="246" t="s">
        <v>2459</v>
      </c>
      <c r="D12" s="271">
        <f t="shared" si="5"/>
        <v>75</v>
      </c>
      <c r="E12" s="271">
        <v>75.5</v>
      </c>
      <c r="F12" s="335">
        <f>D12-E12</f>
        <v>-0.5</v>
      </c>
      <c r="G12" s="1468">
        <f t="shared" si="3"/>
        <v>-1.3888888888888888E-2</v>
      </c>
      <c r="N12" s="282"/>
      <c r="O12" s="317">
        <f>$G$9</f>
        <v>0</v>
      </c>
      <c r="P12" s="264" t="str">
        <f>B9</f>
        <v>公司治理业务线</v>
      </c>
      <c r="Q12" s="285">
        <f>Q16+R16-S12</f>
        <v>91.313561920803224</v>
      </c>
      <c r="R12" s="294">
        <f t="shared" si="6"/>
        <v>0</v>
      </c>
      <c r="S12" s="295">
        <f t="shared" si="7"/>
        <v>0</v>
      </c>
    </row>
    <row r="13" spans="1:25" ht="15">
      <c r="A13" s="1608"/>
      <c r="B13" s="266" t="s">
        <v>1640</v>
      </c>
      <c r="C13" s="245" t="s">
        <v>2022</v>
      </c>
      <c r="D13" s="271">
        <f>D34</f>
        <v>77.887581016546235</v>
      </c>
      <c r="E13" s="271">
        <v>78.795866966214078</v>
      </c>
      <c r="F13" s="335">
        <f>D13-E13</f>
        <v>-0.90828594966784237</v>
      </c>
      <c r="G13" s="1468">
        <f>SUM(G4:G12)</f>
        <v>-0.22707148741696101</v>
      </c>
      <c r="N13" s="282"/>
      <c r="O13" s="317">
        <f>$G$11</f>
        <v>0</v>
      </c>
      <c r="P13" s="264" t="str">
        <f>B11</f>
        <v>信息系统</v>
      </c>
      <c r="Q13" s="349">
        <f>Q16+R16-S13</f>
        <v>91.313561920803224</v>
      </c>
      <c r="R13" s="294">
        <f t="shared" si="6"/>
        <v>0</v>
      </c>
      <c r="S13" s="295">
        <f t="shared" si="7"/>
        <v>0</v>
      </c>
    </row>
    <row r="14" spans="1:25" ht="15">
      <c r="A14" s="1602" t="s">
        <v>1595</v>
      </c>
      <c r="B14" s="1603"/>
      <c r="C14" s="245" t="s">
        <v>2022</v>
      </c>
      <c r="D14" s="271">
        <f>D35</f>
        <v>94</v>
      </c>
      <c r="E14" s="271">
        <v>94</v>
      </c>
      <c r="F14" s="354">
        <f t="shared" si="4"/>
        <v>0</v>
      </c>
      <c r="G14" s="1469">
        <f>F14*U35</f>
        <v>0</v>
      </c>
      <c r="N14" s="282"/>
      <c r="O14" s="352">
        <f>G14</f>
        <v>0</v>
      </c>
      <c r="P14" s="264" t="str">
        <f>A14</f>
        <v>战略风险</v>
      </c>
      <c r="Q14" s="349">
        <f>Q7+R7-S14</f>
        <v>91.299673031914338</v>
      </c>
      <c r="R14" s="294">
        <f t="shared" si="6"/>
        <v>0</v>
      </c>
      <c r="S14" s="295">
        <f t="shared" si="7"/>
        <v>0</v>
      </c>
    </row>
    <row r="15" spans="1:25" ht="15">
      <c r="A15" s="1602" t="s">
        <v>1596</v>
      </c>
      <c r="B15" s="1603"/>
      <c r="C15" s="245" t="s">
        <v>2022</v>
      </c>
      <c r="D15" s="1490">
        <f>D36</f>
        <v>90</v>
      </c>
      <c r="E15" s="271">
        <v>90</v>
      </c>
      <c r="F15" s="354">
        <f t="shared" si="4"/>
        <v>0</v>
      </c>
      <c r="G15" s="1469">
        <f>F15*U36</f>
        <v>0</v>
      </c>
      <c r="I15" s="284"/>
      <c r="J15" s="282"/>
      <c r="K15" s="283"/>
      <c r="L15" s="283"/>
      <c r="M15" s="283"/>
      <c r="N15" s="282"/>
      <c r="O15" s="352">
        <f>G8</f>
        <v>0</v>
      </c>
      <c r="P15" s="264" t="str">
        <f>B8</f>
        <v>合规风险</v>
      </c>
      <c r="Q15" s="349">
        <f>Q16+R16-S15</f>
        <v>91.313561920803224</v>
      </c>
      <c r="R15" s="294">
        <f t="shared" si="6"/>
        <v>0</v>
      </c>
      <c r="S15" s="295">
        <f t="shared" si="7"/>
        <v>0</v>
      </c>
    </row>
    <row r="16" spans="1:25" ht="15">
      <c r="A16" s="1602" t="s">
        <v>1597</v>
      </c>
      <c r="B16" s="1603"/>
      <c r="C16" s="223" t="s">
        <v>2022</v>
      </c>
      <c r="D16" s="271">
        <f>D37</f>
        <v>91.111111111111114</v>
      </c>
      <c r="E16" s="271">
        <v>82.222222222222214</v>
      </c>
      <c r="F16" s="1489">
        <f t="shared" si="4"/>
        <v>8.8888888888888999</v>
      </c>
      <c r="G16" s="1489">
        <f>F16*U37</f>
        <v>1.1111111111111125</v>
      </c>
      <c r="I16" s="283"/>
      <c r="J16" s="282"/>
      <c r="K16" s="283"/>
      <c r="L16" s="283"/>
      <c r="M16" s="283"/>
      <c r="N16" s="282"/>
      <c r="O16" s="352">
        <f>$G$6</f>
        <v>0</v>
      </c>
      <c r="P16" s="264" t="str">
        <f>B6</f>
        <v>财务管理</v>
      </c>
      <c r="Q16" s="349">
        <f>Q6+R6-S16</f>
        <v>91.313561920803224</v>
      </c>
      <c r="R16" s="294">
        <f t="shared" si="6"/>
        <v>0</v>
      </c>
      <c r="S16" s="295">
        <f t="shared" si="7"/>
        <v>0</v>
      </c>
    </row>
    <row r="17" spans="1:21" ht="15">
      <c r="A17" s="1600" t="s">
        <v>2462</v>
      </c>
      <c r="B17" s="1600"/>
      <c r="C17" s="563" t="s">
        <v>2022</v>
      </c>
      <c r="D17" s="271">
        <f t="shared" si="5"/>
        <v>84.821568286050905</v>
      </c>
      <c r="E17" s="271">
        <v>83.05348903866259</v>
      </c>
      <c r="F17" s="288"/>
      <c r="G17" s="288"/>
      <c r="I17" s="283"/>
      <c r="J17" s="282"/>
      <c r="K17" s="283"/>
      <c r="L17" s="283"/>
      <c r="M17" s="283"/>
      <c r="N17" s="282"/>
      <c r="O17" s="352">
        <f>$G$10</f>
        <v>0</v>
      </c>
      <c r="P17" s="264" t="str">
        <f>B10</f>
        <v>准备金、再保险管理</v>
      </c>
      <c r="Q17" s="349">
        <f>Q15+R15-S17</f>
        <v>91.313561920803224</v>
      </c>
      <c r="R17" s="294">
        <f t="shared" si="6"/>
        <v>0</v>
      </c>
      <c r="S17" s="295">
        <f t="shared" si="7"/>
        <v>0</v>
      </c>
    </row>
    <row r="18" spans="1:21" ht="15">
      <c r="A18" s="1604" t="s">
        <v>2461</v>
      </c>
      <c r="B18" s="1604"/>
      <c r="C18" s="245" t="s">
        <v>1593</v>
      </c>
      <c r="D18" s="271">
        <f t="shared" si="5"/>
        <v>100</v>
      </c>
      <c r="E18" s="271">
        <v>100</v>
      </c>
      <c r="F18" s="288"/>
      <c r="G18" s="288"/>
      <c r="I18" s="286"/>
      <c r="J18" s="287"/>
      <c r="K18" s="286"/>
      <c r="L18" s="286"/>
      <c r="M18" s="286"/>
      <c r="N18" s="282"/>
    </row>
    <row r="19" spans="1:21" ht="15" customHeight="1">
      <c r="A19" s="1600" t="s">
        <v>1598</v>
      </c>
      <c r="B19" s="1600"/>
      <c r="C19" s="1470" t="s">
        <v>2463</v>
      </c>
      <c r="D19" s="1491">
        <f>D40</f>
        <v>92.410784143025452</v>
      </c>
      <c r="E19" s="271">
        <v>91.526744519331288</v>
      </c>
      <c r="F19" s="1472">
        <f>D19-E19</f>
        <v>0.88403962369416433</v>
      </c>
      <c r="G19" s="271"/>
      <c r="I19" s="286"/>
      <c r="J19" s="287"/>
      <c r="K19" s="286"/>
      <c r="L19" s="286"/>
      <c r="M19" s="286"/>
    </row>
    <row r="20" spans="1:21">
      <c r="I20" s="286"/>
      <c r="J20" s="287"/>
      <c r="K20" s="286"/>
      <c r="L20" s="286"/>
      <c r="M20" s="286"/>
      <c r="N20" s="282"/>
    </row>
    <row r="22" spans="1:21">
      <c r="A22" s="1606" t="s">
        <v>1614</v>
      </c>
      <c r="B22" s="1606"/>
      <c r="D22" s="278">
        <f>D40</f>
        <v>92.410784143025452</v>
      </c>
      <c r="E22" s="278">
        <f>D22-F22</f>
        <v>0</v>
      </c>
      <c r="F22" s="278">
        <f>D42+D62</f>
        <v>92.410784143025452</v>
      </c>
      <c r="G22" s="270"/>
      <c r="H22" s="270"/>
    </row>
    <row r="23" spans="1:21" ht="15" customHeight="1" outlineLevel="1">
      <c r="A23" s="1612" t="s">
        <v>1615</v>
      </c>
      <c r="B23" s="1612"/>
      <c r="C23" s="1609" t="s">
        <v>2458</v>
      </c>
      <c r="D23" s="1605" t="s">
        <v>1616</v>
      </c>
      <c r="E23" s="1611" t="s">
        <v>1617</v>
      </c>
      <c r="F23" s="1611" t="s">
        <v>1618</v>
      </c>
      <c r="G23" s="1605" t="s">
        <v>1619</v>
      </c>
      <c r="H23" s="1605"/>
      <c r="I23" s="281"/>
      <c r="J23" s="281"/>
      <c r="K23" s="281"/>
      <c r="L23" s="281"/>
      <c r="M23" s="281"/>
      <c r="N23" s="281"/>
      <c r="O23" s="281"/>
      <c r="P23" s="281"/>
      <c r="Q23" s="281"/>
      <c r="R23" s="281"/>
      <c r="S23" s="1614" t="s">
        <v>1620</v>
      </c>
      <c r="T23" s="1614" t="s">
        <v>1621</v>
      </c>
      <c r="U23" s="1614" t="s">
        <v>1622</v>
      </c>
    </row>
    <row r="24" spans="1:21" ht="15" customHeight="1" outlineLevel="1">
      <c r="A24" s="1613"/>
      <c r="B24" s="1613"/>
      <c r="C24" s="1609"/>
      <c r="D24" s="1605"/>
      <c r="E24" s="1611"/>
      <c r="F24" s="1611"/>
      <c r="G24" s="262" t="s">
        <v>1623</v>
      </c>
      <c r="H24" s="262" t="s">
        <v>1624</v>
      </c>
      <c r="I24" s="281" t="s">
        <v>1625</v>
      </c>
      <c r="J24" s="281" t="s">
        <v>1626</v>
      </c>
      <c r="K24" s="281" t="s">
        <v>1627</v>
      </c>
      <c r="L24" s="281" t="s">
        <v>1628</v>
      </c>
      <c r="M24" s="281" t="s">
        <v>1629</v>
      </c>
      <c r="N24" s="281" t="s">
        <v>1630</v>
      </c>
      <c r="O24" s="281" t="s">
        <v>1631</v>
      </c>
      <c r="P24" s="281" t="s">
        <v>1632</v>
      </c>
      <c r="Q24" s="281" t="s">
        <v>1633</v>
      </c>
      <c r="R24" s="281" t="s">
        <v>1634</v>
      </c>
      <c r="S24" s="1610"/>
      <c r="T24" s="1610"/>
      <c r="U24" s="1610"/>
    </row>
    <row r="25" spans="1:21" ht="16.5" outlineLevel="1">
      <c r="A25" s="1607" t="s">
        <v>1639</v>
      </c>
      <c r="B25" s="263" t="s">
        <v>1578</v>
      </c>
      <c r="C25" s="246" t="s">
        <v>2460</v>
      </c>
      <c r="D25" s="258">
        <f>E25*G25+F25*H25</f>
        <v>67.868229148916129</v>
      </c>
      <c r="E25" s="258">
        <f>'OR02-销售承保'!R38</f>
        <v>46.163721439593814</v>
      </c>
      <c r="F25" s="258">
        <f>AVERAGE(I25:R25)</f>
        <v>77.17016102433999</v>
      </c>
      <c r="G25" s="260">
        <v>0.3</v>
      </c>
      <c r="H25" s="260">
        <v>0.7</v>
      </c>
      <c r="I25" s="259">
        <f>'OR04-分公司销售、承保、保全'!W76</f>
        <v>84.73684210526315</v>
      </c>
      <c r="J25" s="259">
        <f>'OR04-分公司销售、承保、保全'!AC76</f>
        <v>76.866013071895424</v>
      </c>
      <c r="K25" s="259">
        <f>'OR04-分公司销售、承保、保全'!AI76</f>
        <v>76.473214285714278</v>
      </c>
      <c r="L25" s="259">
        <f>'OR04-分公司销售、承保、保全'!AO76</f>
        <v>67.444444444444443</v>
      </c>
      <c r="M25" s="259">
        <f>'OR04-分公司销售、承保、保全'!AU76</f>
        <v>75.296747967479675</v>
      </c>
      <c r="N25" s="259">
        <f>'OR04-分公司销售、承保、保全'!BA76</f>
        <v>76.040229885057471</v>
      </c>
      <c r="O25" s="259">
        <f>'OR04-分公司销售、承保、保全'!BG76</f>
        <v>83.801886792452834</v>
      </c>
      <c r="P25" s="259">
        <f>'OR04-分公司销售、承保、保全'!BM76</f>
        <v>74.487562189054728</v>
      </c>
      <c r="Q25" s="259">
        <f>'OR04-分公司销售、承保、保全'!BS76</f>
        <v>82.796296296296305</v>
      </c>
      <c r="R25" s="259">
        <f>'OR04-分公司销售、承保、保全'!BY76</f>
        <v>73.758373205741634</v>
      </c>
      <c r="S25" s="261" t="s">
        <v>1579</v>
      </c>
      <c r="T25" s="261" t="s">
        <v>1580</v>
      </c>
      <c r="U25" s="261" t="s">
        <v>1581</v>
      </c>
    </row>
    <row r="26" spans="1:21" ht="16.5" outlineLevel="1">
      <c r="A26" s="1607"/>
      <c r="B26" s="264" t="s">
        <v>1582</v>
      </c>
      <c r="C26" s="245" t="s">
        <v>2460</v>
      </c>
      <c r="D26" s="237">
        <f>E26*G26+F26*H26</f>
        <v>66.5</v>
      </c>
      <c r="E26" s="237">
        <f>'OR06-理赔保全'!M22</f>
        <v>35</v>
      </c>
      <c r="F26" s="237">
        <f>AVERAGE(I26:R26)</f>
        <v>80</v>
      </c>
      <c r="G26" s="239">
        <v>0.3</v>
      </c>
      <c r="H26" s="239">
        <v>0.7</v>
      </c>
      <c r="I26" s="238">
        <f>'OR08-分公司理赔'!W41</f>
        <v>82</v>
      </c>
      <c r="J26" s="238">
        <f>'OR08-分公司理赔'!AC41</f>
        <v>79</v>
      </c>
      <c r="K26" s="238">
        <f>'OR08-分公司理赔'!AI41</f>
        <v>82</v>
      </c>
      <c r="L26" s="238">
        <f>'OR08-分公司理赔'!AO41</f>
        <v>82</v>
      </c>
      <c r="M26" s="238">
        <f>'OR08-分公司理赔'!AU41</f>
        <v>79</v>
      </c>
      <c r="N26" s="238">
        <f>'OR08-分公司理赔'!BA41</f>
        <v>79</v>
      </c>
      <c r="O26" s="238">
        <f>'OR08-分公司理赔'!BG41</f>
        <v>74</v>
      </c>
      <c r="P26" s="238">
        <f>'OR08-分公司理赔'!BM41</f>
        <v>82</v>
      </c>
      <c r="Q26" s="238">
        <f>'OR08-分公司理赔'!BS41</f>
        <v>79</v>
      </c>
      <c r="R26" s="238">
        <f>'OR08-分公司理赔'!BY41</f>
        <v>82</v>
      </c>
      <c r="S26" s="240" t="s">
        <v>1579</v>
      </c>
      <c r="T26" s="240" t="s">
        <v>1580</v>
      </c>
      <c r="U26" s="240" t="s">
        <v>1581</v>
      </c>
    </row>
    <row r="27" spans="1:21" ht="16.5" outlineLevel="1">
      <c r="A27" s="1607"/>
      <c r="B27" s="264" t="s">
        <v>1583</v>
      </c>
      <c r="C27" s="246" t="s">
        <v>2459</v>
      </c>
      <c r="D27" s="237">
        <f>E27*G27+F27*H27</f>
        <v>85.52</v>
      </c>
      <c r="E27" s="237">
        <f>'OR12-财务管理'!P42</f>
        <v>84</v>
      </c>
      <c r="F27" s="237">
        <f>AVERAGE(I27:R27)</f>
        <v>87.8</v>
      </c>
      <c r="G27" s="239">
        <v>0.6</v>
      </c>
      <c r="H27" s="239">
        <v>0.4</v>
      </c>
      <c r="I27" s="238">
        <f>'OR13-分公司财务管理'!W57</f>
        <v>88</v>
      </c>
      <c r="J27" s="238">
        <f>'OR13-分公司财务管理'!AC57</f>
        <v>90</v>
      </c>
      <c r="K27" s="238">
        <f>'OR13-分公司财务管理'!AI57</f>
        <v>88</v>
      </c>
      <c r="L27" s="238">
        <f>'OR13-分公司财务管理'!AO57</f>
        <v>77</v>
      </c>
      <c r="M27" s="238">
        <f>'OR13-分公司财务管理'!AU57</f>
        <v>89</v>
      </c>
      <c r="N27" s="238">
        <f>'OR13-分公司财务管理'!BA57</f>
        <v>88</v>
      </c>
      <c r="O27" s="238">
        <f>'OR13-分公司财务管理'!BG57</f>
        <v>90</v>
      </c>
      <c r="P27" s="238">
        <f>'OR13-分公司财务管理'!BM57</f>
        <v>88</v>
      </c>
      <c r="Q27" s="238">
        <f>'OR13-分公司财务管理'!BS57</f>
        <v>90</v>
      </c>
      <c r="R27" s="238">
        <f>'OR13-分公司财务管理'!BY57</f>
        <v>90</v>
      </c>
      <c r="S27" s="240" t="s">
        <v>1579</v>
      </c>
      <c r="T27" s="240" t="s">
        <v>1580</v>
      </c>
      <c r="U27" s="240" t="s">
        <v>1581</v>
      </c>
    </row>
    <row r="28" spans="1:21" ht="16.5" outlineLevel="1">
      <c r="A28" s="1607"/>
      <c r="B28" s="264" t="s">
        <v>1584</v>
      </c>
      <c r="C28" s="245" t="s">
        <v>2459</v>
      </c>
      <c r="D28" s="237">
        <f>E28</f>
        <v>80</v>
      </c>
      <c r="E28" s="237">
        <f>'OR10-资金运用'!M63</f>
        <v>80</v>
      </c>
      <c r="F28" s="241"/>
      <c r="G28" s="239">
        <v>1</v>
      </c>
      <c r="H28" s="242" t="s">
        <v>1585</v>
      </c>
      <c r="I28" s="242"/>
      <c r="J28" s="242"/>
      <c r="K28" s="242"/>
      <c r="L28" s="242"/>
      <c r="M28" s="242"/>
      <c r="N28" s="242"/>
      <c r="O28" s="242"/>
      <c r="P28" s="242"/>
      <c r="Q28" s="242"/>
      <c r="R28" s="242"/>
      <c r="S28" s="240" t="s">
        <v>1579</v>
      </c>
      <c r="T28" s="240" t="s">
        <v>1580</v>
      </c>
      <c r="U28" s="240" t="s">
        <v>1581</v>
      </c>
    </row>
    <row r="29" spans="1:21" ht="16.5" outlineLevel="1">
      <c r="A29" s="1607"/>
      <c r="B29" s="264" t="s">
        <v>1586</v>
      </c>
      <c r="C29" s="246" t="s">
        <v>2459</v>
      </c>
      <c r="D29" s="347">
        <v>0</v>
      </c>
      <c r="E29" s="347">
        <v>0</v>
      </c>
      <c r="F29" s="241"/>
      <c r="G29" s="239">
        <v>1</v>
      </c>
      <c r="H29" s="242" t="s">
        <v>1585</v>
      </c>
      <c r="I29" s="242"/>
      <c r="J29" s="242"/>
      <c r="K29" s="242"/>
      <c r="L29" s="242"/>
      <c r="M29" s="242"/>
      <c r="N29" s="242"/>
      <c r="O29" s="242"/>
      <c r="P29" s="242"/>
      <c r="Q29" s="242"/>
      <c r="R29" s="242"/>
      <c r="S29" s="240" t="s">
        <v>1579</v>
      </c>
      <c r="T29" s="240" t="s">
        <v>1580</v>
      </c>
      <c r="U29" s="240" t="s">
        <v>1581</v>
      </c>
    </row>
    <row r="30" spans="1:21" ht="16.5" outlineLevel="1">
      <c r="A30" s="1607"/>
      <c r="B30" s="264" t="s">
        <v>1587</v>
      </c>
      <c r="C30" s="245" t="s">
        <v>2459</v>
      </c>
      <c r="D30" s="237">
        <f>E30</f>
        <v>88</v>
      </c>
      <c r="E30" s="237">
        <f>公司治理!J81</f>
        <v>88</v>
      </c>
      <c r="F30" s="241"/>
      <c r="G30" s="239">
        <v>1</v>
      </c>
      <c r="H30" s="242" t="s">
        <v>1585</v>
      </c>
      <c r="I30" s="242"/>
      <c r="J30" s="242"/>
      <c r="K30" s="242"/>
      <c r="L30" s="242"/>
      <c r="M30" s="242"/>
      <c r="N30" s="242"/>
      <c r="O30" s="242"/>
      <c r="P30" s="242"/>
      <c r="Q30" s="242"/>
      <c r="R30" s="242"/>
      <c r="S30" s="240" t="s">
        <v>1579</v>
      </c>
      <c r="T30" s="240" t="s">
        <v>1580</v>
      </c>
      <c r="U30" s="240" t="s">
        <v>1581</v>
      </c>
    </row>
    <row r="31" spans="1:21" ht="16.5" outlineLevel="1">
      <c r="A31" s="1607"/>
      <c r="B31" s="264" t="s">
        <v>1588</v>
      </c>
      <c r="C31" s="246" t="s">
        <v>2459</v>
      </c>
      <c r="D31" s="237">
        <f>E31</f>
        <v>74</v>
      </c>
      <c r="E31" s="237">
        <f>'OR15-准备金再保险'!M19</f>
        <v>74</v>
      </c>
      <c r="F31" s="241"/>
      <c r="G31" s="239">
        <v>1</v>
      </c>
      <c r="H31" s="242" t="s">
        <v>1585</v>
      </c>
      <c r="I31" s="242"/>
      <c r="J31" s="242"/>
      <c r="K31" s="242"/>
      <c r="L31" s="242"/>
      <c r="M31" s="242"/>
      <c r="N31" s="242"/>
      <c r="O31" s="242"/>
      <c r="P31" s="242"/>
      <c r="Q31" s="242"/>
      <c r="R31" s="242"/>
      <c r="S31" s="265" t="s">
        <v>1589</v>
      </c>
      <c r="T31" s="240" t="s">
        <v>1579</v>
      </c>
      <c r="U31" s="240" t="s">
        <v>1580</v>
      </c>
    </row>
    <row r="32" spans="1:21" ht="16.5" outlineLevel="1">
      <c r="A32" s="1607"/>
      <c r="B32" s="264" t="s">
        <v>1590</v>
      </c>
      <c r="C32" s="245" t="s">
        <v>2459</v>
      </c>
      <c r="D32" s="237">
        <f>E32</f>
        <v>90.1</v>
      </c>
      <c r="E32" s="237">
        <f>信息系统!K137</f>
        <v>90.1</v>
      </c>
      <c r="F32" s="241"/>
      <c r="G32" s="239">
        <v>1</v>
      </c>
      <c r="H32" s="242" t="s">
        <v>1585</v>
      </c>
      <c r="I32" s="242"/>
      <c r="J32" s="242"/>
      <c r="K32" s="242"/>
      <c r="L32" s="242"/>
      <c r="M32" s="242"/>
      <c r="N32" s="242"/>
      <c r="O32" s="242"/>
      <c r="P32" s="242"/>
      <c r="Q32" s="242"/>
      <c r="R32" s="242"/>
      <c r="S32" s="240" t="s">
        <v>1579</v>
      </c>
      <c r="T32" s="240" t="s">
        <v>1580</v>
      </c>
      <c r="U32" s="240" t="s">
        <v>1581</v>
      </c>
    </row>
    <row r="33" spans="1:21" ht="16.5" outlineLevel="1">
      <c r="A33" s="1607"/>
      <c r="B33" s="264" t="s">
        <v>1591</v>
      </c>
      <c r="C33" s="246" t="s">
        <v>2459</v>
      </c>
      <c r="D33" s="237">
        <f>E33</f>
        <v>75</v>
      </c>
      <c r="E33" s="237">
        <f>案件管理!J21</f>
        <v>75</v>
      </c>
      <c r="F33" s="241"/>
      <c r="G33" s="239">
        <v>1</v>
      </c>
      <c r="H33" s="242" t="s">
        <v>1585</v>
      </c>
      <c r="I33" s="242"/>
      <c r="J33" s="242"/>
      <c r="K33" s="242"/>
      <c r="L33" s="242"/>
      <c r="M33" s="242"/>
      <c r="N33" s="242"/>
      <c r="O33" s="242"/>
      <c r="P33" s="242"/>
      <c r="Q33" s="242"/>
      <c r="R33" s="242"/>
      <c r="S33" s="240" t="s">
        <v>1579</v>
      </c>
      <c r="T33" s="240" t="s">
        <v>1580</v>
      </c>
      <c r="U33" s="240" t="s">
        <v>1581</v>
      </c>
    </row>
    <row r="34" spans="1:21" ht="16.5" outlineLevel="1">
      <c r="A34" s="1608"/>
      <c r="B34" s="266" t="s">
        <v>1592</v>
      </c>
      <c r="C34" s="245" t="s">
        <v>2022</v>
      </c>
      <c r="D34" s="237">
        <f>(SUM(D25:D33)+D31)/9</f>
        <v>77.887581016546235</v>
      </c>
      <c r="E34" s="241"/>
      <c r="F34" s="241"/>
      <c r="G34" s="239">
        <v>1</v>
      </c>
      <c r="H34" s="242" t="s">
        <v>1585</v>
      </c>
      <c r="I34" s="242"/>
      <c r="J34" s="242"/>
      <c r="K34" s="242"/>
      <c r="L34" s="242"/>
      <c r="M34" s="242"/>
      <c r="N34" s="242"/>
      <c r="O34" s="242"/>
      <c r="P34" s="242"/>
      <c r="Q34" s="242"/>
      <c r="R34" s="242"/>
      <c r="S34" s="240" t="s">
        <v>1594</v>
      </c>
      <c r="T34" s="239">
        <v>0.5</v>
      </c>
      <c r="U34" s="239">
        <v>0.25</v>
      </c>
    </row>
    <row r="35" spans="1:21" ht="16.5" outlineLevel="1">
      <c r="A35" s="1602" t="s">
        <v>1636</v>
      </c>
      <c r="B35" s="1603"/>
      <c r="C35" s="245" t="s">
        <v>2022</v>
      </c>
      <c r="D35" s="237">
        <f>战略风险!G32</f>
        <v>94</v>
      </c>
      <c r="E35" s="241"/>
      <c r="F35" s="241"/>
      <c r="G35" s="239">
        <v>1</v>
      </c>
      <c r="H35" s="242" t="s">
        <v>1585</v>
      </c>
      <c r="I35" s="242"/>
      <c r="J35" s="242"/>
      <c r="K35" s="242"/>
      <c r="L35" s="242"/>
      <c r="M35" s="242"/>
      <c r="N35" s="242"/>
      <c r="O35" s="242"/>
      <c r="P35" s="242"/>
      <c r="Q35" s="242"/>
      <c r="R35" s="242"/>
      <c r="S35" s="239" t="s">
        <v>1585</v>
      </c>
      <c r="T35" s="239">
        <v>0.15</v>
      </c>
      <c r="U35" s="243">
        <v>7.4999999999999997E-2</v>
      </c>
    </row>
    <row r="36" spans="1:21" ht="16.5" outlineLevel="1">
      <c r="A36" s="1602" t="s">
        <v>1637</v>
      </c>
      <c r="B36" s="1603"/>
      <c r="C36" s="245" t="s">
        <v>2022</v>
      </c>
      <c r="D36" s="237">
        <v>90</v>
      </c>
      <c r="E36" s="241"/>
      <c r="F36" s="241"/>
      <c r="G36" s="239">
        <v>1</v>
      </c>
      <c r="H36" s="239" t="s">
        <v>1585</v>
      </c>
      <c r="I36" s="239"/>
      <c r="J36" s="239"/>
      <c r="K36" s="239"/>
      <c r="L36" s="239"/>
      <c r="M36" s="239"/>
      <c r="N36" s="239"/>
      <c r="O36" s="239"/>
      <c r="P36" s="239"/>
      <c r="Q36" s="239"/>
      <c r="R36" s="239"/>
      <c r="S36" s="239" t="s">
        <v>1585</v>
      </c>
      <c r="T36" s="239">
        <v>0.1</v>
      </c>
      <c r="U36" s="239">
        <v>0.05</v>
      </c>
    </row>
    <row r="37" spans="1:21" ht="16.5" outlineLevel="1">
      <c r="A37" s="1602" t="s">
        <v>1638</v>
      </c>
      <c r="B37" s="1603"/>
      <c r="C37" s="563" t="s">
        <v>2022</v>
      </c>
      <c r="D37" s="237">
        <f>流动性风险!H33</f>
        <v>91.111111111111114</v>
      </c>
      <c r="E37" s="241"/>
      <c r="F37" s="241"/>
      <c r="G37" s="239">
        <v>1</v>
      </c>
      <c r="H37" s="242" t="s">
        <v>1585</v>
      </c>
      <c r="I37" s="242"/>
      <c r="J37" s="242"/>
      <c r="K37" s="242"/>
      <c r="L37" s="242"/>
      <c r="M37" s="242"/>
      <c r="N37" s="242"/>
      <c r="O37" s="242"/>
      <c r="P37" s="242"/>
      <c r="Q37" s="242"/>
      <c r="R37" s="242"/>
      <c r="S37" s="239" t="s">
        <v>1585</v>
      </c>
      <c r="T37" s="239">
        <v>0.25</v>
      </c>
      <c r="U37" s="243">
        <v>0.125</v>
      </c>
    </row>
    <row r="38" spans="1:21" ht="16.5" outlineLevel="1">
      <c r="A38" s="1600" t="s">
        <v>2462</v>
      </c>
      <c r="B38" s="1600"/>
      <c r="C38" s="563" t="s">
        <v>2022</v>
      </c>
      <c r="D38" s="237">
        <f>D34*T34+D35*T35+D36*T36+D37*T37</f>
        <v>84.821568286050905</v>
      </c>
      <c r="E38" s="241"/>
      <c r="F38" s="241"/>
      <c r="G38" s="239">
        <v>1</v>
      </c>
      <c r="H38" s="242" t="s">
        <v>1585</v>
      </c>
      <c r="I38" s="242"/>
      <c r="J38" s="242"/>
      <c r="K38" s="242"/>
      <c r="L38" s="242"/>
      <c r="M38" s="242"/>
      <c r="N38" s="242"/>
      <c r="O38" s="242"/>
      <c r="P38" s="242"/>
      <c r="Q38" s="242"/>
      <c r="R38" s="242"/>
      <c r="S38" s="239" t="s">
        <v>1585</v>
      </c>
      <c r="T38" s="239">
        <v>1</v>
      </c>
      <c r="U38" s="239">
        <v>0.5</v>
      </c>
    </row>
    <row r="39" spans="1:21" ht="16.5" outlineLevel="1">
      <c r="A39" s="1604" t="s">
        <v>2461</v>
      </c>
      <c r="B39" s="1604"/>
      <c r="C39" s="245" t="s">
        <v>1593</v>
      </c>
      <c r="D39" s="237">
        <v>100</v>
      </c>
      <c r="E39" s="241"/>
      <c r="F39" s="241"/>
      <c r="G39" s="239">
        <v>1</v>
      </c>
      <c r="H39" s="242" t="s">
        <v>1585</v>
      </c>
      <c r="I39" s="242"/>
      <c r="J39" s="242"/>
      <c r="K39" s="242"/>
      <c r="L39" s="242"/>
      <c r="M39" s="242"/>
      <c r="N39" s="242"/>
      <c r="O39" s="242"/>
      <c r="P39" s="242"/>
      <c r="Q39" s="242"/>
      <c r="R39" s="242"/>
      <c r="S39" s="239" t="s">
        <v>1585</v>
      </c>
      <c r="T39" s="242" t="s">
        <v>1585</v>
      </c>
      <c r="U39" s="239">
        <v>0.5</v>
      </c>
    </row>
    <row r="40" spans="1:21" ht="16.5" outlineLevel="1">
      <c r="A40" s="1600" t="s">
        <v>1635</v>
      </c>
      <c r="B40" s="1600"/>
      <c r="C40" s="245"/>
      <c r="D40" s="237">
        <f>D38*U38+D39*U39</f>
        <v>92.410784143025452</v>
      </c>
      <c r="E40" s="241"/>
      <c r="F40" s="241"/>
      <c r="G40" s="242" t="s">
        <v>1585</v>
      </c>
      <c r="H40" s="242" t="s">
        <v>1585</v>
      </c>
      <c r="I40" s="242"/>
      <c r="J40" s="242"/>
      <c r="K40" s="242"/>
      <c r="L40" s="242"/>
      <c r="M40" s="242"/>
      <c r="N40" s="242"/>
      <c r="O40" s="242"/>
      <c r="P40" s="242"/>
      <c r="Q40" s="242"/>
      <c r="R40" s="242"/>
      <c r="S40" s="239" t="s">
        <v>1585</v>
      </c>
      <c r="T40" s="242" t="s">
        <v>1585</v>
      </c>
      <c r="U40" s="239">
        <v>1</v>
      </c>
    </row>
    <row r="42" spans="1:21">
      <c r="A42" s="1606" t="s">
        <v>1641</v>
      </c>
      <c r="B42" s="1606"/>
      <c r="D42" s="299">
        <f>D60</f>
        <v>91.891339698581007</v>
      </c>
    </row>
    <row r="43" spans="1:21" ht="16.149999999999999" customHeight="1" outlineLevel="1">
      <c r="A43" s="1612" t="s">
        <v>1615</v>
      </c>
      <c r="B43" s="1612"/>
      <c r="C43" s="1609" t="s">
        <v>2458</v>
      </c>
      <c r="D43" s="1610" t="s">
        <v>1616</v>
      </c>
      <c r="E43" s="1611" t="s">
        <v>1617</v>
      </c>
      <c r="F43" s="1611" t="s">
        <v>1618</v>
      </c>
      <c r="G43" s="1605" t="s">
        <v>1619</v>
      </c>
      <c r="H43" s="1605"/>
      <c r="I43" s="262"/>
      <c r="J43" s="262"/>
      <c r="K43" s="262"/>
      <c r="L43" s="262"/>
      <c r="M43" s="262"/>
      <c r="N43" s="262"/>
      <c r="O43" s="262"/>
      <c r="P43" s="262"/>
      <c r="Q43" s="262"/>
      <c r="R43" s="262"/>
      <c r="S43" s="1605" t="s">
        <v>1620</v>
      </c>
      <c r="T43" s="1605" t="s">
        <v>1621</v>
      </c>
      <c r="U43" s="1605" t="s">
        <v>1622</v>
      </c>
    </row>
    <row r="44" spans="1:21" ht="15" customHeight="1" outlineLevel="1">
      <c r="A44" s="1613"/>
      <c r="B44" s="1613"/>
      <c r="C44" s="1609"/>
      <c r="D44" s="1605"/>
      <c r="E44" s="1611"/>
      <c r="F44" s="1611"/>
      <c r="G44" s="262" t="s">
        <v>1623</v>
      </c>
      <c r="H44" s="262" t="s">
        <v>1624</v>
      </c>
      <c r="I44" s="262" t="s">
        <v>1625</v>
      </c>
      <c r="J44" s="262" t="s">
        <v>1626</v>
      </c>
      <c r="K44" s="262" t="s">
        <v>1627</v>
      </c>
      <c r="L44" s="262" t="s">
        <v>1628</v>
      </c>
      <c r="M44" s="262" t="s">
        <v>1629</v>
      </c>
      <c r="N44" s="262" t="s">
        <v>1630</v>
      </c>
      <c r="O44" s="262" t="s">
        <v>1631</v>
      </c>
      <c r="P44" s="262" t="s">
        <v>1632</v>
      </c>
      <c r="Q44" s="262" t="s">
        <v>1633</v>
      </c>
      <c r="R44" s="262" t="s">
        <v>1634</v>
      </c>
      <c r="S44" s="1605"/>
      <c r="T44" s="1605"/>
      <c r="U44" s="1605"/>
    </row>
    <row r="45" spans="1:21" ht="16.5" outlineLevel="1">
      <c r="A45" s="1607" t="s">
        <v>1639</v>
      </c>
      <c r="B45" s="263" t="s">
        <v>1578</v>
      </c>
      <c r="C45" s="246" t="s">
        <v>2460</v>
      </c>
      <c r="D45" s="258">
        <f>E45*G45+F45*H45</f>
        <v>65.768229148916134</v>
      </c>
      <c r="E45" s="258">
        <f>'OR02-销售承保'!R39</f>
        <v>46.163721439593814</v>
      </c>
      <c r="F45" s="258">
        <f>AVERAGE(I45:R45)</f>
        <v>74.17016102433999</v>
      </c>
      <c r="G45" s="260">
        <v>0.3</v>
      </c>
      <c r="H45" s="260">
        <v>0.7</v>
      </c>
      <c r="I45" s="259">
        <f>'OR04-分公司销售、承保、保全'!W80</f>
        <v>74.73684210526315</v>
      </c>
      <c r="J45" s="259">
        <f>'OR04-分公司销售、承保、保全'!AC80</f>
        <v>76.866013071895424</v>
      </c>
      <c r="K45" s="259">
        <f>'OR04-分公司销售、承保、保全'!AI80</f>
        <v>76.473214285714278</v>
      </c>
      <c r="L45" s="259">
        <f>'OR04-分公司销售、承保、保全'!AO80</f>
        <v>67.444444444444443</v>
      </c>
      <c r="M45" s="259">
        <f>'OR04-分公司销售、承保、保全'!AU80</f>
        <v>75.296747967479675</v>
      </c>
      <c r="N45" s="259">
        <f>'OR04-分公司销售、承保、保全'!BA80</f>
        <v>76.040229885057471</v>
      </c>
      <c r="O45" s="259">
        <f>'OR04-分公司销售、承保、保全'!BG80</f>
        <v>73.801886792452834</v>
      </c>
      <c r="P45" s="259">
        <f>'OR04-分公司销售、承保、保全'!BM80</f>
        <v>74.487562189054728</v>
      </c>
      <c r="Q45" s="259">
        <f>'OR04-分公司销售、承保、保全'!BS80</f>
        <v>72.796296296296305</v>
      </c>
      <c r="R45" s="259">
        <f>'OR04-分公司销售、承保、保全'!BY80</f>
        <v>73.758373205741634</v>
      </c>
      <c r="S45" s="261" t="s">
        <v>1579</v>
      </c>
      <c r="T45" s="261" t="s">
        <v>1580</v>
      </c>
      <c r="U45" s="261" t="s">
        <v>1581</v>
      </c>
    </row>
    <row r="46" spans="1:21" ht="16.5" outlineLevel="1">
      <c r="A46" s="1607"/>
      <c r="B46" s="264" t="s">
        <v>1582</v>
      </c>
      <c r="C46" s="245" t="s">
        <v>2460</v>
      </c>
      <c r="D46" s="237">
        <f>E46*G46+F46*H46</f>
        <v>59.5</v>
      </c>
      <c r="E46" s="237">
        <f>'OR06-理赔保全'!M23</f>
        <v>35</v>
      </c>
      <c r="F46" s="237">
        <f>AVERAGE(I46:R46)</f>
        <v>70</v>
      </c>
      <c r="G46" s="239">
        <v>0.3</v>
      </c>
      <c r="H46" s="239">
        <v>0.7</v>
      </c>
      <c r="I46" s="238">
        <f>'OR08-分公司理赔'!W45</f>
        <v>72</v>
      </c>
      <c r="J46" s="238">
        <f>'OR08-分公司理赔'!AC45</f>
        <v>69</v>
      </c>
      <c r="K46" s="238">
        <f>'OR08-分公司理赔'!AI45</f>
        <v>72</v>
      </c>
      <c r="L46" s="238">
        <f>'OR08-分公司理赔'!AO45</f>
        <v>72</v>
      </c>
      <c r="M46" s="238">
        <f>'OR08-分公司理赔'!AU45</f>
        <v>69</v>
      </c>
      <c r="N46" s="238">
        <f>'OR08-分公司理赔'!BA45</f>
        <v>69</v>
      </c>
      <c r="O46" s="238">
        <f>'OR08-分公司理赔'!BG45</f>
        <v>64</v>
      </c>
      <c r="P46" s="238">
        <f>'OR08-分公司理赔'!BM45</f>
        <v>72</v>
      </c>
      <c r="Q46" s="238">
        <f>'OR08-分公司理赔'!BS45</f>
        <v>69</v>
      </c>
      <c r="R46" s="238">
        <f>'OR08-分公司理赔'!BY45</f>
        <v>72</v>
      </c>
      <c r="S46" s="240" t="s">
        <v>1579</v>
      </c>
      <c r="T46" s="240" t="s">
        <v>1580</v>
      </c>
      <c r="U46" s="240" t="s">
        <v>1581</v>
      </c>
    </row>
    <row r="47" spans="1:21" ht="16.5" outlineLevel="1">
      <c r="A47" s="1607"/>
      <c r="B47" s="264" t="s">
        <v>1583</v>
      </c>
      <c r="C47" s="246" t="s">
        <v>2459</v>
      </c>
      <c r="D47" s="237">
        <f>E47*G47+F47*H47</f>
        <v>75.92</v>
      </c>
      <c r="E47" s="237">
        <f>'OR12-财务管理'!P43</f>
        <v>74</v>
      </c>
      <c r="F47" s="237">
        <f>AVERAGE(I47:R47)</f>
        <v>78.8</v>
      </c>
      <c r="G47" s="239">
        <v>0.6</v>
      </c>
      <c r="H47" s="239">
        <v>0.4</v>
      </c>
      <c r="I47" s="238">
        <f>'OR13-分公司财务管理'!W61</f>
        <v>78</v>
      </c>
      <c r="J47" s="238">
        <f>'OR13-分公司财务管理'!AC61</f>
        <v>80</v>
      </c>
      <c r="K47" s="238">
        <f>'OR13-分公司财务管理'!AI61</f>
        <v>78</v>
      </c>
      <c r="L47" s="238">
        <f>'OR13-分公司财务管理'!AO61</f>
        <v>77</v>
      </c>
      <c r="M47" s="238">
        <f>'OR13-分公司财务管理'!AU61</f>
        <v>79</v>
      </c>
      <c r="N47" s="238">
        <f>'OR13-分公司财务管理'!BA61</f>
        <v>78</v>
      </c>
      <c r="O47" s="238">
        <f>'OR13-分公司财务管理'!BG61</f>
        <v>80</v>
      </c>
      <c r="P47" s="238">
        <f>'OR13-分公司财务管理'!BM61</f>
        <v>78</v>
      </c>
      <c r="Q47" s="238">
        <f>'OR13-分公司财务管理'!BS61</f>
        <v>80</v>
      </c>
      <c r="R47" s="238">
        <f>'OR13-分公司财务管理'!BY61</f>
        <v>80</v>
      </c>
      <c r="S47" s="240" t="s">
        <v>1579</v>
      </c>
      <c r="T47" s="240" t="s">
        <v>1580</v>
      </c>
      <c r="U47" s="240" t="s">
        <v>1581</v>
      </c>
    </row>
    <row r="48" spans="1:21" ht="16.5" outlineLevel="1">
      <c r="A48" s="1607"/>
      <c r="B48" s="264" t="s">
        <v>1584</v>
      </c>
      <c r="C48" s="245" t="s">
        <v>2459</v>
      </c>
      <c r="D48" s="237">
        <f t="shared" ref="D48:D53" si="8">E48</f>
        <v>80</v>
      </c>
      <c r="E48" s="237">
        <f>'OR10-资金运用'!M64</f>
        <v>80</v>
      </c>
      <c r="F48" s="241"/>
      <c r="G48" s="239">
        <v>1</v>
      </c>
      <c r="H48" s="242" t="s">
        <v>1585</v>
      </c>
      <c r="I48" s="242"/>
      <c r="J48" s="242"/>
      <c r="K48" s="242"/>
      <c r="L48" s="242"/>
      <c r="M48" s="242"/>
      <c r="N48" s="242"/>
      <c r="O48" s="242"/>
      <c r="P48" s="242"/>
      <c r="Q48" s="242"/>
      <c r="R48" s="242"/>
      <c r="S48" s="240" t="s">
        <v>1579</v>
      </c>
      <c r="T48" s="240" t="s">
        <v>1580</v>
      </c>
      <c r="U48" s="240" t="s">
        <v>1581</v>
      </c>
    </row>
    <row r="49" spans="1:21" ht="16.5" outlineLevel="1">
      <c r="A49" s="1607"/>
      <c r="B49" s="264" t="s">
        <v>1586</v>
      </c>
      <c r="C49" s="246" t="s">
        <v>2459</v>
      </c>
      <c r="D49" s="347">
        <v>0</v>
      </c>
      <c r="E49" s="347">
        <v>0</v>
      </c>
      <c r="F49" s="241"/>
      <c r="G49" s="239">
        <v>1</v>
      </c>
      <c r="H49" s="242" t="s">
        <v>1585</v>
      </c>
      <c r="I49" s="242"/>
      <c r="J49" s="242"/>
      <c r="K49" s="242"/>
      <c r="L49" s="242"/>
      <c r="M49" s="242"/>
      <c r="N49" s="242"/>
      <c r="O49" s="242"/>
      <c r="P49" s="242"/>
      <c r="Q49" s="242"/>
      <c r="R49" s="242"/>
      <c r="S49" s="240" t="s">
        <v>1579</v>
      </c>
      <c r="T49" s="240" t="s">
        <v>1580</v>
      </c>
      <c r="U49" s="240" t="s">
        <v>1581</v>
      </c>
    </row>
    <row r="50" spans="1:21" ht="16.5" outlineLevel="1">
      <c r="A50" s="1607"/>
      <c r="B50" s="264" t="s">
        <v>1587</v>
      </c>
      <c r="C50" s="245" t="s">
        <v>2459</v>
      </c>
      <c r="D50" s="237">
        <f>E50</f>
        <v>88</v>
      </c>
      <c r="E50" s="237">
        <f>公司治理!H81</f>
        <v>88</v>
      </c>
      <c r="F50" s="241"/>
      <c r="G50" s="239">
        <v>1</v>
      </c>
      <c r="H50" s="242" t="s">
        <v>1585</v>
      </c>
      <c r="I50" s="242"/>
      <c r="J50" s="242"/>
      <c r="K50" s="242"/>
      <c r="L50" s="242"/>
      <c r="M50" s="242"/>
      <c r="N50" s="242"/>
      <c r="O50" s="242"/>
      <c r="P50" s="242"/>
      <c r="Q50" s="242"/>
      <c r="R50" s="242"/>
      <c r="S50" s="240" t="s">
        <v>1579</v>
      </c>
      <c r="T50" s="240" t="s">
        <v>1580</v>
      </c>
      <c r="U50" s="240" t="s">
        <v>1581</v>
      </c>
    </row>
    <row r="51" spans="1:21" ht="16.5" outlineLevel="1">
      <c r="A51" s="1607"/>
      <c r="B51" s="264" t="s">
        <v>1588</v>
      </c>
      <c r="C51" s="246" t="s">
        <v>2459</v>
      </c>
      <c r="D51" s="237">
        <f t="shared" si="8"/>
        <v>74</v>
      </c>
      <c r="E51" s="237">
        <f>'OR15-准备金再保险'!M20</f>
        <v>74</v>
      </c>
      <c r="F51" s="241"/>
      <c r="G51" s="239">
        <v>1</v>
      </c>
      <c r="H51" s="242" t="s">
        <v>1585</v>
      </c>
      <c r="I51" s="242"/>
      <c r="J51" s="242"/>
      <c r="K51" s="242"/>
      <c r="L51" s="242"/>
      <c r="M51" s="242"/>
      <c r="N51" s="242"/>
      <c r="O51" s="242"/>
      <c r="P51" s="242"/>
      <c r="Q51" s="242"/>
      <c r="R51" s="242"/>
      <c r="S51" s="265" t="s">
        <v>1589</v>
      </c>
      <c r="T51" s="240" t="s">
        <v>1579</v>
      </c>
      <c r="U51" s="240" t="s">
        <v>1580</v>
      </c>
    </row>
    <row r="52" spans="1:21" ht="16.5" outlineLevel="1">
      <c r="A52" s="1607"/>
      <c r="B52" s="264" t="s">
        <v>1590</v>
      </c>
      <c r="C52" s="245" t="s">
        <v>2459</v>
      </c>
      <c r="D52" s="237">
        <f t="shared" si="8"/>
        <v>90.1</v>
      </c>
      <c r="E52" s="237">
        <f>信息系统!K137</f>
        <v>90.1</v>
      </c>
      <c r="F52" s="241"/>
      <c r="G52" s="239">
        <v>1</v>
      </c>
      <c r="H52" s="242" t="s">
        <v>1585</v>
      </c>
      <c r="I52" s="242"/>
      <c r="J52" s="242"/>
      <c r="K52" s="242"/>
      <c r="L52" s="242"/>
      <c r="M52" s="242"/>
      <c r="N52" s="242"/>
      <c r="O52" s="242"/>
      <c r="P52" s="242"/>
      <c r="Q52" s="242"/>
      <c r="R52" s="242"/>
      <c r="S52" s="240" t="s">
        <v>1579</v>
      </c>
      <c r="T52" s="240" t="s">
        <v>1580</v>
      </c>
      <c r="U52" s="240" t="s">
        <v>1581</v>
      </c>
    </row>
    <row r="53" spans="1:21" ht="16.5" outlineLevel="1">
      <c r="A53" s="1607"/>
      <c r="B53" s="264" t="s">
        <v>1591</v>
      </c>
      <c r="C53" s="246" t="s">
        <v>2459</v>
      </c>
      <c r="D53" s="237">
        <f t="shared" si="8"/>
        <v>75</v>
      </c>
      <c r="E53" s="237">
        <f>案件管理!J24</f>
        <v>75</v>
      </c>
      <c r="F53" s="241"/>
      <c r="G53" s="239">
        <v>1</v>
      </c>
      <c r="H53" s="242" t="s">
        <v>1585</v>
      </c>
      <c r="I53" s="242"/>
      <c r="J53" s="242"/>
      <c r="K53" s="242"/>
      <c r="L53" s="242"/>
      <c r="M53" s="242"/>
      <c r="N53" s="242"/>
      <c r="O53" s="242"/>
      <c r="P53" s="242"/>
      <c r="Q53" s="242"/>
      <c r="R53" s="242"/>
      <c r="S53" s="240" t="s">
        <v>1579</v>
      </c>
      <c r="T53" s="240" t="s">
        <v>1580</v>
      </c>
      <c r="U53" s="240" t="s">
        <v>1581</v>
      </c>
    </row>
    <row r="54" spans="1:21" ht="16.5" outlineLevel="1">
      <c r="A54" s="1608"/>
      <c r="B54" s="266" t="s">
        <v>1592</v>
      </c>
      <c r="C54" s="245" t="s">
        <v>2022</v>
      </c>
      <c r="D54" s="237">
        <f>(SUM(D45:D53)+D51)/9</f>
        <v>75.809803238768453</v>
      </c>
      <c r="E54" s="241"/>
      <c r="F54" s="241"/>
      <c r="G54" s="239">
        <v>1</v>
      </c>
      <c r="H54" s="242" t="s">
        <v>1585</v>
      </c>
      <c r="I54" s="242"/>
      <c r="J54" s="242"/>
      <c r="K54" s="242"/>
      <c r="L54" s="242"/>
      <c r="M54" s="242"/>
      <c r="N54" s="242"/>
      <c r="O54" s="242"/>
      <c r="P54" s="242"/>
      <c r="Q54" s="242"/>
      <c r="R54" s="242"/>
      <c r="S54" s="240" t="s">
        <v>1594</v>
      </c>
      <c r="T54" s="239">
        <v>0.5</v>
      </c>
      <c r="U54" s="239">
        <v>0.25</v>
      </c>
    </row>
    <row r="55" spans="1:21" ht="16.5" outlineLevel="1">
      <c r="A55" s="1602" t="s">
        <v>1636</v>
      </c>
      <c r="B55" s="1603"/>
      <c r="C55" s="245" t="s">
        <v>2022</v>
      </c>
      <c r="D55" s="237">
        <f>战略风险!G35</f>
        <v>94</v>
      </c>
      <c r="E55" s="241"/>
      <c r="F55" s="241"/>
      <c r="G55" s="239">
        <v>1</v>
      </c>
      <c r="H55" s="242" t="s">
        <v>1585</v>
      </c>
      <c r="I55" s="242"/>
      <c r="J55" s="242"/>
      <c r="K55" s="242"/>
      <c r="L55" s="242"/>
      <c r="M55" s="242"/>
      <c r="N55" s="242"/>
      <c r="O55" s="242"/>
      <c r="P55" s="242"/>
      <c r="Q55" s="242"/>
      <c r="R55" s="242"/>
      <c r="S55" s="239" t="s">
        <v>1585</v>
      </c>
      <c r="T55" s="239">
        <v>0.15</v>
      </c>
      <c r="U55" s="243">
        <v>7.4999999999999997E-2</v>
      </c>
    </row>
    <row r="56" spans="1:21" ht="16.5" outlineLevel="1">
      <c r="A56" s="1602" t="s">
        <v>1637</v>
      </c>
      <c r="B56" s="1603"/>
      <c r="C56" s="245" t="s">
        <v>2022</v>
      </c>
      <c r="D56" s="1391">
        <v>90</v>
      </c>
      <c r="E56" s="241"/>
      <c r="F56" s="241"/>
      <c r="G56" s="239">
        <v>1</v>
      </c>
      <c r="H56" s="239" t="s">
        <v>1585</v>
      </c>
      <c r="I56" s="239"/>
      <c r="J56" s="239"/>
      <c r="K56" s="239"/>
      <c r="L56" s="239"/>
      <c r="M56" s="239"/>
      <c r="N56" s="239"/>
      <c r="O56" s="239"/>
      <c r="P56" s="239"/>
      <c r="Q56" s="239"/>
      <c r="R56" s="239"/>
      <c r="S56" s="239" t="s">
        <v>1585</v>
      </c>
      <c r="T56" s="239">
        <v>0.1</v>
      </c>
      <c r="U56" s="239">
        <v>0.05</v>
      </c>
    </row>
    <row r="57" spans="1:21" ht="16.5" outlineLevel="1">
      <c r="A57" s="1602" t="s">
        <v>1638</v>
      </c>
      <c r="B57" s="1603"/>
      <c r="C57" s="563" t="s">
        <v>2022</v>
      </c>
      <c r="D57" s="237">
        <f>D37</f>
        <v>91.111111111111114</v>
      </c>
      <c r="E57" s="241"/>
      <c r="F57" s="241"/>
      <c r="G57" s="239">
        <v>1</v>
      </c>
      <c r="H57" s="242" t="s">
        <v>1585</v>
      </c>
      <c r="I57" s="242"/>
      <c r="J57" s="242"/>
      <c r="K57" s="242"/>
      <c r="L57" s="242"/>
      <c r="M57" s="242"/>
      <c r="N57" s="242"/>
      <c r="O57" s="242"/>
      <c r="P57" s="242"/>
      <c r="Q57" s="242"/>
      <c r="R57" s="242"/>
      <c r="S57" s="239" t="s">
        <v>1585</v>
      </c>
      <c r="T57" s="239">
        <v>0.25</v>
      </c>
      <c r="U57" s="243">
        <v>0.125</v>
      </c>
    </row>
    <row r="58" spans="1:21" ht="16.5" outlineLevel="1">
      <c r="A58" s="1600" t="s">
        <v>2462</v>
      </c>
      <c r="B58" s="1600"/>
      <c r="C58" s="563" t="s">
        <v>2022</v>
      </c>
      <c r="D58" s="237">
        <f>D54*T54+D55*T55+D56*T56+D57*T57</f>
        <v>83.782679397162013</v>
      </c>
      <c r="E58" s="241"/>
      <c r="F58" s="241"/>
      <c r="G58" s="239">
        <v>1</v>
      </c>
      <c r="H58" s="242" t="s">
        <v>1585</v>
      </c>
      <c r="I58" s="242"/>
      <c r="J58" s="242"/>
      <c r="K58" s="242"/>
      <c r="L58" s="242"/>
      <c r="M58" s="242"/>
      <c r="N58" s="242"/>
      <c r="O58" s="242"/>
      <c r="P58" s="242"/>
      <c r="Q58" s="242"/>
      <c r="R58" s="242"/>
      <c r="S58" s="239" t="s">
        <v>1585</v>
      </c>
      <c r="T58" s="239">
        <v>1</v>
      </c>
      <c r="U58" s="239">
        <v>0.5</v>
      </c>
    </row>
    <row r="59" spans="1:21" ht="16.5" outlineLevel="1">
      <c r="A59" s="1604" t="s">
        <v>2461</v>
      </c>
      <c r="B59" s="1604"/>
      <c r="C59" s="245" t="s">
        <v>1593</v>
      </c>
      <c r="D59" s="237">
        <v>100</v>
      </c>
      <c r="E59" s="241"/>
      <c r="F59" s="241"/>
      <c r="G59" s="239">
        <v>1</v>
      </c>
      <c r="H59" s="242" t="s">
        <v>1585</v>
      </c>
      <c r="I59" s="242"/>
      <c r="J59" s="242"/>
      <c r="K59" s="242"/>
      <c r="L59" s="242"/>
      <c r="M59" s="242"/>
      <c r="N59" s="242"/>
      <c r="O59" s="242"/>
      <c r="P59" s="242"/>
      <c r="Q59" s="242"/>
      <c r="R59" s="242"/>
      <c r="S59" s="239" t="s">
        <v>1585</v>
      </c>
      <c r="T59" s="242" t="s">
        <v>1585</v>
      </c>
      <c r="U59" s="239">
        <v>0.5</v>
      </c>
    </row>
    <row r="60" spans="1:21" ht="16.5" outlineLevel="1">
      <c r="A60" s="1600" t="s">
        <v>1635</v>
      </c>
      <c r="B60" s="1600"/>
      <c r="C60" s="245"/>
      <c r="D60" s="237">
        <f>D58*U58+D59*U59</f>
        <v>91.891339698581007</v>
      </c>
      <c r="E60" s="241"/>
      <c r="F60" s="241"/>
      <c r="G60" s="242" t="s">
        <v>1585</v>
      </c>
      <c r="H60" s="242" t="s">
        <v>1585</v>
      </c>
      <c r="I60" s="242"/>
      <c r="J60" s="242"/>
      <c r="K60" s="242"/>
      <c r="L60" s="242"/>
      <c r="M60" s="242"/>
      <c r="N60" s="242"/>
      <c r="O60" s="242"/>
      <c r="P60" s="242"/>
      <c r="Q60" s="242"/>
      <c r="R60" s="242"/>
      <c r="S60" s="239" t="s">
        <v>1585</v>
      </c>
      <c r="T60" s="242" t="s">
        <v>1585</v>
      </c>
      <c r="U60" s="239">
        <v>1</v>
      </c>
    </row>
    <row r="62" spans="1:21">
      <c r="A62" s="1606" t="s">
        <v>1642</v>
      </c>
      <c r="B62" s="1606"/>
      <c r="D62" s="299">
        <f>D80</f>
        <v>0.51944444444444438</v>
      </c>
    </row>
    <row r="63" spans="1:21" ht="16.149999999999999" customHeight="1" outlineLevel="1">
      <c r="A63" s="1612" t="s">
        <v>1615</v>
      </c>
      <c r="B63" s="1612"/>
      <c r="C63" s="1609" t="s">
        <v>2458</v>
      </c>
      <c r="D63" s="1610" t="s">
        <v>1616</v>
      </c>
      <c r="E63" s="1611" t="s">
        <v>1617</v>
      </c>
      <c r="F63" s="1611" t="s">
        <v>1618</v>
      </c>
      <c r="G63" s="1605" t="s">
        <v>1619</v>
      </c>
      <c r="H63" s="1605"/>
      <c r="I63" s="262"/>
      <c r="J63" s="262"/>
      <c r="K63" s="262"/>
      <c r="L63" s="262"/>
      <c r="M63" s="262"/>
      <c r="N63" s="262"/>
      <c r="O63" s="262"/>
      <c r="P63" s="262"/>
      <c r="Q63" s="262"/>
      <c r="R63" s="262"/>
      <c r="S63" s="1605" t="s">
        <v>1620</v>
      </c>
      <c r="T63" s="1605" t="s">
        <v>1621</v>
      </c>
      <c r="U63" s="1605" t="s">
        <v>1622</v>
      </c>
    </row>
    <row r="64" spans="1:21" ht="15" customHeight="1" outlineLevel="1">
      <c r="A64" s="1613"/>
      <c r="B64" s="1613"/>
      <c r="C64" s="1609"/>
      <c r="D64" s="1605"/>
      <c r="E64" s="1611"/>
      <c r="F64" s="1611"/>
      <c r="G64" s="262" t="s">
        <v>1623</v>
      </c>
      <c r="H64" s="262" t="s">
        <v>1624</v>
      </c>
      <c r="I64" s="262" t="s">
        <v>1625</v>
      </c>
      <c r="J64" s="262" t="s">
        <v>1626</v>
      </c>
      <c r="K64" s="262" t="s">
        <v>1627</v>
      </c>
      <c r="L64" s="262" t="s">
        <v>1628</v>
      </c>
      <c r="M64" s="262" t="s">
        <v>1629</v>
      </c>
      <c r="N64" s="262" t="s">
        <v>1630</v>
      </c>
      <c r="O64" s="262" t="s">
        <v>1631</v>
      </c>
      <c r="P64" s="262" t="s">
        <v>1632</v>
      </c>
      <c r="Q64" s="262" t="s">
        <v>1633</v>
      </c>
      <c r="R64" s="262" t="s">
        <v>1634</v>
      </c>
      <c r="S64" s="1605"/>
      <c r="T64" s="1605"/>
      <c r="U64" s="1605"/>
    </row>
    <row r="65" spans="1:21" ht="16.5" outlineLevel="1">
      <c r="A65" s="1607" t="s">
        <v>1577</v>
      </c>
      <c r="B65" s="263" t="s">
        <v>1578</v>
      </c>
      <c r="C65" s="246" t="s">
        <v>2460</v>
      </c>
      <c r="D65" s="258">
        <f>E65*G65+F65*H65</f>
        <v>2.0999999999999996</v>
      </c>
      <c r="E65" s="258">
        <f>'OR02-销售承保'!R42</f>
        <v>0</v>
      </c>
      <c r="F65" s="258">
        <f>AVERAGE(I65:R65)</f>
        <v>3</v>
      </c>
      <c r="G65" s="260">
        <v>0.3</v>
      </c>
      <c r="H65" s="260">
        <v>0.7</v>
      </c>
      <c r="I65" s="259">
        <f>'OR04-分公司销售、承保、保全'!W81</f>
        <v>10</v>
      </c>
      <c r="J65" s="259">
        <f>'OR04-分公司销售、承保、保全'!AC81</f>
        <v>0</v>
      </c>
      <c r="K65" s="259">
        <f>'OR04-分公司销售、承保、保全'!AI81</f>
        <v>0</v>
      </c>
      <c r="L65" s="259">
        <f>'OR04-分公司销售、承保、保全'!AO81</f>
        <v>0</v>
      </c>
      <c r="M65" s="259">
        <f>'OR04-分公司销售、承保、保全'!AU81</f>
        <v>0</v>
      </c>
      <c r="N65" s="259">
        <f>'OR04-分公司销售、承保、保全'!BA81</f>
        <v>0</v>
      </c>
      <c r="O65" s="259">
        <f>'OR04-分公司销售、承保、保全'!BG81</f>
        <v>10</v>
      </c>
      <c r="P65" s="259">
        <f>'OR04-分公司销售、承保、保全'!BM81</f>
        <v>0</v>
      </c>
      <c r="Q65" s="259">
        <f>'OR04-分公司销售、承保、保全'!BS81</f>
        <v>10</v>
      </c>
      <c r="R65" s="259">
        <f>'OR04-分公司销售、承保、保全'!BY81</f>
        <v>0</v>
      </c>
      <c r="S65" s="261" t="s">
        <v>1579</v>
      </c>
      <c r="T65" s="261" t="s">
        <v>1580</v>
      </c>
      <c r="U65" s="261" t="s">
        <v>1581</v>
      </c>
    </row>
    <row r="66" spans="1:21" ht="16.5" outlineLevel="1">
      <c r="A66" s="1607"/>
      <c r="B66" s="264" t="s">
        <v>1582</v>
      </c>
      <c r="C66" s="245" t="s">
        <v>2460</v>
      </c>
      <c r="D66" s="237">
        <f>E66*G66+F66*H66</f>
        <v>7</v>
      </c>
      <c r="E66" s="237">
        <f>'OR06-理赔保全'!M26</f>
        <v>0</v>
      </c>
      <c r="F66" s="237">
        <f>AVERAGE(I66:R66)</f>
        <v>10</v>
      </c>
      <c r="G66" s="239">
        <v>0.3</v>
      </c>
      <c r="H66" s="239">
        <v>0.7</v>
      </c>
      <c r="I66" s="238">
        <f>'OR08-分公司理赔'!W46</f>
        <v>10</v>
      </c>
      <c r="J66" s="238">
        <f>'OR08-分公司理赔'!AC46</f>
        <v>10</v>
      </c>
      <c r="K66" s="238">
        <f>'OR08-分公司理赔'!AI46</f>
        <v>10</v>
      </c>
      <c r="L66" s="238">
        <f>'OR08-分公司理赔'!AO46</f>
        <v>10</v>
      </c>
      <c r="M66" s="238">
        <f>'OR08-分公司理赔'!AU46</f>
        <v>10</v>
      </c>
      <c r="N66" s="238">
        <f>'OR08-分公司理赔'!BA46</f>
        <v>10</v>
      </c>
      <c r="O66" s="238">
        <f>'OR08-分公司理赔'!BG46</f>
        <v>10</v>
      </c>
      <c r="P66" s="238">
        <f>'OR08-分公司理赔'!BM46</f>
        <v>10</v>
      </c>
      <c r="Q66" s="238">
        <f>'OR08-分公司理赔'!BM46</f>
        <v>10</v>
      </c>
      <c r="R66" s="238">
        <f>'OR08-分公司理赔'!BY46</f>
        <v>10</v>
      </c>
      <c r="S66" s="240" t="s">
        <v>1579</v>
      </c>
      <c r="T66" s="240" t="s">
        <v>1580</v>
      </c>
      <c r="U66" s="240" t="s">
        <v>1581</v>
      </c>
    </row>
    <row r="67" spans="1:21" ht="16.5" outlineLevel="1">
      <c r="A67" s="1607"/>
      <c r="B67" s="264" t="s">
        <v>1583</v>
      </c>
      <c r="C67" s="246" t="s">
        <v>2459</v>
      </c>
      <c r="D67" s="237">
        <f>E67*G67+F67*H67</f>
        <v>9.6</v>
      </c>
      <c r="E67" s="237">
        <f>'OR12-财务管理'!P45</f>
        <v>10</v>
      </c>
      <c r="F67" s="237">
        <f>AVERAGE(I67:R67)</f>
        <v>9</v>
      </c>
      <c r="G67" s="239">
        <v>0.6</v>
      </c>
      <c r="H67" s="239">
        <v>0.4</v>
      </c>
      <c r="I67" s="238">
        <f>'OR13-分公司财务管理'!W62</f>
        <v>10</v>
      </c>
      <c r="J67" s="238">
        <f>'OR13-分公司财务管理'!AC62</f>
        <v>10</v>
      </c>
      <c r="K67" s="238">
        <f>'OR13-分公司财务管理'!AI62</f>
        <v>10</v>
      </c>
      <c r="L67" s="238">
        <f>'OR13-分公司财务管理'!AO62</f>
        <v>0</v>
      </c>
      <c r="M67" s="238">
        <f>'OR13-分公司财务管理'!AU62</f>
        <v>10</v>
      </c>
      <c r="N67" s="238">
        <f>'OR13-分公司财务管理'!BA62</f>
        <v>10</v>
      </c>
      <c r="O67" s="238">
        <f>'OR13-分公司财务管理'!BG62</f>
        <v>10</v>
      </c>
      <c r="P67" s="238">
        <f>'OR13-分公司财务管理'!BM62</f>
        <v>10</v>
      </c>
      <c r="Q67" s="238">
        <f>'OR13-分公司财务管理'!BS62</f>
        <v>10</v>
      </c>
      <c r="R67" s="238">
        <f>'OR13-分公司财务管理'!BY62</f>
        <v>10</v>
      </c>
      <c r="S67" s="240" t="s">
        <v>1579</v>
      </c>
      <c r="T67" s="240" t="s">
        <v>1580</v>
      </c>
      <c r="U67" s="240" t="s">
        <v>1581</v>
      </c>
    </row>
    <row r="68" spans="1:21" ht="16.5" outlineLevel="1">
      <c r="A68" s="1607"/>
      <c r="B68" s="264" t="s">
        <v>1584</v>
      </c>
      <c r="C68" s="245" t="s">
        <v>2459</v>
      </c>
      <c r="D68" s="237">
        <f t="shared" ref="D68:D73" si="9">E68</f>
        <v>0</v>
      </c>
      <c r="E68" s="241"/>
      <c r="F68" s="241"/>
      <c r="G68" s="239">
        <v>1</v>
      </c>
      <c r="H68" s="242" t="s">
        <v>1585</v>
      </c>
      <c r="I68" s="242"/>
      <c r="J68" s="242"/>
      <c r="K68" s="242"/>
      <c r="L68" s="242"/>
      <c r="M68" s="242"/>
      <c r="N68" s="242"/>
      <c r="O68" s="242"/>
      <c r="P68" s="242"/>
      <c r="Q68" s="242"/>
      <c r="R68" s="242"/>
      <c r="S68" s="240" t="s">
        <v>1579</v>
      </c>
      <c r="T68" s="240" t="s">
        <v>1580</v>
      </c>
      <c r="U68" s="240" t="s">
        <v>1581</v>
      </c>
    </row>
    <row r="69" spans="1:21" ht="16.5" outlineLevel="1">
      <c r="A69" s="1607"/>
      <c r="B69" s="264" t="s">
        <v>1586</v>
      </c>
      <c r="C69" s="246" t="s">
        <v>2459</v>
      </c>
      <c r="D69" s="332" t="str">
        <f>E69</f>
        <v>监管</v>
      </c>
      <c r="E69" s="332" t="s">
        <v>2035</v>
      </c>
      <c r="F69" s="241"/>
      <c r="G69" s="239">
        <v>1</v>
      </c>
      <c r="H69" s="242" t="s">
        <v>1585</v>
      </c>
      <c r="I69" s="242"/>
      <c r="J69" s="242"/>
      <c r="K69" s="242"/>
      <c r="L69" s="242"/>
      <c r="M69" s="242"/>
      <c r="N69" s="242"/>
      <c r="O69" s="242"/>
      <c r="P69" s="242"/>
      <c r="Q69" s="242"/>
      <c r="R69" s="242"/>
      <c r="S69" s="240" t="s">
        <v>1579</v>
      </c>
      <c r="T69" s="240" t="s">
        <v>1580</v>
      </c>
      <c r="U69" s="240" t="s">
        <v>1581</v>
      </c>
    </row>
    <row r="70" spans="1:21" ht="16.5" outlineLevel="1">
      <c r="A70" s="1607"/>
      <c r="B70" s="264" t="s">
        <v>1587</v>
      </c>
      <c r="C70" s="245" t="s">
        <v>2459</v>
      </c>
      <c r="D70" s="237">
        <f t="shared" si="9"/>
        <v>0</v>
      </c>
      <c r="E70" s="241"/>
      <c r="F70" s="241"/>
      <c r="G70" s="239">
        <v>1</v>
      </c>
      <c r="H70" s="242" t="s">
        <v>1585</v>
      </c>
      <c r="I70" s="242"/>
      <c r="J70" s="242"/>
      <c r="K70" s="242"/>
      <c r="L70" s="242"/>
      <c r="M70" s="242"/>
      <c r="N70" s="242"/>
      <c r="O70" s="242"/>
      <c r="P70" s="242"/>
      <c r="Q70" s="242"/>
      <c r="R70" s="242"/>
      <c r="S70" s="240" t="s">
        <v>1579</v>
      </c>
      <c r="T70" s="240" t="s">
        <v>1580</v>
      </c>
      <c r="U70" s="240" t="s">
        <v>1581</v>
      </c>
    </row>
    <row r="71" spans="1:21" ht="16.5" outlineLevel="1">
      <c r="A71" s="1607"/>
      <c r="B71" s="264" t="s">
        <v>1588</v>
      </c>
      <c r="C71" s="246" t="s">
        <v>2459</v>
      </c>
      <c r="D71" s="237">
        <f t="shared" si="9"/>
        <v>0</v>
      </c>
      <c r="E71" s="237">
        <f>'OR15-准备金再保险'!M22</f>
        <v>0</v>
      </c>
      <c r="F71" s="241"/>
      <c r="G71" s="239">
        <v>1</v>
      </c>
      <c r="H71" s="242" t="s">
        <v>1585</v>
      </c>
      <c r="I71" s="242"/>
      <c r="J71" s="242"/>
      <c r="K71" s="242"/>
      <c r="L71" s="242"/>
      <c r="M71" s="242"/>
      <c r="N71" s="242"/>
      <c r="O71" s="242"/>
      <c r="P71" s="242"/>
      <c r="Q71" s="242"/>
      <c r="R71" s="242"/>
      <c r="S71" s="265" t="s">
        <v>1589</v>
      </c>
      <c r="T71" s="240" t="s">
        <v>1579</v>
      </c>
      <c r="U71" s="240" t="s">
        <v>1580</v>
      </c>
    </row>
    <row r="72" spans="1:21" ht="16.5" outlineLevel="1">
      <c r="A72" s="1607"/>
      <c r="B72" s="264" t="s">
        <v>1590</v>
      </c>
      <c r="C72" s="245" t="s">
        <v>2459</v>
      </c>
      <c r="D72" s="237">
        <f t="shared" si="9"/>
        <v>0</v>
      </c>
      <c r="E72" s="241"/>
      <c r="F72" s="241"/>
      <c r="G72" s="239">
        <v>1</v>
      </c>
      <c r="H72" s="242" t="s">
        <v>1585</v>
      </c>
      <c r="I72" s="242"/>
      <c r="J72" s="242"/>
      <c r="K72" s="242"/>
      <c r="L72" s="242"/>
      <c r="M72" s="242"/>
      <c r="N72" s="242"/>
      <c r="O72" s="242"/>
      <c r="P72" s="242"/>
      <c r="Q72" s="242"/>
      <c r="R72" s="242"/>
      <c r="S72" s="240" t="s">
        <v>1579</v>
      </c>
      <c r="T72" s="240" t="s">
        <v>1580</v>
      </c>
      <c r="U72" s="240" t="s">
        <v>1581</v>
      </c>
    </row>
    <row r="73" spans="1:21" ht="16.5" outlineLevel="1">
      <c r="A73" s="1607"/>
      <c r="B73" s="264" t="s">
        <v>1591</v>
      </c>
      <c r="C73" s="246" t="s">
        <v>2459</v>
      </c>
      <c r="D73" s="237">
        <f t="shared" si="9"/>
        <v>0</v>
      </c>
      <c r="E73" s="237">
        <f>案件管理!J25</f>
        <v>0</v>
      </c>
      <c r="F73" s="241"/>
      <c r="G73" s="239">
        <v>1</v>
      </c>
      <c r="H73" s="242" t="s">
        <v>1585</v>
      </c>
      <c r="I73" s="242"/>
      <c r="J73" s="242"/>
      <c r="K73" s="242"/>
      <c r="L73" s="242"/>
      <c r="M73" s="242"/>
      <c r="N73" s="242"/>
      <c r="O73" s="242"/>
      <c r="P73" s="242"/>
      <c r="Q73" s="242"/>
      <c r="R73" s="242"/>
      <c r="S73" s="240" t="s">
        <v>1579</v>
      </c>
      <c r="T73" s="240" t="s">
        <v>1580</v>
      </c>
      <c r="U73" s="240" t="s">
        <v>1581</v>
      </c>
    </row>
    <row r="74" spans="1:21" ht="16.5" outlineLevel="1">
      <c r="A74" s="1608"/>
      <c r="B74" s="266" t="s">
        <v>1640</v>
      </c>
      <c r="C74" s="245" t="s">
        <v>2022</v>
      </c>
      <c r="D74" s="237">
        <f>(SUM(D65:D73)+D71)/9</f>
        <v>2.0777777777777775</v>
      </c>
      <c r="E74" s="241"/>
      <c r="F74" s="241"/>
      <c r="G74" s="239">
        <v>1</v>
      </c>
      <c r="H74" s="242" t="s">
        <v>1585</v>
      </c>
      <c r="I74" s="242"/>
      <c r="J74" s="242"/>
      <c r="K74" s="242"/>
      <c r="L74" s="242"/>
      <c r="M74" s="242"/>
      <c r="N74" s="242"/>
      <c r="O74" s="242"/>
      <c r="P74" s="242"/>
      <c r="Q74" s="242"/>
      <c r="R74" s="242"/>
      <c r="S74" s="240" t="s">
        <v>1594</v>
      </c>
      <c r="T74" s="239">
        <v>0.5</v>
      </c>
      <c r="U74" s="239">
        <v>0.25</v>
      </c>
    </row>
    <row r="75" spans="1:21" ht="16.5" outlineLevel="1">
      <c r="A75" s="1602" t="s">
        <v>1595</v>
      </c>
      <c r="B75" s="1603"/>
      <c r="C75" s="245" t="s">
        <v>2022</v>
      </c>
      <c r="D75" s="237">
        <v>0</v>
      </c>
      <c r="E75" s="241"/>
      <c r="F75" s="241"/>
      <c r="G75" s="239">
        <v>1</v>
      </c>
      <c r="H75" s="242" t="s">
        <v>1585</v>
      </c>
      <c r="I75" s="242"/>
      <c r="J75" s="242"/>
      <c r="K75" s="242"/>
      <c r="L75" s="242"/>
      <c r="M75" s="242"/>
      <c r="N75" s="242"/>
      <c r="O75" s="242"/>
      <c r="P75" s="242"/>
      <c r="Q75" s="242"/>
      <c r="R75" s="242"/>
      <c r="S75" s="239" t="s">
        <v>1585</v>
      </c>
      <c r="T75" s="239">
        <v>0.15</v>
      </c>
      <c r="U75" s="243">
        <v>7.4999999999999997E-2</v>
      </c>
    </row>
    <row r="76" spans="1:21" ht="16.5" outlineLevel="1">
      <c r="A76" s="1602" t="s">
        <v>1596</v>
      </c>
      <c r="B76" s="1603"/>
      <c r="C76" s="245" t="s">
        <v>2022</v>
      </c>
      <c r="D76" s="1391">
        <v>0</v>
      </c>
      <c r="E76" s="241"/>
      <c r="F76" s="241"/>
      <c r="G76" s="239">
        <v>1</v>
      </c>
      <c r="H76" s="239" t="s">
        <v>1585</v>
      </c>
      <c r="I76" s="239"/>
      <c r="J76" s="239"/>
      <c r="K76" s="239"/>
      <c r="L76" s="239"/>
      <c r="M76" s="239"/>
      <c r="N76" s="239"/>
      <c r="O76" s="239"/>
      <c r="P76" s="239"/>
      <c r="Q76" s="239"/>
      <c r="R76" s="239"/>
      <c r="S76" s="239" t="s">
        <v>1585</v>
      </c>
      <c r="T76" s="239">
        <v>0.1</v>
      </c>
      <c r="U76" s="239">
        <v>0.05</v>
      </c>
    </row>
    <row r="77" spans="1:21" ht="16.5" outlineLevel="1">
      <c r="A77" s="1602" t="s">
        <v>1597</v>
      </c>
      <c r="B77" s="1603"/>
      <c r="C77" s="563" t="s">
        <v>2022</v>
      </c>
      <c r="D77" s="237">
        <v>0</v>
      </c>
      <c r="E77" s="241"/>
      <c r="F77" s="241"/>
      <c r="G77" s="239">
        <v>1</v>
      </c>
      <c r="H77" s="242" t="s">
        <v>1585</v>
      </c>
      <c r="I77" s="242"/>
      <c r="J77" s="242"/>
      <c r="K77" s="242"/>
      <c r="L77" s="242"/>
      <c r="M77" s="242"/>
      <c r="N77" s="242"/>
      <c r="O77" s="242"/>
      <c r="P77" s="242"/>
      <c r="Q77" s="242"/>
      <c r="R77" s="242"/>
      <c r="S77" s="239" t="s">
        <v>1585</v>
      </c>
      <c r="T77" s="239">
        <v>0.25</v>
      </c>
      <c r="U77" s="243">
        <v>0.125</v>
      </c>
    </row>
    <row r="78" spans="1:21" ht="16.5" outlineLevel="1">
      <c r="A78" s="1600" t="s">
        <v>2462</v>
      </c>
      <c r="B78" s="1600"/>
      <c r="C78" s="563" t="s">
        <v>2022</v>
      </c>
      <c r="D78" s="237">
        <f>D74*T74+D75*T75+D76*T76+D77*T77</f>
        <v>1.0388888888888888</v>
      </c>
      <c r="E78" s="241"/>
      <c r="F78" s="241"/>
      <c r="G78" s="239">
        <v>1</v>
      </c>
      <c r="H78" s="242" t="s">
        <v>1585</v>
      </c>
      <c r="I78" s="242"/>
      <c r="J78" s="242"/>
      <c r="K78" s="242"/>
      <c r="L78" s="242"/>
      <c r="M78" s="242"/>
      <c r="N78" s="242"/>
      <c r="O78" s="242"/>
      <c r="P78" s="242"/>
      <c r="Q78" s="242"/>
      <c r="R78" s="242"/>
      <c r="S78" s="239" t="s">
        <v>1585</v>
      </c>
      <c r="T78" s="239">
        <v>1</v>
      </c>
      <c r="U78" s="239">
        <v>0.5</v>
      </c>
    </row>
    <row r="79" spans="1:21" ht="16.5" outlineLevel="1">
      <c r="A79" s="1604" t="s">
        <v>2461</v>
      </c>
      <c r="B79" s="1604"/>
      <c r="C79" s="245" t="s">
        <v>1593</v>
      </c>
      <c r="D79" s="237">
        <v>0</v>
      </c>
      <c r="E79" s="241"/>
      <c r="F79" s="241"/>
      <c r="G79" s="239">
        <v>1</v>
      </c>
      <c r="H79" s="242" t="s">
        <v>1585</v>
      </c>
      <c r="I79" s="242"/>
      <c r="J79" s="242"/>
      <c r="K79" s="242"/>
      <c r="L79" s="242"/>
      <c r="M79" s="242"/>
      <c r="N79" s="242"/>
      <c r="O79" s="242"/>
      <c r="P79" s="242"/>
      <c r="Q79" s="242"/>
      <c r="R79" s="242"/>
      <c r="S79" s="239" t="s">
        <v>1585</v>
      </c>
      <c r="T79" s="242" t="s">
        <v>1585</v>
      </c>
      <c r="U79" s="239">
        <v>0.5</v>
      </c>
    </row>
    <row r="80" spans="1:21" ht="16.5" outlineLevel="1">
      <c r="A80" s="1600" t="s">
        <v>1598</v>
      </c>
      <c r="B80" s="1600"/>
      <c r="C80" s="245"/>
      <c r="D80" s="237">
        <f>D78*U78+D79*U79</f>
        <v>0.51944444444444438</v>
      </c>
      <c r="E80" s="241"/>
      <c r="F80" s="241"/>
      <c r="G80" s="242" t="s">
        <v>1585</v>
      </c>
      <c r="H80" s="242" t="s">
        <v>1585</v>
      </c>
      <c r="I80" s="242"/>
      <c r="J80" s="242"/>
      <c r="K80" s="242"/>
      <c r="L80" s="242"/>
      <c r="M80" s="242"/>
      <c r="N80" s="242"/>
      <c r="O80" s="242"/>
      <c r="P80" s="242"/>
      <c r="Q80" s="242"/>
      <c r="R80" s="242"/>
      <c r="S80" s="239" t="s">
        <v>1585</v>
      </c>
      <c r="T80" s="242" t="s">
        <v>1585</v>
      </c>
      <c r="U80" s="239">
        <v>1</v>
      </c>
    </row>
    <row r="82" spans="1:21">
      <c r="A82" s="1606" t="s">
        <v>1643</v>
      </c>
      <c r="B82" s="1606"/>
      <c r="D82" s="299">
        <f>D100</f>
        <v>3.2055555555555557</v>
      </c>
    </row>
    <row r="83" spans="1:21" ht="16.149999999999999" customHeight="1" outlineLevel="1">
      <c r="A83" s="1612" t="s">
        <v>1615</v>
      </c>
      <c r="B83" s="1612"/>
      <c r="C83" s="1609" t="s">
        <v>2458</v>
      </c>
      <c r="D83" s="1610" t="s">
        <v>1616</v>
      </c>
      <c r="E83" s="1611" t="s">
        <v>1617</v>
      </c>
      <c r="F83" s="1611" t="s">
        <v>1618</v>
      </c>
      <c r="G83" s="1605" t="s">
        <v>1619</v>
      </c>
      <c r="H83" s="1605"/>
      <c r="I83" s="262"/>
      <c r="J83" s="262"/>
      <c r="K83" s="262"/>
      <c r="L83" s="262"/>
      <c r="M83" s="262"/>
      <c r="N83" s="262"/>
      <c r="O83" s="262"/>
      <c r="P83" s="262"/>
      <c r="Q83" s="262"/>
      <c r="R83" s="262"/>
      <c r="S83" s="1605" t="s">
        <v>1620</v>
      </c>
      <c r="T83" s="1605" t="s">
        <v>1621</v>
      </c>
      <c r="U83" s="1605" t="s">
        <v>1622</v>
      </c>
    </row>
    <row r="84" spans="1:21" ht="15" customHeight="1" outlineLevel="1">
      <c r="A84" s="1613"/>
      <c r="B84" s="1613"/>
      <c r="C84" s="1609"/>
      <c r="D84" s="1605"/>
      <c r="E84" s="1611"/>
      <c r="F84" s="1611"/>
      <c r="G84" s="262" t="s">
        <v>1623</v>
      </c>
      <c r="H84" s="262" t="s">
        <v>1624</v>
      </c>
      <c r="I84" s="262" t="s">
        <v>1625</v>
      </c>
      <c r="J84" s="262" t="s">
        <v>1626</v>
      </c>
      <c r="K84" s="262" t="s">
        <v>1627</v>
      </c>
      <c r="L84" s="262" t="s">
        <v>1628</v>
      </c>
      <c r="M84" s="262" t="s">
        <v>1629</v>
      </c>
      <c r="N84" s="262" t="s">
        <v>1630</v>
      </c>
      <c r="O84" s="262" t="s">
        <v>1631</v>
      </c>
      <c r="P84" s="262" t="s">
        <v>1632</v>
      </c>
      <c r="Q84" s="262" t="s">
        <v>1633</v>
      </c>
      <c r="R84" s="262" t="s">
        <v>1634</v>
      </c>
      <c r="S84" s="1605"/>
      <c r="T84" s="1605"/>
      <c r="U84" s="1605"/>
    </row>
    <row r="85" spans="1:21" ht="16.5" outlineLevel="1">
      <c r="A85" s="1607" t="s">
        <v>1577</v>
      </c>
      <c r="B85" s="263" t="s">
        <v>1578</v>
      </c>
      <c r="C85" s="246" t="s">
        <v>2460</v>
      </c>
      <c r="D85" s="258">
        <f>E85*G85+F85*H85</f>
        <v>19</v>
      </c>
      <c r="E85" s="258">
        <f>'OR02-销售承保'!R43</f>
        <v>47</v>
      </c>
      <c r="F85" s="258">
        <f>AVERAGE(I85:R85)</f>
        <v>7</v>
      </c>
      <c r="G85" s="260">
        <v>0.3</v>
      </c>
      <c r="H85" s="260">
        <v>0.7</v>
      </c>
      <c r="I85" s="259">
        <f>'OR04-分公司销售、承保、保全'!W82</f>
        <v>0</v>
      </c>
      <c r="J85" s="259">
        <f>'OR04-分公司销售、承保、保全'!AC82</f>
        <v>10</v>
      </c>
      <c r="K85" s="259">
        <f>'OR04-分公司销售、承保、保全'!AI82</f>
        <v>10</v>
      </c>
      <c r="L85" s="259">
        <f>'OR04-分公司销售、承保、保全'!AO82</f>
        <v>10</v>
      </c>
      <c r="M85" s="259">
        <f>'OR04-分公司销售、承保、保全'!AU82</f>
        <v>10</v>
      </c>
      <c r="N85" s="259">
        <f>'OR04-分公司销售、承保、保全'!BA82</f>
        <v>10</v>
      </c>
      <c r="O85" s="259">
        <f>'OR04-分公司销售、承保、保全'!BG82</f>
        <v>0</v>
      </c>
      <c r="P85" s="259">
        <f>'OR04-分公司销售、承保、保全'!BM82</f>
        <v>10</v>
      </c>
      <c r="Q85" s="259">
        <f>'OR04-分公司销售、承保、保全'!BS82</f>
        <v>0</v>
      </c>
      <c r="R85" s="259">
        <f>'OR04-分公司销售、承保、保全'!BY82</f>
        <v>10</v>
      </c>
      <c r="S85" s="261" t="s">
        <v>1579</v>
      </c>
      <c r="T85" s="261" t="s">
        <v>1580</v>
      </c>
      <c r="U85" s="261" t="s">
        <v>1581</v>
      </c>
    </row>
    <row r="86" spans="1:21" ht="16.5" outlineLevel="1">
      <c r="A86" s="1607"/>
      <c r="B86" s="264" t="s">
        <v>1582</v>
      </c>
      <c r="C86" s="245" t="s">
        <v>2460</v>
      </c>
      <c r="D86" s="237">
        <f>E86*G86+F86*H86</f>
        <v>23</v>
      </c>
      <c r="E86" s="237">
        <f>'OR06-理赔保全'!M27</f>
        <v>58</v>
      </c>
      <c r="F86" s="237">
        <f>AVERAGE(I86:R86)</f>
        <v>8</v>
      </c>
      <c r="G86" s="239">
        <v>0.3</v>
      </c>
      <c r="H86" s="239">
        <v>0.7</v>
      </c>
      <c r="I86" s="238">
        <f>'OR08-分公司理赔'!W47</f>
        <v>8</v>
      </c>
      <c r="J86" s="238">
        <f>'OR08-分公司理赔'!AC47</f>
        <v>8</v>
      </c>
      <c r="K86" s="238">
        <f>'OR08-分公司理赔'!AI47</f>
        <v>8</v>
      </c>
      <c r="L86" s="238">
        <f>'OR08-分公司理赔'!AO47</f>
        <v>8</v>
      </c>
      <c r="M86" s="238">
        <f>'OR08-分公司理赔'!AU47</f>
        <v>8</v>
      </c>
      <c r="N86" s="238">
        <f>'OR08-分公司理赔'!AU47</f>
        <v>8</v>
      </c>
      <c r="O86" s="238">
        <f>'OR08-分公司理赔'!BA47</f>
        <v>8</v>
      </c>
      <c r="P86" s="238">
        <f>'OR08-分公司理赔'!BM47</f>
        <v>8</v>
      </c>
      <c r="Q86" s="238">
        <f>'OR08-分公司理赔'!BS47</f>
        <v>8</v>
      </c>
      <c r="R86" s="238">
        <f>'OR08-分公司理赔'!BY47</f>
        <v>8</v>
      </c>
      <c r="S86" s="240" t="s">
        <v>1579</v>
      </c>
      <c r="T86" s="240" t="s">
        <v>1580</v>
      </c>
      <c r="U86" s="240" t="s">
        <v>1581</v>
      </c>
    </row>
    <row r="87" spans="1:21" ht="16.5" outlineLevel="1">
      <c r="A87" s="1607"/>
      <c r="B87" s="264" t="s">
        <v>1583</v>
      </c>
      <c r="C87" s="246" t="s">
        <v>2459</v>
      </c>
      <c r="D87" s="237">
        <f>E87*G87+F87*H87</f>
        <v>0.4</v>
      </c>
      <c r="E87" s="237">
        <f>'OR12-财务管理'!P46</f>
        <v>0</v>
      </c>
      <c r="F87" s="237">
        <f>AVERAGE(I87:R87)</f>
        <v>1</v>
      </c>
      <c r="G87" s="239">
        <v>0.6</v>
      </c>
      <c r="H87" s="239">
        <v>0.4</v>
      </c>
      <c r="I87" s="238">
        <f>'OR13-分公司财务管理'!W63</f>
        <v>0</v>
      </c>
      <c r="J87" s="238">
        <f>'OR13-分公司财务管理'!AC63</f>
        <v>0</v>
      </c>
      <c r="K87" s="238">
        <f>'OR13-分公司财务管理'!AI63</f>
        <v>0</v>
      </c>
      <c r="L87" s="238">
        <f>'OR13-分公司财务管理'!AO63</f>
        <v>10</v>
      </c>
      <c r="M87" s="238">
        <f>'OR13-分公司财务管理'!AU63</f>
        <v>0</v>
      </c>
      <c r="N87" s="238">
        <f>'OR13-分公司财务管理'!BA63</f>
        <v>0</v>
      </c>
      <c r="O87" s="238">
        <f>'OR13-分公司财务管理'!BG63</f>
        <v>0</v>
      </c>
      <c r="P87" s="238">
        <f>'OR13-分公司财务管理'!BM63</f>
        <v>0</v>
      </c>
      <c r="Q87" s="238">
        <f>'OR13-分公司财务管理'!BS63</f>
        <v>0</v>
      </c>
      <c r="R87" s="238">
        <f>'OR13-分公司财务管理'!BY63</f>
        <v>0</v>
      </c>
      <c r="S87" s="240" t="s">
        <v>1579</v>
      </c>
      <c r="T87" s="240" t="s">
        <v>1580</v>
      </c>
      <c r="U87" s="240" t="s">
        <v>1581</v>
      </c>
    </row>
    <row r="88" spans="1:21" ht="16.5" outlineLevel="1">
      <c r="A88" s="1607"/>
      <c r="B88" s="264" t="s">
        <v>1584</v>
      </c>
      <c r="C88" s="245" t="s">
        <v>2459</v>
      </c>
      <c r="D88" s="237">
        <f t="shared" ref="D88:D93" si="10">E88</f>
        <v>0</v>
      </c>
      <c r="E88" s="241"/>
      <c r="F88" s="241"/>
      <c r="G88" s="239">
        <v>1</v>
      </c>
      <c r="H88" s="242" t="s">
        <v>1585</v>
      </c>
      <c r="I88" s="242"/>
      <c r="J88" s="242"/>
      <c r="K88" s="242"/>
      <c r="L88" s="242"/>
      <c r="M88" s="242"/>
      <c r="N88" s="242"/>
      <c r="O88" s="242"/>
      <c r="P88" s="242"/>
      <c r="Q88" s="242"/>
      <c r="R88" s="242"/>
      <c r="S88" s="240" t="s">
        <v>1579</v>
      </c>
      <c r="T88" s="240" t="s">
        <v>1580</v>
      </c>
      <c r="U88" s="240" t="s">
        <v>1581</v>
      </c>
    </row>
    <row r="89" spans="1:21" ht="16.5" outlineLevel="1">
      <c r="A89" s="1607"/>
      <c r="B89" s="264" t="s">
        <v>1586</v>
      </c>
      <c r="C89" s="246" t="s">
        <v>2459</v>
      </c>
      <c r="D89" s="332" t="str">
        <f t="shared" si="10"/>
        <v>监管</v>
      </c>
      <c r="E89" s="332" t="s">
        <v>2035</v>
      </c>
      <c r="F89" s="241"/>
      <c r="G89" s="239">
        <v>1</v>
      </c>
      <c r="H89" s="242" t="s">
        <v>1585</v>
      </c>
      <c r="I89" s="242"/>
      <c r="J89" s="242"/>
      <c r="K89" s="242"/>
      <c r="L89" s="242"/>
      <c r="M89" s="242"/>
      <c r="N89" s="242"/>
      <c r="O89" s="242"/>
      <c r="P89" s="242"/>
      <c r="Q89" s="242"/>
      <c r="R89" s="242"/>
      <c r="S89" s="240" t="s">
        <v>1579</v>
      </c>
      <c r="T89" s="240" t="s">
        <v>1580</v>
      </c>
      <c r="U89" s="240" t="s">
        <v>1581</v>
      </c>
    </row>
    <row r="90" spans="1:21" ht="16.5" outlineLevel="1">
      <c r="A90" s="1607"/>
      <c r="B90" s="264" t="s">
        <v>1587</v>
      </c>
      <c r="C90" s="245" t="s">
        <v>2459</v>
      </c>
      <c r="D90" s="237">
        <f t="shared" si="10"/>
        <v>0</v>
      </c>
      <c r="E90" s="241"/>
      <c r="F90" s="241"/>
      <c r="G90" s="239">
        <v>1</v>
      </c>
      <c r="H90" s="242" t="s">
        <v>1585</v>
      </c>
      <c r="I90" s="242"/>
      <c r="J90" s="242"/>
      <c r="K90" s="242"/>
      <c r="L90" s="242"/>
      <c r="M90" s="242"/>
      <c r="N90" s="242"/>
      <c r="O90" s="242"/>
      <c r="P90" s="242"/>
      <c r="Q90" s="242"/>
      <c r="R90" s="242"/>
      <c r="S90" s="240" t="s">
        <v>1579</v>
      </c>
      <c r="T90" s="240" t="s">
        <v>1580</v>
      </c>
      <c r="U90" s="240" t="s">
        <v>1581</v>
      </c>
    </row>
    <row r="91" spans="1:21" ht="16.5" outlineLevel="1">
      <c r="A91" s="1607"/>
      <c r="B91" s="264" t="s">
        <v>1588</v>
      </c>
      <c r="C91" s="246" t="s">
        <v>2459</v>
      </c>
      <c r="D91" s="237">
        <f t="shared" si="10"/>
        <v>26</v>
      </c>
      <c r="E91" s="237">
        <f>'OR15-准备金再保险'!M23</f>
        <v>26</v>
      </c>
      <c r="F91" s="241"/>
      <c r="G91" s="239">
        <v>1</v>
      </c>
      <c r="H91" s="242" t="s">
        <v>1585</v>
      </c>
      <c r="I91" s="242"/>
      <c r="J91" s="242"/>
      <c r="K91" s="242"/>
      <c r="L91" s="242"/>
      <c r="M91" s="242"/>
      <c r="N91" s="242"/>
      <c r="O91" s="242"/>
      <c r="P91" s="242"/>
      <c r="Q91" s="242"/>
      <c r="R91" s="242"/>
      <c r="S91" s="265" t="s">
        <v>1589</v>
      </c>
      <c r="T91" s="240" t="s">
        <v>1579</v>
      </c>
      <c r="U91" s="240" t="s">
        <v>1580</v>
      </c>
    </row>
    <row r="92" spans="1:21" ht="16.5" outlineLevel="1">
      <c r="A92" s="1607"/>
      <c r="B92" s="264" t="s">
        <v>1590</v>
      </c>
      <c r="C92" s="245" t="s">
        <v>2459</v>
      </c>
      <c r="D92" s="237">
        <f t="shared" si="10"/>
        <v>0</v>
      </c>
      <c r="E92" s="241"/>
      <c r="F92" s="241"/>
      <c r="G92" s="239">
        <v>1</v>
      </c>
      <c r="H92" s="242" t="s">
        <v>1585</v>
      </c>
      <c r="I92" s="242"/>
      <c r="J92" s="242"/>
      <c r="K92" s="242"/>
      <c r="L92" s="242"/>
      <c r="M92" s="242"/>
      <c r="N92" s="242"/>
      <c r="O92" s="242"/>
      <c r="P92" s="242"/>
      <c r="Q92" s="242"/>
      <c r="R92" s="242"/>
      <c r="S92" s="240" t="s">
        <v>1579</v>
      </c>
      <c r="T92" s="240" t="s">
        <v>1580</v>
      </c>
      <c r="U92" s="240" t="s">
        <v>1581</v>
      </c>
    </row>
    <row r="93" spans="1:21" ht="16.5" outlineLevel="1">
      <c r="A93" s="1607"/>
      <c r="B93" s="264" t="s">
        <v>1591</v>
      </c>
      <c r="C93" s="246" t="s">
        <v>2459</v>
      </c>
      <c r="D93" s="237">
        <f t="shared" si="10"/>
        <v>21</v>
      </c>
      <c r="E93" s="237">
        <f>案件管理!J26</f>
        <v>21</v>
      </c>
      <c r="F93" s="241"/>
      <c r="G93" s="239">
        <v>1</v>
      </c>
      <c r="H93" s="242" t="s">
        <v>1585</v>
      </c>
      <c r="I93" s="242"/>
      <c r="J93" s="242"/>
      <c r="K93" s="242"/>
      <c r="L93" s="242"/>
      <c r="M93" s="242"/>
      <c r="N93" s="242"/>
      <c r="O93" s="242"/>
      <c r="P93" s="242"/>
      <c r="Q93" s="242"/>
      <c r="R93" s="242"/>
      <c r="S93" s="240" t="s">
        <v>1579</v>
      </c>
      <c r="T93" s="240" t="s">
        <v>1580</v>
      </c>
      <c r="U93" s="240" t="s">
        <v>1581</v>
      </c>
    </row>
    <row r="94" spans="1:21" ht="16.5" outlineLevel="1">
      <c r="A94" s="1608"/>
      <c r="B94" s="266" t="s">
        <v>1640</v>
      </c>
      <c r="C94" s="245" t="s">
        <v>2022</v>
      </c>
      <c r="D94" s="237">
        <f>(SUM(D85:D93)+D91)/9</f>
        <v>12.822222222222223</v>
      </c>
      <c r="E94" s="241"/>
      <c r="F94" s="241"/>
      <c r="G94" s="239">
        <v>1</v>
      </c>
      <c r="H94" s="242" t="s">
        <v>1585</v>
      </c>
      <c r="I94" s="242"/>
      <c r="J94" s="242"/>
      <c r="K94" s="242"/>
      <c r="L94" s="242"/>
      <c r="M94" s="242"/>
      <c r="N94" s="242"/>
      <c r="O94" s="242"/>
      <c r="P94" s="242"/>
      <c r="Q94" s="242"/>
      <c r="R94" s="242"/>
      <c r="S94" s="240" t="s">
        <v>1594</v>
      </c>
      <c r="T94" s="239">
        <v>0.5</v>
      </c>
      <c r="U94" s="239">
        <v>0.25</v>
      </c>
    </row>
    <row r="95" spans="1:21" ht="16.5" outlineLevel="1">
      <c r="A95" s="1602" t="s">
        <v>1595</v>
      </c>
      <c r="B95" s="1603"/>
      <c r="C95" s="245" t="s">
        <v>2022</v>
      </c>
      <c r="D95" s="237">
        <v>0</v>
      </c>
      <c r="E95" s="241"/>
      <c r="F95" s="241"/>
      <c r="G95" s="239">
        <v>1</v>
      </c>
      <c r="H95" s="242" t="s">
        <v>1585</v>
      </c>
      <c r="I95" s="242"/>
      <c r="J95" s="242"/>
      <c r="K95" s="242"/>
      <c r="L95" s="242"/>
      <c r="M95" s="242"/>
      <c r="N95" s="242"/>
      <c r="O95" s="242"/>
      <c r="P95" s="242"/>
      <c r="Q95" s="242"/>
      <c r="R95" s="242"/>
      <c r="S95" s="239" t="s">
        <v>1585</v>
      </c>
      <c r="T95" s="239">
        <v>0.15</v>
      </c>
      <c r="U95" s="243">
        <v>7.4999999999999997E-2</v>
      </c>
    </row>
    <row r="96" spans="1:21" ht="16.5" outlineLevel="1">
      <c r="A96" s="1602" t="s">
        <v>1596</v>
      </c>
      <c r="B96" s="1603"/>
      <c r="C96" s="245" t="s">
        <v>2022</v>
      </c>
      <c r="D96" s="1391">
        <v>0</v>
      </c>
      <c r="E96" s="241"/>
      <c r="F96" s="241"/>
      <c r="G96" s="239">
        <v>1</v>
      </c>
      <c r="H96" s="239" t="s">
        <v>1585</v>
      </c>
      <c r="I96" s="239"/>
      <c r="J96" s="239"/>
      <c r="K96" s="239"/>
      <c r="L96" s="239"/>
      <c r="M96" s="239"/>
      <c r="N96" s="239"/>
      <c r="O96" s="239"/>
      <c r="P96" s="239"/>
      <c r="Q96" s="239"/>
      <c r="R96" s="239"/>
      <c r="S96" s="239" t="s">
        <v>1585</v>
      </c>
      <c r="T96" s="239">
        <v>0.1</v>
      </c>
      <c r="U96" s="239">
        <v>0.05</v>
      </c>
    </row>
    <row r="97" spans="1:21" ht="16.5" outlineLevel="1">
      <c r="A97" s="1602" t="s">
        <v>1597</v>
      </c>
      <c r="B97" s="1603"/>
      <c r="C97" s="563" t="s">
        <v>2022</v>
      </c>
      <c r="D97" s="237">
        <v>0</v>
      </c>
      <c r="E97" s="241"/>
      <c r="F97" s="241"/>
      <c r="G97" s="239">
        <v>1</v>
      </c>
      <c r="H97" s="242" t="s">
        <v>1585</v>
      </c>
      <c r="I97" s="242"/>
      <c r="J97" s="242"/>
      <c r="K97" s="242"/>
      <c r="L97" s="242"/>
      <c r="M97" s="242"/>
      <c r="N97" s="242"/>
      <c r="O97" s="242"/>
      <c r="P97" s="242"/>
      <c r="Q97" s="242"/>
      <c r="R97" s="242"/>
      <c r="S97" s="239" t="s">
        <v>1585</v>
      </c>
      <c r="T97" s="239">
        <v>0.25</v>
      </c>
      <c r="U97" s="243">
        <v>0.125</v>
      </c>
    </row>
    <row r="98" spans="1:21" ht="16.5" outlineLevel="1">
      <c r="A98" s="1600" t="s">
        <v>2462</v>
      </c>
      <c r="B98" s="1600"/>
      <c r="C98" s="563" t="s">
        <v>2022</v>
      </c>
      <c r="D98" s="237">
        <f>D94*T94+D95*T95+D96*T96+D97*T97</f>
        <v>6.4111111111111114</v>
      </c>
      <c r="E98" s="241"/>
      <c r="F98" s="241"/>
      <c r="G98" s="239">
        <v>1</v>
      </c>
      <c r="H98" s="242" t="s">
        <v>1585</v>
      </c>
      <c r="I98" s="242"/>
      <c r="J98" s="242"/>
      <c r="K98" s="242"/>
      <c r="L98" s="242"/>
      <c r="M98" s="242"/>
      <c r="N98" s="242"/>
      <c r="O98" s="242"/>
      <c r="P98" s="242"/>
      <c r="Q98" s="242"/>
      <c r="R98" s="242"/>
      <c r="S98" s="239" t="s">
        <v>1585</v>
      </c>
      <c r="T98" s="239">
        <v>1</v>
      </c>
      <c r="U98" s="239">
        <v>0.5</v>
      </c>
    </row>
    <row r="99" spans="1:21" ht="16.5" outlineLevel="1">
      <c r="A99" s="1604" t="s">
        <v>2461</v>
      </c>
      <c r="B99" s="1604"/>
      <c r="C99" s="245" t="s">
        <v>1593</v>
      </c>
      <c r="D99" s="237">
        <v>0</v>
      </c>
      <c r="E99" s="241"/>
      <c r="F99" s="241"/>
      <c r="G99" s="239">
        <v>1</v>
      </c>
      <c r="H99" s="242" t="s">
        <v>1585</v>
      </c>
      <c r="I99" s="242"/>
      <c r="J99" s="242"/>
      <c r="K99" s="242"/>
      <c r="L99" s="242"/>
      <c r="M99" s="242"/>
      <c r="N99" s="242"/>
      <c r="O99" s="242"/>
      <c r="P99" s="242"/>
      <c r="Q99" s="242"/>
      <c r="R99" s="242"/>
      <c r="S99" s="239" t="s">
        <v>1585</v>
      </c>
      <c r="T99" s="242" t="s">
        <v>1585</v>
      </c>
      <c r="U99" s="239">
        <v>0.5</v>
      </c>
    </row>
    <row r="100" spans="1:21" ht="16.5" outlineLevel="1">
      <c r="A100" s="1600" t="s">
        <v>1598</v>
      </c>
      <c r="B100" s="1600"/>
      <c r="C100" s="245"/>
      <c r="D100" s="237">
        <f>D98*U98+D99*U99</f>
        <v>3.2055555555555557</v>
      </c>
      <c r="E100" s="241"/>
      <c r="F100" s="241"/>
      <c r="G100" s="242" t="s">
        <v>1585</v>
      </c>
      <c r="H100" s="242" t="s">
        <v>1585</v>
      </c>
      <c r="I100" s="242"/>
      <c r="J100" s="242"/>
      <c r="K100" s="242"/>
      <c r="L100" s="242"/>
      <c r="M100" s="242"/>
      <c r="N100" s="242"/>
      <c r="O100" s="242"/>
      <c r="P100" s="242"/>
      <c r="Q100" s="242"/>
      <c r="R100" s="242"/>
      <c r="S100" s="239" t="s">
        <v>1585</v>
      </c>
      <c r="T100" s="242" t="s">
        <v>1585</v>
      </c>
      <c r="U100" s="239">
        <v>1</v>
      </c>
    </row>
    <row r="102" spans="1:21">
      <c r="A102" s="1606" t="s">
        <v>1644</v>
      </c>
      <c r="B102" s="1606"/>
      <c r="D102" s="299">
        <f>D120</f>
        <v>1.7472222222222222</v>
      </c>
    </row>
    <row r="103" spans="1:21" ht="16.149999999999999" customHeight="1" outlineLevel="1">
      <c r="A103" s="1612" t="s">
        <v>1615</v>
      </c>
      <c r="B103" s="1612"/>
      <c r="C103" s="1609" t="s">
        <v>2458</v>
      </c>
      <c r="D103" s="1610" t="s">
        <v>1616</v>
      </c>
      <c r="E103" s="1611" t="s">
        <v>1617</v>
      </c>
      <c r="F103" s="1611" t="s">
        <v>1618</v>
      </c>
      <c r="G103" s="1605" t="s">
        <v>1619</v>
      </c>
      <c r="H103" s="1605"/>
      <c r="I103" s="262"/>
      <c r="J103" s="262"/>
      <c r="K103" s="262"/>
      <c r="L103" s="262"/>
      <c r="M103" s="262"/>
      <c r="N103" s="262"/>
      <c r="O103" s="262"/>
      <c r="P103" s="262"/>
      <c r="Q103" s="262"/>
      <c r="R103" s="262"/>
      <c r="S103" s="1605" t="s">
        <v>1620</v>
      </c>
      <c r="T103" s="1605" t="s">
        <v>1621</v>
      </c>
      <c r="U103" s="1605" t="s">
        <v>1622</v>
      </c>
    </row>
    <row r="104" spans="1:21" ht="15" customHeight="1" outlineLevel="1">
      <c r="A104" s="1613"/>
      <c r="B104" s="1613"/>
      <c r="C104" s="1609"/>
      <c r="D104" s="1605"/>
      <c r="E104" s="1611"/>
      <c r="F104" s="1611"/>
      <c r="G104" s="262" t="s">
        <v>1623</v>
      </c>
      <c r="H104" s="262" t="s">
        <v>1624</v>
      </c>
      <c r="I104" s="262" t="s">
        <v>1625</v>
      </c>
      <c r="J104" s="262" t="s">
        <v>1626</v>
      </c>
      <c r="K104" s="262" t="s">
        <v>1627</v>
      </c>
      <c r="L104" s="262" t="s">
        <v>1628</v>
      </c>
      <c r="M104" s="262" t="s">
        <v>1629</v>
      </c>
      <c r="N104" s="262" t="s">
        <v>1630</v>
      </c>
      <c r="O104" s="262" t="s">
        <v>1631</v>
      </c>
      <c r="P104" s="262" t="s">
        <v>1632</v>
      </c>
      <c r="Q104" s="262" t="s">
        <v>1633</v>
      </c>
      <c r="R104" s="262" t="s">
        <v>1634</v>
      </c>
      <c r="S104" s="1605"/>
      <c r="T104" s="1605"/>
      <c r="U104" s="1605"/>
    </row>
    <row r="105" spans="1:21" ht="16.5" outlineLevel="1">
      <c r="A105" s="1607" t="s">
        <v>1577</v>
      </c>
      <c r="B105" s="263" t="s">
        <v>1578</v>
      </c>
      <c r="C105" s="246" t="s">
        <v>2460</v>
      </c>
      <c r="D105" s="258">
        <f>E105*G105+F105*H105</f>
        <v>7.9</v>
      </c>
      <c r="E105" s="258">
        <v>3</v>
      </c>
      <c r="F105" s="258">
        <f>AVERAGE(I105:R105)</f>
        <v>10</v>
      </c>
      <c r="G105" s="260">
        <v>0.3</v>
      </c>
      <c r="H105" s="260">
        <v>0.7</v>
      </c>
      <c r="I105" s="259">
        <v>10</v>
      </c>
      <c r="J105" s="259">
        <v>10</v>
      </c>
      <c r="K105" s="259">
        <v>10</v>
      </c>
      <c r="L105" s="259">
        <v>10</v>
      </c>
      <c r="M105" s="259">
        <v>10</v>
      </c>
      <c r="N105" s="259">
        <v>10</v>
      </c>
      <c r="O105" s="259">
        <v>10</v>
      </c>
      <c r="P105" s="259">
        <v>10</v>
      </c>
      <c r="Q105" s="259">
        <v>10</v>
      </c>
      <c r="R105" s="259">
        <v>10</v>
      </c>
      <c r="S105" s="261" t="s">
        <v>1645</v>
      </c>
      <c r="T105" s="261" t="s">
        <v>1646</v>
      </c>
      <c r="U105" s="261" t="s">
        <v>1647</v>
      </c>
    </row>
    <row r="106" spans="1:21" ht="16.5" outlineLevel="1">
      <c r="A106" s="1607"/>
      <c r="B106" s="264" t="s">
        <v>1582</v>
      </c>
      <c r="C106" s="245" t="s">
        <v>2460</v>
      </c>
      <c r="D106" s="237">
        <f>E106*G106+F106*H106</f>
        <v>7</v>
      </c>
      <c r="E106" s="241"/>
      <c r="F106" s="237">
        <f>AVERAGE(I106:R106)</f>
        <v>10</v>
      </c>
      <c r="G106" s="239">
        <v>0.3</v>
      </c>
      <c r="H106" s="239">
        <v>0.7</v>
      </c>
      <c r="I106" s="238">
        <v>10</v>
      </c>
      <c r="J106" s="238">
        <v>10</v>
      </c>
      <c r="K106" s="238">
        <v>10</v>
      </c>
      <c r="L106" s="238">
        <v>10</v>
      </c>
      <c r="M106" s="238">
        <v>10</v>
      </c>
      <c r="N106" s="238">
        <v>10</v>
      </c>
      <c r="O106" s="238">
        <v>10</v>
      </c>
      <c r="P106" s="238">
        <v>10</v>
      </c>
      <c r="Q106" s="238">
        <v>10</v>
      </c>
      <c r="R106" s="238">
        <v>10</v>
      </c>
      <c r="S106" s="240" t="s">
        <v>1645</v>
      </c>
      <c r="T106" s="240" t="s">
        <v>1646</v>
      </c>
      <c r="U106" s="240" t="s">
        <v>1647</v>
      </c>
    </row>
    <row r="107" spans="1:21" ht="16.5" outlineLevel="1">
      <c r="A107" s="1607"/>
      <c r="B107" s="264" t="s">
        <v>1583</v>
      </c>
      <c r="C107" s="246" t="s">
        <v>2459</v>
      </c>
      <c r="D107" s="237">
        <f>E107*G107+F107*H107</f>
        <v>10</v>
      </c>
      <c r="E107" s="237">
        <v>10</v>
      </c>
      <c r="F107" s="237">
        <f>AVERAGE(I107:R107)</f>
        <v>10</v>
      </c>
      <c r="G107" s="239">
        <v>0.6</v>
      </c>
      <c r="H107" s="239">
        <v>0.4</v>
      </c>
      <c r="I107" s="238">
        <v>10</v>
      </c>
      <c r="J107" s="238">
        <v>10</v>
      </c>
      <c r="K107" s="238">
        <v>10</v>
      </c>
      <c r="L107" s="238">
        <v>10</v>
      </c>
      <c r="M107" s="238">
        <v>10</v>
      </c>
      <c r="N107" s="238">
        <v>10</v>
      </c>
      <c r="O107" s="238">
        <v>10</v>
      </c>
      <c r="P107" s="238">
        <v>10</v>
      </c>
      <c r="Q107" s="238">
        <v>10</v>
      </c>
      <c r="R107" s="238">
        <v>10</v>
      </c>
      <c r="S107" s="240" t="s">
        <v>1645</v>
      </c>
      <c r="T107" s="240" t="s">
        <v>1646</v>
      </c>
      <c r="U107" s="240" t="s">
        <v>1647</v>
      </c>
    </row>
    <row r="108" spans="1:21" ht="16.5" outlineLevel="1">
      <c r="A108" s="1607"/>
      <c r="B108" s="264" t="s">
        <v>1584</v>
      </c>
      <c r="C108" s="245" t="s">
        <v>2459</v>
      </c>
      <c r="D108" s="237">
        <f t="shared" ref="D108:D119" si="11">E108</f>
        <v>20</v>
      </c>
      <c r="E108" s="237">
        <v>20</v>
      </c>
      <c r="F108" s="241"/>
      <c r="G108" s="239">
        <v>1</v>
      </c>
      <c r="H108" s="242" t="s">
        <v>1648</v>
      </c>
      <c r="I108" s="242"/>
      <c r="J108" s="242"/>
      <c r="K108" s="242"/>
      <c r="L108" s="242"/>
      <c r="M108" s="242"/>
      <c r="N108" s="242"/>
      <c r="O108" s="242"/>
      <c r="P108" s="242"/>
      <c r="Q108" s="242"/>
      <c r="R108" s="242"/>
      <c r="S108" s="240" t="s">
        <v>1645</v>
      </c>
      <c r="T108" s="240" t="s">
        <v>1646</v>
      </c>
      <c r="U108" s="240" t="s">
        <v>1647</v>
      </c>
    </row>
    <row r="109" spans="1:21" ht="16.5" outlineLevel="1">
      <c r="A109" s="1607"/>
      <c r="B109" s="264" t="s">
        <v>1586</v>
      </c>
      <c r="C109" s="246" t="s">
        <v>2459</v>
      </c>
      <c r="D109" s="237">
        <f>E109</f>
        <v>0</v>
      </c>
      <c r="E109" s="241"/>
      <c r="F109" s="241"/>
      <c r="G109" s="239">
        <v>1</v>
      </c>
      <c r="H109" s="242" t="s">
        <v>1648</v>
      </c>
      <c r="I109" s="242"/>
      <c r="J109" s="242"/>
      <c r="K109" s="242"/>
      <c r="L109" s="242"/>
      <c r="M109" s="242"/>
      <c r="N109" s="242"/>
      <c r="O109" s="242"/>
      <c r="P109" s="242"/>
      <c r="Q109" s="242"/>
      <c r="R109" s="242"/>
      <c r="S109" s="240" t="s">
        <v>1645</v>
      </c>
      <c r="T109" s="240" t="s">
        <v>1646</v>
      </c>
      <c r="U109" s="240" t="s">
        <v>1647</v>
      </c>
    </row>
    <row r="110" spans="1:21" ht="16.5" outlineLevel="1">
      <c r="A110" s="1607"/>
      <c r="B110" s="264" t="s">
        <v>1587</v>
      </c>
      <c r="C110" s="245" t="s">
        <v>2459</v>
      </c>
      <c r="D110" s="237">
        <f t="shared" si="11"/>
        <v>0</v>
      </c>
      <c r="E110" s="241"/>
      <c r="F110" s="241"/>
      <c r="G110" s="239">
        <v>1</v>
      </c>
      <c r="H110" s="242" t="s">
        <v>1648</v>
      </c>
      <c r="I110" s="242"/>
      <c r="J110" s="242"/>
      <c r="K110" s="242"/>
      <c r="L110" s="242"/>
      <c r="M110" s="242"/>
      <c r="N110" s="242"/>
      <c r="O110" s="242"/>
      <c r="P110" s="242"/>
      <c r="Q110" s="242"/>
      <c r="R110" s="242"/>
      <c r="S110" s="240" t="s">
        <v>1645</v>
      </c>
      <c r="T110" s="240" t="s">
        <v>1646</v>
      </c>
      <c r="U110" s="240" t="s">
        <v>1647</v>
      </c>
    </row>
    <row r="111" spans="1:21" ht="16.5" outlineLevel="1">
      <c r="A111" s="1607"/>
      <c r="B111" s="264" t="s">
        <v>1588</v>
      </c>
      <c r="C111" s="246" t="s">
        <v>2459</v>
      </c>
      <c r="D111" s="237">
        <f t="shared" si="11"/>
        <v>0</v>
      </c>
      <c r="E111" s="241"/>
      <c r="F111" s="241"/>
      <c r="G111" s="239">
        <v>1</v>
      </c>
      <c r="H111" s="242" t="s">
        <v>1648</v>
      </c>
      <c r="I111" s="242"/>
      <c r="J111" s="242"/>
      <c r="K111" s="242"/>
      <c r="L111" s="242"/>
      <c r="M111" s="242"/>
      <c r="N111" s="242"/>
      <c r="O111" s="242"/>
      <c r="P111" s="242"/>
      <c r="Q111" s="242"/>
      <c r="R111" s="242"/>
      <c r="S111" s="265" t="s">
        <v>1649</v>
      </c>
      <c r="T111" s="240" t="s">
        <v>1645</v>
      </c>
      <c r="U111" s="240" t="s">
        <v>1646</v>
      </c>
    </row>
    <row r="112" spans="1:21" ht="16.5" outlineLevel="1">
      <c r="A112" s="1607"/>
      <c r="B112" s="264" t="s">
        <v>1590</v>
      </c>
      <c r="C112" s="245" t="s">
        <v>2459</v>
      </c>
      <c r="D112" s="237">
        <f t="shared" si="11"/>
        <v>0</v>
      </c>
      <c r="E112" s="241"/>
      <c r="F112" s="241"/>
      <c r="G112" s="239">
        <v>1</v>
      </c>
      <c r="H112" s="242" t="s">
        <v>1648</v>
      </c>
      <c r="I112" s="242"/>
      <c r="J112" s="242"/>
      <c r="K112" s="242"/>
      <c r="L112" s="242"/>
      <c r="M112" s="242"/>
      <c r="N112" s="242"/>
      <c r="O112" s="242"/>
      <c r="P112" s="242"/>
      <c r="Q112" s="242"/>
      <c r="R112" s="242"/>
      <c r="S112" s="240" t="s">
        <v>1645</v>
      </c>
      <c r="T112" s="240" t="s">
        <v>1646</v>
      </c>
      <c r="U112" s="240" t="s">
        <v>1647</v>
      </c>
    </row>
    <row r="113" spans="1:21" ht="16.5" outlineLevel="1">
      <c r="A113" s="1607"/>
      <c r="B113" s="264" t="s">
        <v>1591</v>
      </c>
      <c r="C113" s="246" t="s">
        <v>2459</v>
      </c>
      <c r="D113" s="237">
        <f t="shared" si="11"/>
        <v>0</v>
      </c>
      <c r="E113" s="241"/>
      <c r="F113" s="241"/>
      <c r="G113" s="239">
        <v>1</v>
      </c>
      <c r="H113" s="242" t="s">
        <v>1648</v>
      </c>
      <c r="I113" s="242"/>
      <c r="J113" s="242"/>
      <c r="K113" s="242"/>
      <c r="L113" s="242"/>
      <c r="M113" s="242"/>
      <c r="N113" s="242"/>
      <c r="O113" s="242"/>
      <c r="P113" s="242"/>
      <c r="Q113" s="242"/>
      <c r="R113" s="242"/>
      <c r="S113" s="240" t="s">
        <v>1645</v>
      </c>
      <c r="T113" s="240" t="s">
        <v>1646</v>
      </c>
      <c r="U113" s="240" t="s">
        <v>1647</v>
      </c>
    </row>
    <row r="114" spans="1:21" ht="16.5" outlineLevel="1">
      <c r="A114" s="1608"/>
      <c r="B114" s="266" t="s">
        <v>1640</v>
      </c>
      <c r="C114" s="245" t="s">
        <v>2022</v>
      </c>
      <c r="D114" s="237">
        <f>(SUM(D105:D113)+D111)/9</f>
        <v>4.9888888888888889</v>
      </c>
      <c r="E114" s="241"/>
      <c r="F114" s="241"/>
      <c r="G114" s="239">
        <v>1</v>
      </c>
      <c r="H114" s="242" t="s">
        <v>1648</v>
      </c>
      <c r="I114" s="242"/>
      <c r="J114" s="242"/>
      <c r="K114" s="242"/>
      <c r="L114" s="242"/>
      <c r="M114" s="242"/>
      <c r="N114" s="242"/>
      <c r="O114" s="242"/>
      <c r="P114" s="242"/>
      <c r="Q114" s="242"/>
      <c r="R114" s="242"/>
      <c r="S114" s="240" t="s">
        <v>1650</v>
      </c>
      <c r="T114" s="239">
        <v>0.5</v>
      </c>
      <c r="U114" s="239">
        <v>0.25</v>
      </c>
    </row>
    <row r="115" spans="1:21" ht="16.5" outlineLevel="1">
      <c r="A115" s="1602" t="s">
        <v>1595</v>
      </c>
      <c r="B115" s="1603"/>
      <c r="C115" s="245" t="s">
        <v>2022</v>
      </c>
      <c r="D115" s="237">
        <f t="shared" si="11"/>
        <v>0</v>
      </c>
      <c r="E115" s="241"/>
      <c r="F115" s="241"/>
      <c r="G115" s="239">
        <v>1</v>
      </c>
      <c r="H115" s="242" t="s">
        <v>1648</v>
      </c>
      <c r="I115" s="242"/>
      <c r="J115" s="242"/>
      <c r="K115" s="242"/>
      <c r="L115" s="242"/>
      <c r="M115" s="242"/>
      <c r="N115" s="242"/>
      <c r="O115" s="242"/>
      <c r="P115" s="242"/>
      <c r="Q115" s="242"/>
      <c r="R115" s="242"/>
      <c r="S115" s="239" t="s">
        <v>1648</v>
      </c>
      <c r="T115" s="239">
        <v>0.15</v>
      </c>
      <c r="U115" s="243">
        <v>7.4999999999999997E-2</v>
      </c>
    </row>
    <row r="116" spans="1:21" ht="16.5" outlineLevel="1">
      <c r="A116" s="1602" t="s">
        <v>1596</v>
      </c>
      <c r="B116" s="1603"/>
      <c r="C116" s="245" t="s">
        <v>2022</v>
      </c>
      <c r="D116" s="1391">
        <v>10</v>
      </c>
      <c r="E116" s="241"/>
      <c r="F116" s="241"/>
      <c r="G116" s="239">
        <v>1</v>
      </c>
      <c r="H116" s="239" t="s">
        <v>1648</v>
      </c>
      <c r="I116" s="242"/>
      <c r="J116" s="242"/>
      <c r="K116" s="242"/>
      <c r="L116" s="242"/>
      <c r="M116" s="242"/>
      <c r="N116" s="242"/>
      <c r="O116" s="242"/>
      <c r="P116" s="242"/>
      <c r="Q116" s="242"/>
      <c r="R116" s="242"/>
      <c r="S116" s="239" t="s">
        <v>1648</v>
      </c>
      <c r="T116" s="239">
        <v>0.1</v>
      </c>
      <c r="U116" s="239">
        <v>0.05</v>
      </c>
    </row>
    <row r="117" spans="1:21" ht="16.5" outlineLevel="1">
      <c r="A117" s="1602" t="s">
        <v>1597</v>
      </c>
      <c r="B117" s="1603"/>
      <c r="C117" s="563" t="s">
        <v>2022</v>
      </c>
      <c r="D117" s="237">
        <f t="shared" si="11"/>
        <v>0</v>
      </c>
      <c r="E117" s="241"/>
      <c r="F117" s="241"/>
      <c r="G117" s="239">
        <v>1</v>
      </c>
      <c r="H117" s="242" t="s">
        <v>1648</v>
      </c>
      <c r="I117" s="242"/>
      <c r="J117" s="242"/>
      <c r="K117" s="242"/>
      <c r="L117" s="242"/>
      <c r="M117" s="242"/>
      <c r="N117" s="242"/>
      <c r="O117" s="242"/>
      <c r="P117" s="242"/>
      <c r="Q117" s="242"/>
      <c r="R117" s="242"/>
      <c r="S117" s="239" t="s">
        <v>1648</v>
      </c>
      <c r="T117" s="239">
        <v>0.25</v>
      </c>
      <c r="U117" s="243">
        <v>0.125</v>
      </c>
    </row>
    <row r="118" spans="1:21" ht="16.5" outlineLevel="1">
      <c r="A118" s="1600" t="s">
        <v>2462</v>
      </c>
      <c r="B118" s="1600"/>
      <c r="C118" s="563" t="s">
        <v>2022</v>
      </c>
      <c r="D118" s="237">
        <f>D114*T114+D115*T115+D116*T116+D117*T117</f>
        <v>3.4944444444444445</v>
      </c>
      <c r="E118" s="241"/>
      <c r="F118" s="241"/>
      <c r="G118" s="239">
        <v>1</v>
      </c>
      <c r="H118" s="242" t="s">
        <v>1648</v>
      </c>
      <c r="I118" s="242"/>
      <c r="J118" s="242"/>
      <c r="K118" s="242"/>
      <c r="L118" s="242"/>
      <c r="M118" s="242"/>
      <c r="N118" s="242"/>
      <c r="O118" s="242"/>
      <c r="P118" s="242"/>
      <c r="Q118" s="242"/>
      <c r="R118" s="242"/>
      <c r="S118" s="239" t="s">
        <v>1648</v>
      </c>
      <c r="T118" s="239">
        <v>1</v>
      </c>
      <c r="U118" s="239">
        <v>0.5</v>
      </c>
    </row>
    <row r="119" spans="1:21" ht="16.5" outlineLevel="1">
      <c r="A119" s="1604" t="s">
        <v>2461</v>
      </c>
      <c r="B119" s="1604"/>
      <c r="C119" s="245" t="s">
        <v>1593</v>
      </c>
      <c r="D119" s="237">
        <f t="shared" si="11"/>
        <v>0</v>
      </c>
      <c r="E119" s="241"/>
      <c r="F119" s="241"/>
      <c r="G119" s="239">
        <v>1</v>
      </c>
      <c r="H119" s="242" t="s">
        <v>1648</v>
      </c>
      <c r="I119" s="242"/>
      <c r="J119" s="242"/>
      <c r="K119" s="242"/>
      <c r="L119" s="242"/>
      <c r="M119" s="242"/>
      <c r="N119" s="242"/>
      <c r="O119" s="242"/>
      <c r="P119" s="242"/>
      <c r="Q119" s="242"/>
      <c r="R119" s="242"/>
      <c r="S119" s="239" t="s">
        <v>1648</v>
      </c>
      <c r="T119" s="242" t="s">
        <v>1648</v>
      </c>
      <c r="U119" s="239">
        <v>0.5</v>
      </c>
    </row>
    <row r="120" spans="1:21" ht="16.5" outlineLevel="1">
      <c r="A120" s="1600" t="s">
        <v>1598</v>
      </c>
      <c r="B120" s="1600"/>
      <c r="C120" s="245"/>
      <c r="D120" s="237">
        <f>D118*U118+D119*U119</f>
        <v>1.7472222222222222</v>
      </c>
      <c r="E120" s="241"/>
      <c r="F120" s="241"/>
      <c r="G120" s="242" t="s">
        <v>1648</v>
      </c>
      <c r="H120" s="242" t="s">
        <v>1648</v>
      </c>
      <c r="I120" s="242"/>
      <c r="J120" s="242"/>
      <c r="K120" s="242"/>
      <c r="L120" s="242"/>
      <c r="M120" s="242"/>
      <c r="N120" s="242"/>
      <c r="O120" s="242"/>
      <c r="P120" s="242"/>
      <c r="Q120" s="242"/>
      <c r="R120" s="242"/>
      <c r="S120" s="239" t="s">
        <v>1648</v>
      </c>
      <c r="T120" s="242" t="s">
        <v>1648</v>
      </c>
      <c r="U120" s="239">
        <v>1</v>
      </c>
    </row>
    <row r="122" spans="1:21">
      <c r="A122" s="1606" t="s">
        <v>1652</v>
      </c>
      <c r="B122" s="1606"/>
      <c r="D122" s="299">
        <f>D140</f>
        <v>2.6364380791967736</v>
      </c>
    </row>
    <row r="123" spans="1:21" ht="16.149999999999999" customHeight="1" outlineLevel="1">
      <c r="A123" s="1612" t="s">
        <v>1615</v>
      </c>
      <c r="B123" s="1612"/>
      <c r="C123" s="1609" t="s">
        <v>2458</v>
      </c>
      <c r="D123" s="1610" t="s">
        <v>458</v>
      </c>
      <c r="E123" s="1611" t="s">
        <v>1653</v>
      </c>
      <c r="F123" s="1611" t="s">
        <v>1654</v>
      </c>
      <c r="G123" s="1605" t="s">
        <v>1619</v>
      </c>
      <c r="H123" s="1605"/>
      <c r="I123" s="262"/>
      <c r="J123" s="262"/>
      <c r="K123" s="262"/>
      <c r="L123" s="262"/>
      <c r="M123" s="262"/>
      <c r="N123" s="262"/>
      <c r="O123" s="262"/>
      <c r="P123" s="262"/>
      <c r="Q123" s="262"/>
      <c r="R123" s="262"/>
      <c r="S123" s="1605" t="s">
        <v>1620</v>
      </c>
      <c r="T123" s="1605" t="s">
        <v>1621</v>
      </c>
      <c r="U123" s="1605" t="s">
        <v>1622</v>
      </c>
    </row>
    <row r="124" spans="1:21" ht="15" customHeight="1" outlineLevel="1">
      <c r="A124" s="1613"/>
      <c r="B124" s="1613"/>
      <c r="C124" s="1609"/>
      <c r="D124" s="1605"/>
      <c r="E124" s="1611"/>
      <c r="F124" s="1611"/>
      <c r="G124" s="262" t="s">
        <v>1623</v>
      </c>
      <c r="H124" s="262" t="s">
        <v>1624</v>
      </c>
      <c r="I124" s="262" t="s">
        <v>1625</v>
      </c>
      <c r="J124" s="262" t="s">
        <v>1626</v>
      </c>
      <c r="K124" s="262" t="s">
        <v>1627</v>
      </c>
      <c r="L124" s="262" t="s">
        <v>1628</v>
      </c>
      <c r="M124" s="262" t="s">
        <v>1629</v>
      </c>
      <c r="N124" s="262" t="s">
        <v>1630</v>
      </c>
      <c r="O124" s="262" t="s">
        <v>1631</v>
      </c>
      <c r="P124" s="262" t="s">
        <v>1632</v>
      </c>
      <c r="Q124" s="262" t="s">
        <v>1633</v>
      </c>
      <c r="R124" s="262" t="s">
        <v>1634</v>
      </c>
      <c r="S124" s="1605"/>
      <c r="T124" s="1605"/>
      <c r="U124" s="1605"/>
    </row>
    <row r="125" spans="1:21" ht="16.5" outlineLevel="1">
      <c r="A125" s="1607" t="s">
        <v>1577</v>
      </c>
      <c r="B125" s="263" t="s">
        <v>1578</v>
      </c>
      <c r="C125" s="246" t="s">
        <v>2460</v>
      </c>
      <c r="D125" s="237">
        <f>E125*G125+F125*H125</f>
        <v>5.2317708510838594</v>
      </c>
      <c r="E125" s="258">
        <f>'OR02-销售承保'!U39</f>
        <v>3.8362785604061855</v>
      </c>
      <c r="F125" s="258">
        <f>AVERAGE(I125:R125)</f>
        <v>5.8298389756600058</v>
      </c>
      <c r="G125" s="260">
        <v>0.3</v>
      </c>
      <c r="H125" s="260">
        <v>0.7</v>
      </c>
      <c r="I125" s="259">
        <f>'OR04-分公司销售、承保、保全'!W84</f>
        <v>5.2631578947368496</v>
      </c>
      <c r="J125" s="259">
        <f>'OR04-分公司销售、承保、保全'!AC84</f>
        <v>3.1339869281045765</v>
      </c>
      <c r="K125" s="259">
        <f>'OR04-分公司销售、承保、保全'!AI84</f>
        <v>3.5267857142857224</v>
      </c>
      <c r="L125" s="259">
        <f>'OR04-分公司销售、承保、保全'!AO84</f>
        <v>12.555555555555557</v>
      </c>
      <c r="M125" s="259">
        <f>'OR04-分公司销售、承保、保全'!AU84</f>
        <v>4.7032520325203251</v>
      </c>
      <c r="N125" s="259">
        <f>'OR04-分公司销售、承保、保全'!BA84</f>
        <v>3.9597701149425291</v>
      </c>
      <c r="O125" s="259">
        <f>'OR04-分公司销售、承保、保全'!BG84</f>
        <v>6.1981132075471663</v>
      </c>
      <c r="P125" s="259">
        <f>'OR04-分公司销售、承保、保全'!BM84</f>
        <v>5.5124378109452721</v>
      </c>
      <c r="Q125" s="259">
        <f>'OR04-分公司销售、承保、保全'!BS84</f>
        <v>7.2037037037036953</v>
      </c>
      <c r="R125" s="259">
        <f>'OR04-分公司销售、承保、保全'!BY84</f>
        <v>6.2416267942583659</v>
      </c>
      <c r="S125" s="261" t="s">
        <v>1579</v>
      </c>
      <c r="T125" s="261" t="s">
        <v>1580</v>
      </c>
      <c r="U125" s="261" t="s">
        <v>1581</v>
      </c>
    </row>
    <row r="126" spans="1:21" ht="16.5" outlineLevel="1">
      <c r="A126" s="1607"/>
      <c r="B126" s="264" t="s">
        <v>1582</v>
      </c>
      <c r="C126" s="245" t="s">
        <v>2460</v>
      </c>
      <c r="D126" s="237">
        <f>E126*G126+F126*H126</f>
        <v>3.5</v>
      </c>
      <c r="E126" s="237">
        <f>'OR06-理赔保全'!P23</f>
        <v>7</v>
      </c>
      <c r="F126" s="237">
        <f>AVERAGE(I126:R126)</f>
        <v>2</v>
      </c>
      <c r="G126" s="239">
        <v>0.3</v>
      </c>
      <c r="H126" s="239">
        <v>0.7</v>
      </c>
      <c r="I126" s="238">
        <f>'OR08-分公司理赔'!W49</f>
        <v>0</v>
      </c>
      <c r="J126" s="238">
        <f>'OR08-分公司理赔'!AC49</f>
        <v>3</v>
      </c>
      <c r="K126" s="238">
        <f>'OR08-分公司理赔'!AI49</f>
        <v>0</v>
      </c>
      <c r="L126" s="238">
        <f>'OR08-分公司理赔'!AO49</f>
        <v>0</v>
      </c>
      <c r="M126" s="238">
        <f>'OR08-分公司理赔'!AU49</f>
        <v>3</v>
      </c>
      <c r="N126" s="238">
        <f>'OR08-分公司理赔'!BA49</f>
        <v>3</v>
      </c>
      <c r="O126" s="238">
        <f>'OR08-分公司理赔'!BG49</f>
        <v>8</v>
      </c>
      <c r="P126" s="238">
        <f>'OR08-分公司理赔'!BM49</f>
        <v>0</v>
      </c>
      <c r="Q126" s="238">
        <f>'OR08-分公司理赔'!BS49</f>
        <v>3</v>
      </c>
      <c r="R126" s="238">
        <f>'OR08-分公司理赔'!BY49</f>
        <v>0</v>
      </c>
      <c r="S126" s="240" t="s">
        <v>1579</v>
      </c>
      <c r="T126" s="240" t="s">
        <v>1580</v>
      </c>
      <c r="U126" s="240" t="s">
        <v>1581</v>
      </c>
    </row>
    <row r="127" spans="1:21" ht="16.5" outlineLevel="1">
      <c r="A127" s="1607"/>
      <c r="B127" s="264" t="s">
        <v>1583</v>
      </c>
      <c r="C127" s="246" t="s">
        <v>2459</v>
      </c>
      <c r="D127" s="237">
        <f>E127*G127+F127*H127</f>
        <v>4.08</v>
      </c>
      <c r="E127" s="237">
        <f>'OR12-财务管理'!S43</f>
        <v>6</v>
      </c>
      <c r="F127" s="237">
        <f>AVERAGE(I127:R127)</f>
        <v>1.2</v>
      </c>
      <c r="G127" s="239">
        <v>0.6</v>
      </c>
      <c r="H127" s="239">
        <v>0.4</v>
      </c>
      <c r="I127" s="238">
        <f>'OR13-分公司财务管理'!W65</f>
        <v>2</v>
      </c>
      <c r="J127" s="238">
        <f>'OR13-分公司财务管理'!AC65</f>
        <v>0</v>
      </c>
      <c r="K127" s="238">
        <f>'OR13-分公司财务管理'!AI65</f>
        <v>2</v>
      </c>
      <c r="L127" s="238">
        <f>'OR13-分公司财务管理'!AO65</f>
        <v>3</v>
      </c>
      <c r="M127" s="238">
        <f>'OR13-分公司财务管理'!AU65</f>
        <v>1</v>
      </c>
      <c r="N127" s="238">
        <f>'OR13-分公司财务管理'!BA65</f>
        <v>2</v>
      </c>
      <c r="O127" s="238">
        <f>'OR13-分公司财务管理'!BG65</f>
        <v>0</v>
      </c>
      <c r="P127" s="238">
        <f>'OR13-分公司财务管理'!BM65</f>
        <v>2</v>
      </c>
      <c r="Q127" s="238">
        <f>'OR13-分公司财务管理'!BS65</f>
        <v>0</v>
      </c>
      <c r="R127" s="238">
        <f>'OR13-分公司财务管理'!BY65</f>
        <v>0</v>
      </c>
      <c r="S127" s="240" t="s">
        <v>1579</v>
      </c>
      <c r="T127" s="240" t="s">
        <v>1580</v>
      </c>
      <c r="U127" s="240" t="s">
        <v>1581</v>
      </c>
    </row>
    <row r="128" spans="1:21" ht="16.5" outlineLevel="1">
      <c r="A128" s="1607"/>
      <c r="B128" s="264" t="s">
        <v>1584</v>
      </c>
      <c r="C128" s="245" t="s">
        <v>2459</v>
      </c>
      <c r="D128" s="237">
        <f t="shared" ref="D128:D133" si="12">E128</f>
        <v>0</v>
      </c>
      <c r="E128" s="237">
        <f>'OR10-资金运用'!M66</f>
        <v>0</v>
      </c>
      <c r="F128" s="241"/>
      <c r="G128" s="239">
        <v>1</v>
      </c>
      <c r="H128" s="242" t="s">
        <v>1585</v>
      </c>
      <c r="I128" s="242"/>
      <c r="J128" s="242"/>
      <c r="K128" s="242"/>
      <c r="L128" s="242"/>
      <c r="M128" s="242"/>
      <c r="N128" s="242"/>
      <c r="O128" s="242"/>
      <c r="P128" s="242"/>
      <c r="Q128" s="242"/>
      <c r="R128" s="242"/>
      <c r="S128" s="240" t="s">
        <v>1579</v>
      </c>
      <c r="T128" s="240" t="s">
        <v>1580</v>
      </c>
      <c r="U128" s="240" t="s">
        <v>1581</v>
      </c>
    </row>
    <row r="129" spans="1:21" ht="16.5" outlineLevel="1">
      <c r="A129" s="1607"/>
      <c r="B129" s="264" t="s">
        <v>1586</v>
      </c>
      <c r="C129" s="246" t="s">
        <v>2459</v>
      </c>
      <c r="D129" s="332">
        <f>E129</f>
        <v>0</v>
      </c>
      <c r="E129" s="332">
        <f>'OR18-合规风险'!O26</f>
        <v>0</v>
      </c>
      <c r="F129" s="241"/>
      <c r="G129" s="239">
        <v>1</v>
      </c>
      <c r="H129" s="242" t="s">
        <v>1585</v>
      </c>
      <c r="I129" s="242"/>
      <c r="J129" s="242"/>
      <c r="K129" s="242"/>
      <c r="L129" s="242"/>
      <c r="M129" s="242"/>
      <c r="N129" s="242"/>
      <c r="O129" s="242"/>
      <c r="P129" s="242"/>
      <c r="Q129" s="242"/>
      <c r="R129" s="242"/>
      <c r="S129" s="240" t="s">
        <v>1579</v>
      </c>
      <c r="T129" s="240" t="s">
        <v>1580</v>
      </c>
      <c r="U129" s="240" t="s">
        <v>1581</v>
      </c>
    </row>
    <row r="130" spans="1:21" ht="16.5" outlineLevel="1">
      <c r="A130" s="1607"/>
      <c r="B130" s="264" t="s">
        <v>1587</v>
      </c>
      <c r="C130" s="245" t="s">
        <v>2459</v>
      </c>
      <c r="D130" s="237">
        <f>E130</f>
        <v>12</v>
      </c>
      <c r="E130" s="237">
        <f>100-公司治理!H81</f>
        <v>12</v>
      </c>
      <c r="F130" s="241"/>
      <c r="G130" s="239">
        <v>1</v>
      </c>
      <c r="H130" s="242" t="s">
        <v>1585</v>
      </c>
      <c r="I130" s="242"/>
      <c r="J130" s="242"/>
      <c r="K130" s="242"/>
      <c r="L130" s="242"/>
      <c r="M130" s="242"/>
      <c r="N130" s="242"/>
      <c r="O130" s="242"/>
      <c r="P130" s="242"/>
      <c r="Q130" s="242"/>
      <c r="R130" s="242"/>
      <c r="S130" s="240" t="s">
        <v>1579</v>
      </c>
      <c r="T130" s="240" t="s">
        <v>1580</v>
      </c>
      <c r="U130" s="240" t="s">
        <v>1581</v>
      </c>
    </row>
    <row r="131" spans="1:21" ht="16.5" outlineLevel="1">
      <c r="A131" s="1607"/>
      <c r="B131" s="264" t="s">
        <v>1588</v>
      </c>
      <c r="C131" s="246" t="s">
        <v>2459</v>
      </c>
      <c r="D131" s="237">
        <f t="shared" si="12"/>
        <v>0</v>
      </c>
      <c r="E131" s="237">
        <f>'OR15-准备金再保险'!P20</f>
        <v>0</v>
      </c>
      <c r="F131" s="241"/>
      <c r="G131" s="239">
        <v>1</v>
      </c>
      <c r="H131" s="242" t="s">
        <v>1585</v>
      </c>
      <c r="I131" s="242"/>
      <c r="J131" s="242"/>
      <c r="K131" s="242"/>
      <c r="L131" s="242"/>
      <c r="M131" s="242"/>
      <c r="N131" s="242"/>
      <c r="O131" s="242"/>
      <c r="P131" s="242"/>
      <c r="Q131" s="242"/>
      <c r="R131" s="242"/>
      <c r="S131" s="265" t="s">
        <v>1589</v>
      </c>
      <c r="T131" s="240" t="s">
        <v>1579</v>
      </c>
      <c r="U131" s="240" t="s">
        <v>1580</v>
      </c>
    </row>
    <row r="132" spans="1:21" ht="16.5" outlineLevel="1">
      <c r="A132" s="1607"/>
      <c r="B132" s="264" t="s">
        <v>1590</v>
      </c>
      <c r="C132" s="245" t="s">
        <v>2459</v>
      </c>
      <c r="D132" s="237">
        <f t="shared" si="12"/>
        <v>9.9000000000000057</v>
      </c>
      <c r="E132" s="237">
        <f>信息系统!K138</f>
        <v>9.9000000000000057</v>
      </c>
      <c r="F132" s="241"/>
      <c r="G132" s="239">
        <v>1</v>
      </c>
      <c r="H132" s="242" t="s">
        <v>1585</v>
      </c>
      <c r="I132" s="242"/>
      <c r="J132" s="242"/>
      <c r="K132" s="242"/>
      <c r="L132" s="242"/>
      <c r="M132" s="242"/>
      <c r="N132" s="242"/>
      <c r="O132" s="242"/>
      <c r="P132" s="242"/>
      <c r="Q132" s="242"/>
      <c r="R132" s="242"/>
      <c r="S132" s="240" t="s">
        <v>1579</v>
      </c>
      <c r="T132" s="240" t="s">
        <v>1580</v>
      </c>
      <c r="U132" s="240" t="s">
        <v>1581</v>
      </c>
    </row>
    <row r="133" spans="1:21" ht="16.5" outlineLevel="1">
      <c r="A133" s="1607"/>
      <c r="B133" s="264" t="s">
        <v>1591</v>
      </c>
      <c r="C133" s="246" t="s">
        <v>2459</v>
      </c>
      <c r="D133" s="237">
        <f t="shared" si="12"/>
        <v>4</v>
      </c>
      <c r="E133" s="237">
        <f>案件管理!J28</f>
        <v>4</v>
      </c>
      <c r="F133" s="241"/>
      <c r="G133" s="239">
        <v>1</v>
      </c>
      <c r="H133" s="242" t="s">
        <v>1585</v>
      </c>
      <c r="I133" s="242"/>
      <c r="J133" s="242"/>
      <c r="K133" s="242"/>
      <c r="L133" s="242"/>
      <c r="M133" s="242"/>
      <c r="N133" s="242"/>
      <c r="O133" s="242"/>
      <c r="P133" s="242"/>
      <c r="Q133" s="242"/>
      <c r="R133" s="242"/>
      <c r="S133" s="240" t="s">
        <v>1579</v>
      </c>
      <c r="T133" s="240" t="s">
        <v>1580</v>
      </c>
      <c r="U133" s="240" t="s">
        <v>1581</v>
      </c>
    </row>
    <row r="134" spans="1:21" ht="16.5" outlineLevel="1">
      <c r="A134" s="1608"/>
      <c r="B134" s="266" t="s">
        <v>1640</v>
      </c>
      <c r="C134" s="245" t="s">
        <v>2022</v>
      </c>
      <c r="D134" s="318">
        <f>(SUM(D125:D133)+D131)/9</f>
        <v>4.301307872342651</v>
      </c>
      <c r="E134" s="241"/>
      <c r="F134" s="241"/>
      <c r="G134" s="239">
        <v>1</v>
      </c>
      <c r="H134" s="242" t="s">
        <v>1585</v>
      </c>
      <c r="I134" s="242"/>
      <c r="J134" s="242"/>
      <c r="K134" s="242"/>
      <c r="L134" s="242"/>
      <c r="M134" s="242"/>
      <c r="N134" s="242"/>
      <c r="O134" s="242"/>
      <c r="P134" s="242"/>
      <c r="Q134" s="242"/>
      <c r="R134" s="242"/>
      <c r="S134" s="240" t="s">
        <v>1594</v>
      </c>
      <c r="T134" s="239">
        <v>0.5</v>
      </c>
      <c r="U134" s="239">
        <v>0.25</v>
      </c>
    </row>
    <row r="135" spans="1:21" ht="16.5" outlineLevel="1">
      <c r="A135" s="1602" t="s">
        <v>1595</v>
      </c>
      <c r="B135" s="1603"/>
      <c r="C135" s="245" t="s">
        <v>2022</v>
      </c>
      <c r="D135" s="237">
        <f>100-战略风险!G35</f>
        <v>6</v>
      </c>
      <c r="E135" s="241"/>
      <c r="F135" s="241"/>
      <c r="G135" s="239">
        <v>1</v>
      </c>
      <c r="H135" s="242" t="s">
        <v>1585</v>
      </c>
      <c r="I135" s="242"/>
      <c r="J135" s="242"/>
      <c r="K135" s="242"/>
      <c r="L135" s="242"/>
      <c r="M135" s="242"/>
      <c r="N135" s="242"/>
      <c r="O135" s="242"/>
      <c r="P135" s="242"/>
      <c r="Q135" s="242"/>
      <c r="R135" s="242"/>
      <c r="S135" s="239" t="s">
        <v>1585</v>
      </c>
      <c r="T135" s="239">
        <v>0.15</v>
      </c>
      <c r="U135" s="243">
        <v>7.4999999999999997E-2</v>
      </c>
    </row>
    <row r="136" spans="1:21" ht="16.5" outlineLevel="1">
      <c r="A136" s="1602" t="s">
        <v>1596</v>
      </c>
      <c r="B136" s="1603"/>
      <c r="C136" s="245" t="s">
        <v>2022</v>
      </c>
      <c r="D136" s="1391">
        <v>0</v>
      </c>
      <c r="E136" s="241"/>
      <c r="F136" s="241"/>
      <c r="G136" s="239">
        <v>1</v>
      </c>
      <c r="H136" s="239" t="s">
        <v>1585</v>
      </c>
      <c r="I136" s="239"/>
      <c r="J136" s="239"/>
      <c r="K136" s="239"/>
      <c r="L136" s="239"/>
      <c r="M136" s="239"/>
      <c r="N136" s="239"/>
      <c r="O136" s="239"/>
      <c r="P136" s="239"/>
      <c r="Q136" s="239"/>
      <c r="R136" s="239"/>
      <c r="S136" s="239" t="s">
        <v>1585</v>
      </c>
      <c r="T136" s="239">
        <v>0.1</v>
      </c>
      <c r="U136" s="239">
        <v>0.05</v>
      </c>
    </row>
    <row r="137" spans="1:21" ht="16.5" outlineLevel="1">
      <c r="A137" s="1602" t="s">
        <v>1597</v>
      </c>
      <c r="B137" s="1603"/>
      <c r="C137" s="563" t="s">
        <v>2022</v>
      </c>
      <c r="D137" s="237">
        <f>流动性风险!H40</f>
        <v>8.8888888888888857</v>
      </c>
      <c r="E137" s="241"/>
      <c r="F137" s="241"/>
      <c r="G137" s="239">
        <v>1</v>
      </c>
      <c r="H137" s="242" t="s">
        <v>1585</v>
      </c>
      <c r="I137" s="242"/>
      <c r="J137" s="242"/>
      <c r="K137" s="242"/>
      <c r="L137" s="242"/>
      <c r="M137" s="242"/>
      <c r="N137" s="242"/>
      <c r="O137" s="242"/>
      <c r="P137" s="242"/>
      <c r="Q137" s="242"/>
      <c r="R137" s="242"/>
      <c r="S137" s="239" t="s">
        <v>1585</v>
      </c>
      <c r="T137" s="239">
        <v>0.25</v>
      </c>
      <c r="U137" s="243">
        <v>0.125</v>
      </c>
    </row>
    <row r="138" spans="1:21" ht="16.5" outlineLevel="1">
      <c r="A138" s="1600" t="s">
        <v>2462</v>
      </c>
      <c r="B138" s="1600"/>
      <c r="C138" s="563" t="s">
        <v>2022</v>
      </c>
      <c r="D138" s="237">
        <f>D134*T134+D135*T135+D136*T136+D137*T137</f>
        <v>5.2728761583935473</v>
      </c>
      <c r="E138" s="241"/>
      <c r="F138" s="241"/>
      <c r="G138" s="239">
        <v>1</v>
      </c>
      <c r="H138" s="242" t="s">
        <v>1585</v>
      </c>
      <c r="I138" s="242"/>
      <c r="J138" s="242"/>
      <c r="K138" s="242"/>
      <c r="L138" s="242"/>
      <c r="M138" s="242"/>
      <c r="N138" s="242"/>
      <c r="O138" s="242"/>
      <c r="P138" s="242"/>
      <c r="Q138" s="242"/>
      <c r="R138" s="242"/>
      <c r="S138" s="239" t="s">
        <v>1585</v>
      </c>
      <c r="T138" s="239">
        <v>1</v>
      </c>
      <c r="U138" s="239">
        <v>0.5</v>
      </c>
    </row>
    <row r="139" spans="1:21" ht="16.5" outlineLevel="1">
      <c r="A139" s="1604" t="s">
        <v>2461</v>
      </c>
      <c r="B139" s="1604"/>
      <c r="C139" s="245" t="s">
        <v>1593</v>
      </c>
      <c r="D139" s="237">
        <v>0</v>
      </c>
      <c r="E139" s="241"/>
      <c r="F139" s="241"/>
      <c r="G139" s="239">
        <v>1</v>
      </c>
      <c r="H139" s="242" t="s">
        <v>1585</v>
      </c>
      <c r="I139" s="242"/>
      <c r="J139" s="242"/>
      <c r="K139" s="242"/>
      <c r="L139" s="242"/>
      <c r="M139" s="242"/>
      <c r="N139" s="242"/>
      <c r="O139" s="242"/>
      <c r="P139" s="242"/>
      <c r="Q139" s="242"/>
      <c r="R139" s="242"/>
      <c r="S139" s="239" t="s">
        <v>1585</v>
      </c>
      <c r="T139" s="242" t="s">
        <v>1585</v>
      </c>
      <c r="U139" s="239">
        <v>0.5</v>
      </c>
    </row>
    <row r="140" spans="1:21" ht="16.5" outlineLevel="1">
      <c r="A140" s="1600" t="s">
        <v>1598</v>
      </c>
      <c r="B140" s="1600"/>
      <c r="C140" s="245"/>
      <c r="D140" s="237">
        <f>D138*U138+D139*U139</f>
        <v>2.6364380791967736</v>
      </c>
      <c r="E140" s="241"/>
      <c r="F140" s="241"/>
      <c r="G140" s="242" t="s">
        <v>1585</v>
      </c>
      <c r="H140" s="242" t="s">
        <v>1585</v>
      </c>
      <c r="I140" s="242"/>
      <c r="J140" s="242"/>
      <c r="K140" s="242"/>
      <c r="L140" s="242"/>
      <c r="M140" s="242"/>
      <c r="N140" s="242"/>
      <c r="O140" s="242"/>
      <c r="P140" s="242"/>
      <c r="Q140" s="242"/>
      <c r="R140" s="242"/>
      <c r="S140" s="239" t="s">
        <v>1585</v>
      </c>
      <c r="T140" s="242" t="s">
        <v>1585</v>
      </c>
      <c r="U140" s="239">
        <v>1</v>
      </c>
    </row>
    <row r="143" spans="1:21">
      <c r="A143" s="1617" t="str">
        <f>A82</f>
        <v>行业无法确定</v>
      </c>
      <c r="B143" s="1617"/>
      <c r="C143" s="297">
        <f>D82</f>
        <v>3.2055555555555557</v>
      </c>
    </row>
    <row r="144" spans="1:21">
      <c r="A144" s="1617" t="str">
        <f>A102</f>
        <v>监管评分</v>
      </c>
      <c r="B144" s="1617"/>
      <c r="C144" s="297">
        <f>D102</f>
        <v>1.7472222222222222</v>
      </c>
    </row>
    <row r="145" spans="1:5">
      <c r="A145" s="1615" t="s">
        <v>1671</v>
      </c>
      <c r="B145" s="1616"/>
      <c r="C145" s="297">
        <f>D134*U134</f>
        <v>1.0753269680856627</v>
      </c>
    </row>
    <row r="146" spans="1:5">
      <c r="A146" s="1615" t="s">
        <v>1672</v>
      </c>
      <c r="B146" s="1616"/>
      <c r="C146" s="297">
        <f>D135*U135</f>
        <v>0.44999999999999996</v>
      </c>
    </row>
    <row r="147" spans="1:5">
      <c r="A147" s="1615" t="s">
        <v>1673</v>
      </c>
      <c r="B147" s="1616"/>
      <c r="C147" s="297">
        <f>D137*U137</f>
        <v>1.1111111111111107</v>
      </c>
      <c r="D147" s="298" t="s">
        <v>1674</v>
      </c>
      <c r="E147" s="297">
        <f>D136*U136</f>
        <v>0</v>
      </c>
    </row>
  </sheetData>
  <dataConsolidate/>
  <mergeCells count="122">
    <mergeCell ref="A145:B145"/>
    <mergeCell ref="A146:B146"/>
    <mergeCell ref="A147:B147"/>
    <mergeCell ref="A143:B143"/>
    <mergeCell ref="A144:B144"/>
    <mergeCell ref="F2:F3"/>
    <mergeCell ref="G2:G3"/>
    <mergeCell ref="G23:H23"/>
    <mergeCell ref="S23:S24"/>
    <mergeCell ref="C2:C3"/>
    <mergeCell ref="D2:D3"/>
    <mergeCell ref="E2:E3"/>
    <mergeCell ref="A4:A13"/>
    <mergeCell ref="A14:B14"/>
    <mergeCell ref="A15:B15"/>
    <mergeCell ref="A16:B16"/>
    <mergeCell ref="A17:B17"/>
    <mergeCell ref="O2:O3"/>
    <mergeCell ref="P2:P3"/>
    <mergeCell ref="A39:B39"/>
    <mergeCell ref="A40:B40"/>
    <mergeCell ref="A43:B44"/>
    <mergeCell ref="C43:C44"/>
    <mergeCell ref="D43:D44"/>
    <mergeCell ref="T23:T24"/>
    <mergeCell ref="U23:U24"/>
    <mergeCell ref="A23:B24"/>
    <mergeCell ref="C23:C24"/>
    <mergeCell ref="D23:D24"/>
    <mergeCell ref="E23:E24"/>
    <mergeCell ref="F23:F24"/>
    <mergeCell ref="A18:B18"/>
    <mergeCell ref="A19:B19"/>
    <mergeCell ref="A25:A34"/>
    <mergeCell ref="A35:B35"/>
    <mergeCell ref="A36:B36"/>
    <mergeCell ref="A37:B37"/>
    <mergeCell ref="A38:B38"/>
    <mergeCell ref="A57:B57"/>
    <mergeCell ref="A58:B58"/>
    <mergeCell ref="A59:B59"/>
    <mergeCell ref="A60:B60"/>
    <mergeCell ref="U43:U44"/>
    <mergeCell ref="A45:A54"/>
    <mergeCell ref="A55:B55"/>
    <mergeCell ref="A56:B56"/>
    <mergeCell ref="E43:E44"/>
    <mergeCell ref="F43:F44"/>
    <mergeCell ref="G43:H43"/>
    <mergeCell ref="S43:S44"/>
    <mergeCell ref="T43:T44"/>
    <mergeCell ref="A78:B78"/>
    <mergeCell ref="G63:H63"/>
    <mergeCell ref="S63:S64"/>
    <mergeCell ref="T63:T64"/>
    <mergeCell ref="U63:U64"/>
    <mergeCell ref="A63:B64"/>
    <mergeCell ref="C63:C64"/>
    <mergeCell ref="D63:D64"/>
    <mergeCell ref="E63:E64"/>
    <mergeCell ref="F63:F64"/>
    <mergeCell ref="U83:U84"/>
    <mergeCell ref="A85:A94"/>
    <mergeCell ref="A95:B95"/>
    <mergeCell ref="A96:B96"/>
    <mergeCell ref="E83:E84"/>
    <mergeCell ref="F83:F84"/>
    <mergeCell ref="G83:H83"/>
    <mergeCell ref="S83:S84"/>
    <mergeCell ref="T83:T84"/>
    <mergeCell ref="A83:B84"/>
    <mergeCell ref="C83:C84"/>
    <mergeCell ref="D83:D84"/>
    <mergeCell ref="A105:A114"/>
    <mergeCell ref="A115:B115"/>
    <mergeCell ref="A116:B116"/>
    <mergeCell ref="A117:B117"/>
    <mergeCell ref="F103:F104"/>
    <mergeCell ref="G103:H103"/>
    <mergeCell ref="S103:S104"/>
    <mergeCell ref="T103:T104"/>
    <mergeCell ref="U103:U104"/>
    <mergeCell ref="A103:B104"/>
    <mergeCell ref="C103:C104"/>
    <mergeCell ref="D103:D104"/>
    <mergeCell ref="E103:E104"/>
    <mergeCell ref="U123:U124"/>
    <mergeCell ref="A125:A134"/>
    <mergeCell ref="C123:C124"/>
    <mergeCell ref="D123:D124"/>
    <mergeCell ref="E123:E124"/>
    <mergeCell ref="F123:F124"/>
    <mergeCell ref="G123:H123"/>
    <mergeCell ref="A118:B118"/>
    <mergeCell ref="A119:B119"/>
    <mergeCell ref="A120:B120"/>
    <mergeCell ref="A122:B122"/>
    <mergeCell ref="A123:B124"/>
    <mergeCell ref="A140:B140"/>
    <mergeCell ref="A2:B3"/>
    <mergeCell ref="A135:B135"/>
    <mergeCell ref="A136:B136"/>
    <mergeCell ref="A137:B137"/>
    <mergeCell ref="A138:B138"/>
    <mergeCell ref="A139:B139"/>
    <mergeCell ref="S123:S124"/>
    <mergeCell ref="T123:T124"/>
    <mergeCell ref="A102:B102"/>
    <mergeCell ref="A97:B97"/>
    <mergeCell ref="A98:B98"/>
    <mergeCell ref="A99:B99"/>
    <mergeCell ref="A100:B100"/>
    <mergeCell ref="A22:B22"/>
    <mergeCell ref="A42:B42"/>
    <mergeCell ref="A62:B62"/>
    <mergeCell ref="A82:B82"/>
    <mergeCell ref="A79:B79"/>
    <mergeCell ref="A80:B80"/>
    <mergeCell ref="A65:A74"/>
    <mergeCell ref="A75:B75"/>
    <mergeCell ref="A76:B76"/>
    <mergeCell ref="A77:B77"/>
  </mergeCells>
  <phoneticPr fontId="3" type="noConversion"/>
  <conditionalFormatting sqref="E22">
    <cfRule type="expression" dxfId="237" priority="35">
      <formula>$E$22&lt;&gt;0</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sheetPr>
    <tabColor theme="6"/>
  </sheetPr>
  <dimension ref="A1:CK205"/>
  <sheetViews>
    <sheetView workbookViewId="0">
      <pane xSplit="18" ySplit="3" topLeftCell="S10" activePane="bottomRight" state="frozenSplit"/>
      <selection activeCell="C1" sqref="C1"/>
      <selection pane="topRight" activeCell="W1" sqref="W1"/>
      <selection pane="bottomLeft" activeCell="C3" sqref="C3"/>
      <selection pane="bottomRight" activeCell="AV99" sqref="AV99"/>
    </sheetView>
  </sheetViews>
  <sheetFormatPr defaultColWidth="8.875" defaultRowHeight="16.5" outlineLevelCol="3"/>
  <cols>
    <col min="1" max="1" width="34.25" style="1022" hidden="1" customWidth="1" outlineLevel="3"/>
    <col min="2" max="2" width="47.5" style="1150" hidden="1" customWidth="1" outlineLevel="1"/>
    <col min="3" max="3" width="4.125" style="1043" customWidth="1" collapsed="1"/>
    <col min="4" max="4" width="45" style="1044" customWidth="1"/>
    <col min="5" max="5" width="16" style="1114" hidden="1" customWidth="1" outlineLevel="1"/>
    <col min="6" max="6" width="17.25" style="1035" hidden="1" customWidth="1" outlineLevel="2"/>
    <col min="7" max="7" width="10.75" style="1035" hidden="1" customWidth="1" outlineLevel="2"/>
    <col min="8" max="8" width="10.75" style="1034" hidden="1" customWidth="1" outlineLevel="1"/>
    <col min="9" max="9" width="7.5" style="1022" customWidth="1" collapsed="1"/>
    <col min="10" max="10" width="12.75" style="1034" hidden="1" customWidth="1" outlineLevel="1"/>
    <col min="11" max="11" width="7.375" style="1018" hidden="1" customWidth="1" outlineLevel="1"/>
    <col min="12" max="12" width="11.75" style="1034" hidden="1" customWidth="1" outlineLevel="1"/>
    <col min="13" max="13" width="7.25" style="1018" hidden="1" customWidth="1" outlineLevel="1"/>
    <col min="14" max="14" width="6.625" style="1018" hidden="1" customWidth="1" outlineLevel="1"/>
    <col min="15" max="15" width="7.375" style="1014" hidden="1" customWidth="1" outlineLevel="1"/>
    <col min="16" max="16" width="5.25" style="1014" hidden="1" customWidth="1" outlineLevel="1"/>
    <col min="17" max="17" width="7.875" style="1014" hidden="1" customWidth="1" outlineLevel="1"/>
    <col min="18" max="18" width="8.875" style="1014" customWidth="1" collapsed="1"/>
    <col min="19" max="19" width="4" style="1014" customWidth="1"/>
    <col min="20" max="20" width="12.625" style="1034" hidden="1" customWidth="1" outlineLevel="2"/>
    <col min="21" max="21" width="10.375" style="1273" hidden="1" customWidth="1" outlineLevel="2"/>
    <col min="22" max="22" width="10.5" style="1034" customWidth="1" collapsed="1"/>
    <col min="23" max="23" width="7.75" style="1273" customWidth="1"/>
    <col min="24" max="24" width="9.25" style="908" customWidth="1"/>
    <col min="25" max="25" width="3.75" style="1036" customWidth="1"/>
    <col min="26" max="26" width="11.75" style="1037" hidden="1" customWidth="1" outlineLevel="2"/>
    <col min="27" max="27" width="10.5" style="1038" hidden="1" customWidth="1" outlineLevel="2"/>
    <col min="28" max="28" width="10.625" style="1037" customWidth="1" collapsed="1"/>
    <col min="29" max="29" width="7.625" style="1317" customWidth="1"/>
    <col min="30" max="30" width="9.75" style="1156" customWidth="1"/>
    <col min="31" max="31" width="4.125" style="1039" customWidth="1"/>
    <col min="32" max="32" width="10.875" style="1034" hidden="1" customWidth="1" outlineLevel="2"/>
    <col min="33" max="33" width="10.75" style="1035" hidden="1" customWidth="1" outlineLevel="2"/>
    <col min="34" max="34" width="11" style="1034" customWidth="1" collapsed="1"/>
    <col min="35" max="35" width="7.625" style="1323" customWidth="1"/>
    <col min="36" max="36" width="10.125" style="908" customWidth="1"/>
    <col min="37" max="37" width="4.25" style="1036" customWidth="1"/>
    <col min="38" max="38" width="13.125" style="1037" hidden="1" customWidth="1" outlineLevel="2"/>
    <col min="39" max="39" width="8.25" style="1038" hidden="1" customWidth="1" outlineLevel="2"/>
    <col min="40" max="40" width="11.125" style="1037" customWidth="1" collapsed="1"/>
    <col min="41" max="41" width="7.5" style="1317" customWidth="1"/>
    <col min="42" max="42" width="11.875" style="1156" customWidth="1"/>
    <col min="43" max="43" width="4.625" style="1039" customWidth="1"/>
    <col min="44" max="44" width="14.25" style="1034" hidden="1" customWidth="1" outlineLevel="2"/>
    <col min="45" max="45" width="8.875" style="1035" hidden="1" customWidth="1" outlineLevel="2"/>
    <col min="46" max="46" width="13.625" style="1034" customWidth="1" collapsed="1"/>
    <col min="47" max="47" width="7.25" style="1323" customWidth="1"/>
    <col min="48" max="48" width="10.5" style="908" customWidth="1"/>
    <col min="49" max="49" width="4.125" style="1036" customWidth="1"/>
    <col min="50" max="50" width="12.75" style="1037" hidden="1" customWidth="1" outlineLevel="2"/>
    <col min="51" max="51" width="7.875" style="1038" hidden="1" customWidth="1" outlineLevel="2"/>
    <col min="52" max="52" width="13.25" style="1037" customWidth="1" collapsed="1"/>
    <col min="53" max="53" width="7.875" style="1317" customWidth="1"/>
    <col min="54" max="54" width="11.5" style="1156" customWidth="1"/>
    <col min="55" max="55" width="4.25" style="1039" customWidth="1"/>
    <col min="56" max="56" width="13.125" style="1014" hidden="1" customWidth="1" outlineLevel="2"/>
    <col min="57" max="57" width="8.25" style="1035" hidden="1" customWidth="1" outlineLevel="2"/>
    <col min="58" max="58" width="12.875" style="1034" customWidth="1" collapsed="1"/>
    <col min="59" max="59" width="8.25" style="1323" customWidth="1"/>
    <col min="60" max="60" width="11.375" style="908" customWidth="1"/>
    <col min="61" max="61" width="4.375" style="1036" customWidth="1"/>
    <col min="62" max="62" width="12.125" style="1040" hidden="1" customWidth="1" outlineLevel="2"/>
    <col min="63" max="63" width="7.75" style="1038" hidden="1" customWidth="1" outlineLevel="2"/>
    <col min="64" max="64" width="13.25" style="1037" customWidth="1" collapsed="1"/>
    <col min="65" max="65" width="6.875" style="1317" customWidth="1"/>
    <col min="66" max="66" width="10.25" style="1156" customWidth="1"/>
    <col min="67" max="67" width="4.375" style="1039" customWidth="1"/>
    <col min="68" max="68" width="9.375" style="1014" hidden="1" customWidth="1" outlineLevel="2"/>
    <col min="69" max="69" width="12.125" style="1035" hidden="1" customWidth="1" outlineLevel="2"/>
    <col min="70" max="70" width="11.375" style="1014" customWidth="1" collapsed="1"/>
    <col min="71" max="71" width="8.125" style="1323" customWidth="1"/>
    <col min="72" max="72" width="9.25" style="908" customWidth="1"/>
    <col min="73" max="73" width="4.625" style="1036" customWidth="1"/>
    <col min="74" max="74" width="11.125" style="1040" hidden="1" customWidth="1" outlineLevel="2"/>
    <col min="75" max="75" width="8" style="1038" hidden="1" customWidth="1" outlineLevel="2"/>
    <col min="76" max="76" width="12.125" style="1040" customWidth="1" collapsed="1"/>
    <col min="77" max="77" width="7.375" style="1317" customWidth="1"/>
    <col min="78" max="78" width="10.125" style="1156" customWidth="1"/>
    <col min="79" max="79" width="9" style="1040" customWidth="1"/>
    <col min="80" max="80" width="8.5" style="1151" bestFit="1" customWidth="1"/>
    <col min="81" max="89" width="8.875" style="1014"/>
    <col min="90" max="16384" width="8.875" style="944"/>
  </cols>
  <sheetData>
    <row r="1" spans="1:89">
      <c r="A1" s="1027"/>
      <c r="B1" s="1028"/>
      <c r="C1" s="1029" t="s">
        <v>1084</v>
      </c>
      <c r="D1" s="1030"/>
      <c r="E1" s="1031"/>
      <c r="F1" s="950"/>
      <c r="G1" s="950"/>
      <c r="H1" s="1032"/>
      <c r="I1" s="950"/>
      <c r="J1" s="1032"/>
      <c r="K1" s="946"/>
      <c r="L1" s="1032"/>
      <c r="M1" s="946" t="s">
        <v>1656</v>
      </c>
      <c r="N1" s="946"/>
      <c r="O1" s="1033"/>
      <c r="P1" s="1033"/>
      <c r="Q1" s="1033"/>
      <c r="R1" s="1033"/>
      <c r="S1" s="1033"/>
      <c r="CB1" s="1041"/>
    </row>
    <row r="2" spans="1:89" ht="21.75" customHeight="1">
      <c r="A2" s="1042"/>
      <c r="B2" s="1028"/>
      <c r="E2" s="1031"/>
      <c r="F2" s="950"/>
      <c r="G2" s="950"/>
      <c r="H2" s="1032"/>
      <c r="J2" s="1659" t="s">
        <v>1562</v>
      </c>
      <c r="K2" s="1665"/>
      <c r="L2" s="1665"/>
      <c r="M2" s="1665"/>
      <c r="N2" s="1665"/>
      <c r="O2" s="1665"/>
      <c r="P2" s="1045"/>
      <c r="Q2" s="1046"/>
      <c r="R2" s="1046"/>
      <c r="S2" s="1047"/>
      <c r="T2" s="1631" t="s">
        <v>2131</v>
      </c>
      <c r="U2" s="1632"/>
      <c r="V2" s="1632"/>
      <c r="W2" s="1632"/>
      <c r="X2" s="1633"/>
      <c r="Y2" s="1048"/>
      <c r="Z2" s="1631" t="s">
        <v>1086</v>
      </c>
      <c r="AA2" s="1632"/>
      <c r="AB2" s="1632"/>
      <c r="AC2" s="1632"/>
      <c r="AD2" s="1633"/>
      <c r="AE2" s="1048"/>
      <c r="AF2" s="1659" t="s">
        <v>1087</v>
      </c>
      <c r="AG2" s="1660"/>
      <c r="AH2" s="1660"/>
      <c r="AI2" s="1660"/>
      <c r="AJ2" s="1661"/>
      <c r="AK2" s="1048"/>
      <c r="AL2" s="1631" t="s">
        <v>1088</v>
      </c>
      <c r="AM2" s="1632"/>
      <c r="AN2" s="1632"/>
      <c r="AO2" s="1632"/>
      <c r="AP2" s="1633"/>
      <c r="AQ2" s="1048"/>
      <c r="AR2" s="1631" t="s">
        <v>1089</v>
      </c>
      <c r="AS2" s="1632"/>
      <c r="AT2" s="1632"/>
      <c r="AU2" s="1632"/>
      <c r="AV2" s="1633"/>
      <c r="AW2" s="1048"/>
      <c r="AX2" s="1631" t="s">
        <v>1090</v>
      </c>
      <c r="AY2" s="1632"/>
      <c r="AZ2" s="1632"/>
      <c r="BA2" s="1632"/>
      <c r="BB2" s="1633"/>
      <c r="BC2" s="1048"/>
      <c r="BD2" s="1631" t="s">
        <v>1091</v>
      </c>
      <c r="BE2" s="1632"/>
      <c r="BF2" s="1632"/>
      <c r="BG2" s="1632"/>
      <c r="BH2" s="1633"/>
      <c r="BI2" s="1048"/>
      <c r="BJ2" s="1631" t="s">
        <v>1092</v>
      </c>
      <c r="BK2" s="1632"/>
      <c r="BL2" s="1632"/>
      <c r="BM2" s="1632"/>
      <c r="BN2" s="1633"/>
      <c r="BO2" s="1048"/>
      <c r="BP2" s="1631" t="s">
        <v>1093</v>
      </c>
      <c r="BQ2" s="1632"/>
      <c r="BR2" s="1632"/>
      <c r="BS2" s="1632"/>
      <c r="BT2" s="1633"/>
      <c r="BU2" s="1048"/>
      <c r="BV2" s="1631" t="s">
        <v>1684</v>
      </c>
      <c r="BW2" s="1632"/>
      <c r="BX2" s="1632"/>
      <c r="BY2" s="1632"/>
      <c r="BZ2" s="1633"/>
      <c r="CB2" s="1041"/>
    </row>
    <row r="3" spans="1:89" s="1056" customFormat="1" ht="28.5" customHeight="1">
      <c r="A3" s="951" t="s">
        <v>1097</v>
      </c>
      <c r="B3" s="1045" t="s">
        <v>1098</v>
      </c>
      <c r="C3" s="951" t="s">
        <v>1095</v>
      </c>
      <c r="D3" s="1045" t="s">
        <v>1096</v>
      </c>
      <c r="E3" s="1045" t="s">
        <v>1485</v>
      </c>
      <c r="F3" s="1045" t="s">
        <v>1488</v>
      </c>
      <c r="G3" s="1045" t="s">
        <v>1487</v>
      </c>
      <c r="H3" s="1045" t="s">
        <v>1486</v>
      </c>
      <c r="I3" s="1045" t="s">
        <v>1489</v>
      </c>
      <c r="J3" s="951" t="s">
        <v>1421</v>
      </c>
      <c r="K3" s="1049" t="s">
        <v>2156</v>
      </c>
      <c r="L3" s="1499" t="s">
        <v>2255</v>
      </c>
      <c r="M3" s="1049" t="s">
        <v>2256</v>
      </c>
      <c r="N3" s="1412" t="s">
        <v>1563</v>
      </c>
      <c r="O3" s="1050" t="s">
        <v>458</v>
      </c>
      <c r="P3" s="951" t="s">
        <v>1599</v>
      </c>
      <c r="Q3" s="1051" t="s">
        <v>1600</v>
      </c>
      <c r="R3" s="1051" t="s">
        <v>2466</v>
      </c>
      <c r="S3" s="1052"/>
      <c r="T3" s="1053" t="str">
        <f>J3</f>
        <v>Q1</v>
      </c>
      <c r="U3" s="1274" t="str">
        <f>K3</f>
        <v>Q1得分</v>
      </c>
      <c r="V3" s="1054" t="str">
        <f>L3</f>
        <v>Q2</v>
      </c>
      <c r="W3" s="1274" t="str">
        <f>M3</f>
        <v>Q2得分</v>
      </c>
      <c r="X3" s="909" t="s">
        <v>1100</v>
      </c>
      <c r="Y3" s="1045"/>
      <c r="Z3" s="1045" t="str">
        <f>T3</f>
        <v>Q1</v>
      </c>
      <c r="AA3" s="1045" t="str">
        <f>U3</f>
        <v>Q1得分</v>
      </c>
      <c r="AB3" s="1054" t="str">
        <f>V3</f>
        <v>Q2</v>
      </c>
      <c r="AC3" s="1318" t="str">
        <f>W3</f>
        <v>Q2得分</v>
      </c>
      <c r="AD3" s="909" t="s">
        <v>1100</v>
      </c>
      <c r="AE3" s="1045"/>
      <c r="AF3" s="1045" t="str">
        <f>Z3</f>
        <v>Q1</v>
      </c>
      <c r="AG3" s="1045" t="str">
        <f>AA3</f>
        <v>Q1得分</v>
      </c>
      <c r="AH3" s="1054" t="str">
        <f>AB3</f>
        <v>Q2</v>
      </c>
      <c r="AI3" s="1318" t="str">
        <f>AC3</f>
        <v>Q2得分</v>
      </c>
      <c r="AJ3" s="909" t="s">
        <v>1100</v>
      </c>
      <c r="AK3" s="1045"/>
      <c r="AL3" s="1045" t="str">
        <f>AF3</f>
        <v>Q1</v>
      </c>
      <c r="AM3" s="1045" t="str">
        <f>AG3</f>
        <v>Q1得分</v>
      </c>
      <c r="AN3" s="1054" t="str">
        <f>AH3</f>
        <v>Q2</v>
      </c>
      <c r="AO3" s="1318" t="str">
        <f>AI3</f>
        <v>Q2得分</v>
      </c>
      <c r="AP3" s="909" t="s">
        <v>1100</v>
      </c>
      <c r="AQ3" s="1045"/>
      <c r="AR3" s="1045" t="str">
        <f>AL3</f>
        <v>Q1</v>
      </c>
      <c r="AS3" s="1045" t="str">
        <f>AM3</f>
        <v>Q1得分</v>
      </c>
      <c r="AT3" s="1054" t="str">
        <f>AN3</f>
        <v>Q2</v>
      </c>
      <c r="AU3" s="1318" t="str">
        <f>AO3</f>
        <v>Q2得分</v>
      </c>
      <c r="AV3" s="909" t="str">
        <f>AP3</f>
        <v>数据校验</v>
      </c>
      <c r="AW3" s="1045"/>
      <c r="AX3" s="1045" t="str">
        <f>AR3</f>
        <v>Q1</v>
      </c>
      <c r="AY3" s="1045" t="str">
        <f>AS3</f>
        <v>Q1得分</v>
      </c>
      <c r="AZ3" s="1054" t="str">
        <f>AT3</f>
        <v>Q2</v>
      </c>
      <c r="BA3" s="1318" t="str">
        <f>AU3</f>
        <v>Q2得分</v>
      </c>
      <c r="BB3" s="909" t="str">
        <f>AV3</f>
        <v>数据校验</v>
      </c>
      <c r="BC3" s="1045"/>
      <c r="BD3" s="1045" t="str">
        <f>AX3</f>
        <v>Q1</v>
      </c>
      <c r="BE3" s="1045" t="str">
        <f>AY3</f>
        <v>Q1得分</v>
      </c>
      <c r="BF3" s="1054" t="str">
        <f>AZ3</f>
        <v>Q2</v>
      </c>
      <c r="BG3" s="1318" t="str">
        <f>BA3</f>
        <v>Q2得分</v>
      </c>
      <c r="BH3" s="909" t="s">
        <v>1100</v>
      </c>
      <c r="BI3" s="1045"/>
      <c r="BJ3" s="1045" t="str">
        <f>BD3</f>
        <v>Q1</v>
      </c>
      <c r="BK3" s="1045" t="str">
        <f>BE3</f>
        <v>Q1得分</v>
      </c>
      <c r="BL3" s="1054" t="str">
        <f>BF3</f>
        <v>Q2</v>
      </c>
      <c r="BM3" s="1318" t="str">
        <f>BG3</f>
        <v>Q2得分</v>
      </c>
      <c r="BN3" s="909" t="s">
        <v>1100</v>
      </c>
      <c r="BO3" s="1045"/>
      <c r="BP3" s="1045" t="str">
        <f>BJ3</f>
        <v>Q1</v>
      </c>
      <c r="BQ3" s="1045" t="str">
        <f>BK3</f>
        <v>Q1得分</v>
      </c>
      <c r="BR3" s="1054" t="str">
        <f>BL3</f>
        <v>Q2</v>
      </c>
      <c r="BS3" s="1318" t="str">
        <f>BM3</f>
        <v>Q2得分</v>
      </c>
      <c r="BT3" s="909" t="str">
        <f>BN3</f>
        <v>数据校验</v>
      </c>
      <c r="BU3" s="1045"/>
      <c r="BV3" s="1045" t="str">
        <f>BP3</f>
        <v>Q1</v>
      </c>
      <c r="BW3" s="1045" t="str">
        <f>BQ3</f>
        <v>Q1得分</v>
      </c>
      <c r="BX3" s="1054" t="str">
        <f>BR3</f>
        <v>Q2</v>
      </c>
      <c r="BY3" s="1318" t="str">
        <f>BS3</f>
        <v>Q2得分</v>
      </c>
      <c r="BZ3" s="909" t="s">
        <v>1100</v>
      </c>
      <c r="CA3" s="1055"/>
    </row>
    <row r="4" spans="1:89" s="957" customFormat="1" ht="14.25">
      <c r="A4" s="1652" t="s">
        <v>2117</v>
      </c>
      <c r="B4" s="1651" t="s">
        <v>1474</v>
      </c>
      <c r="C4" s="970">
        <v>1</v>
      </c>
      <c r="D4" s="1104" t="s">
        <v>1103</v>
      </c>
      <c r="E4" s="1058"/>
      <c r="F4" s="1059"/>
      <c r="G4" s="1059" t="s">
        <v>402</v>
      </c>
      <c r="H4" s="1060" t="s">
        <v>230</v>
      </c>
      <c r="I4" s="1061">
        <v>3</v>
      </c>
      <c r="J4" s="1304">
        <f>AVERAGE(BV4,BP4,BJ4,BD4,AX4,AR4,AL4,AF4,Z4,T4)</f>
        <v>0.15550366300366297</v>
      </c>
      <c r="K4" s="1402">
        <f>AVERAGE(BW4,BQ4,BK4,BE4,AY4,AS4,AM4,AG4,AA4,U4)</f>
        <v>2.5499999999999998</v>
      </c>
      <c r="L4" s="1304">
        <f>AVERAGE(BX4,BR4,BL4,BF4,AZ4,AT4,AN4,AH4,AB4,V4)</f>
        <v>0.1226190476190476</v>
      </c>
      <c r="M4" s="1402">
        <f>AVERAGE(BY4,BS4,BM4,BG4,BA4,AU4,AO4,AI4,AC4,W4)</f>
        <v>2.85</v>
      </c>
      <c r="N4" s="1413">
        <f>M4-K4</f>
        <v>0.30000000000000027</v>
      </c>
      <c r="O4" s="1350">
        <f t="shared" ref="O4:O35" si="0">I4-M4</f>
        <v>0.14999999999999991</v>
      </c>
      <c r="P4" s="1350">
        <f>O4*0.7</f>
        <v>0.10499999999999993</v>
      </c>
      <c r="Q4" s="1350">
        <f>P4/9</f>
        <v>1.1666666666666659E-2</v>
      </c>
      <c r="R4" s="1350">
        <f>Q4/2</f>
        <v>5.8333333333333293E-3</v>
      </c>
      <c r="S4" s="1063"/>
      <c r="T4" s="1272">
        <v>0</v>
      </c>
      <c r="U4" s="1275">
        <f>IF(T4&lt;=0.3,3,IF(T4&lt;=0.5,1.5,0))</f>
        <v>3</v>
      </c>
      <c r="V4" s="1272">
        <f>IF(SUM(V5:V6)=0,"",V5/SUM(V5:V6))</f>
        <v>0</v>
      </c>
      <c r="W4" s="1275">
        <f>IF(V4&lt;=0.3,3,IF(V4&lt;=0.5,1.5,0))</f>
        <v>3</v>
      </c>
      <c r="X4" s="160">
        <f t="shared" ref="X4:X67" si="1">IF(AND(T4=0,V4&lt;&gt;0),1,IF(AND(T4=0,V4=0),0,V4/T4-1))</f>
        <v>0</v>
      </c>
      <c r="Y4" s="1063"/>
      <c r="Z4" s="1272">
        <v>0.33333333333333331</v>
      </c>
      <c r="AA4" s="1059">
        <f>IF(Z4&lt;=0.3,3,IF(Z4&lt;=0.5,1.5,0))</f>
        <v>1.5</v>
      </c>
      <c r="AB4" s="1272">
        <f>IF(SUM(AB5:AB6)=0,"",AB5/SUM(AB5:AB6))</f>
        <v>0</v>
      </c>
      <c r="AC4" s="1306">
        <f>IF(AB4&lt;=0.3,3,IF(AB4&lt;=0.5,1.5,0))</f>
        <v>3</v>
      </c>
      <c r="AD4" s="160">
        <f t="shared" ref="AD4:AD67" si="2">IF(AND(Z4=0,AB4&lt;&gt;0),1,IF(AND(Z4=0,AB4=0),0,AB4/Z4-1))</f>
        <v>-1</v>
      </c>
      <c r="AE4" s="1063"/>
      <c r="AF4" s="1272">
        <v>0</v>
      </c>
      <c r="AG4" s="1059">
        <f>IF(AF4&lt;=0.3,3,IF(AF4&lt;=0.5,1.5,0))</f>
        <v>3</v>
      </c>
      <c r="AH4" s="1272">
        <f>IF(SUM(AH5:AH6)=0,"",AH5/SUM(AH5:AH6))</f>
        <v>0</v>
      </c>
      <c r="AI4" s="1306">
        <f>IF(AH4&lt;=0.3,3,IF(AH4&lt;=0.5,1.5,0))</f>
        <v>3</v>
      </c>
      <c r="AJ4" s="160">
        <f t="shared" ref="AJ4:AJ67" si="3">IF(AND(AF4=0,AH4&lt;&gt;0),1,IF(AND(AF4=0,AH4=0),0,AH4/AF4-1))</f>
        <v>0</v>
      </c>
      <c r="AK4" s="1063"/>
      <c r="AL4" s="1272">
        <v>0</v>
      </c>
      <c r="AM4" s="1059">
        <f>IF(AL4&lt;=0.3,3,IF(AL4&lt;=0.5,1.5,0))</f>
        <v>3</v>
      </c>
      <c r="AN4" s="1272">
        <f>IF(SUM(AN5:AN6)=0,"",AN5/SUM(AN5:AN6))</f>
        <v>0</v>
      </c>
      <c r="AO4" s="1306">
        <f>IF(AN4&lt;=0.3,3,IF(AN4&lt;=0.5,1.5,0))</f>
        <v>3</v>
      </c>
      <c r="AP4" s="160">
        <f t="shared" ref="AP4:AP67" si="4">IF(AND(AL4=0,AN4&lt;&gt;0),1,IF(AND(AL4=0,AN4=0),0,AN4/AL4-1))</f>
        <v>0</v>
      </c>
      <c r="AQ4" s="1063"/>
      <c r="AR4" s="1272">
        <v>0.125</v>
      </c>
      <c r="AS4" s="1059">
        <f>IF(AR4&lt;=0.3,3,IF(AR4&lt;=0.5,1.5,0))</f>
        <v>3</v>
      </c>
      <c r="AT4" s="1272">
        <f>IF(SUM(AT5:AT6)=0,"",AT5/SUM(AT5:AT6))</f>
        <v>0.2</v>
      </c>
      <c r="AU4" s="1306">
        <f>IF(AT4&lt;=0.3,3,IF(AT4&lt;=0.5,1.5,0))</f>
        <v>3</v>
      </c>
      <c r="AV4" s="160">
        <f t="shared" ref="AV4:AV67" si="5">IF(AND(AR4=0,AT4&lt;&gt;0),1,IF(AND(AR4=0,AT4=0),0,AT4/AR4-1))</f>
        <v>0.60000000000000009</v>
      </c>
      <c r="AW4" s="1063"/>
      <c r="AX4" s="1272">
        <v>0.13333333333333333</v>
      </c>
      <c r="AY4" s="1059">
        <f>IF(AX4&lt;=0.3,3,IF(AX4&lt;=0.5,1.5,0))</f>
        <v>3</v>
      </c>
      <c r="AZ4" s="1272">
        <f>IF(SUM(AZ5:AZ6)=0,"",AZ5/SUM(AZ5:AZ6))</f>
        <v>0.13333333333333333</v>
      </c>
      <c r="BA4" s="1306">
        <f>IF(AZ4&lt;=0.3,3,IF(AZ4&lt;=0.5,1.5,0))</f>
        <v>3</v>
      </c>
      <c r="BB4" s="160">
        <f t="shared" ref="BB4:BB67" si="6">IF(AND(AX4=0,AZ4&lt;&gt;0),1,IF(AND(AX4=0,AZ4=0),0,AZ4/AX4-1))</f>
        <v>0</v>
      </c>
      <c r="BC4" s="1063"/>
      <c r="BD4" s="1299">
        <v>0.66666666666666663</v>
      </c>
      <c r="BE4" s="1059">
        <f>IF(BD4&lt;=0.3,3,IF(BD4&lt;=0.5,1.5,0))</f>
        <v>0</v>
      </c>
      <c r="BF4" s="1299">
        <f>IF(SUM(BF5:BF6)=0,"",BF5/SUM(BF5:BF6))</f>
        <v>0.33333333333333331</v>
      </c>
      <c r="BG4" s="1306">
        <f>IF(BF4&lt;=0.3,3,IF(BF4&lt;=0.5,1.5,0))</f>
        <v>1.5</v>
      </c>
      <c r="BH4" s="160">
        <f t="shared" ref="BH4:BH67" si="7">IF(AND(BD4=0,BF4&lt;&gt;0),1,IF(AND(BD4=0,BF4=0),0,BF4/BD4-1))</f>
        <v>-0.5</v>
      </c>
      <c r="BI4" s="1063"/>
      <c r="BJ4" s="1272">
        <v>0.15384615384615385</v>
      </c>
      <c r="BK4" s="1059">
        <f>IF(BJ4&lt;=0.3,3,IF(BJ4&lt;=0.5,1.5,0))</f>
        <v>3</v>
      </c>
      <c r="BL4" s="1272">
        <f>IF(SUM(BL5:BL6)=0,"",BL5/SUM(BL5:BL6))</f>
        <v>0.25</v>
      </c>
      <c r="BM4" s="1306">
        <f>IF(BL4&lt;=0.3,3,IF(BL4&lt;=0.5,1.5,0))</f>
        <v>3</v>
      </c>
      <c r="BN4" s="160">
        <f t="shared" ref="BN4:BN67" si="8">IF(AND(BJ4=0,BL4&lt;&gt;0),1,IF(AND(BJ4=0,BL4=0),0,BL4/BJ4-1))</f>
        <v>0.625</v>
      </c>
      <c r="BO4" s="1063"/>
      <c r="BP4" s="1272">
        <v>0</v>
      </c>
      <c r="BQ4" s="1059">
        <f>IF(BP4&lt;=0.3,3,IF(BP4&lt;=0.5,1.5,0))</f>
        <v>3</v>
      </c>
      <c r="BR4" s="1272">
        <f>IF(SUM(BR5:BR6)=0,"",BR5/SUM(BR5:BR6))</f>
        <v>0.16666666666666666</v>
      </c>
      <c r="BS4" s="1306">
        <f>IF(BR4&lt;=0.3,3,IF(BR4&lt;=0.5,1.5,0))</f>
        <v>3</v>
      </c>
      <c r="BT4" s="160">
        <f t="shared" ref="BT4:BT67" si="9">IF(AND(BP4=0,BR4&lt;&gt;0),1,IF(AND(BP4=0,BR4=0),0,BR4/BP4-1))</f>
        <v>1</v>
      </c>
      <c r="BU4" s="1063"/>
      <c r="BV4" s="1272">
        <v>0.14285714285714285</v>
      </c>
      <c r="BW4" s="1059">
        <f>IF(BV4&lt;=0.3,3,IF(BV4&lt;=0.5,1.5,0))</f>
        <v>3</v>
      </c>
      <c r="BX4" s="1272">
        <f>IF(SUM(BX5:BX6)=0,"",BX5/SUM(BX5:BX6))</f>
        <v>0.14285714285714285</v>
      </c>
      <c r="BY4" s="1306">
        <f>IF(BX4&lt;=0.3,3,IF(BX4&lt;=0.5,1.5,0))</f>
        <v>3</v>
      </c>
      <c r="BZ4" s="160">
        <f t="shared" ref="BZ4:BZ67" si="10">IF(AND(BV4=0,BX4&lt;&gt;0),1,IF(AND(BV4=0,BX4=0),0,BX4/BV4-1))</f>
        <v>0</v>
      </c>
      <c r="CA4" s="1039"/>
      <c r="CC4" s="1036"/>
      <c r="CD4" s="1036"/>
      <c r="CE4" s="1036"/>
      <c r="CF4" s="1036"/>
      <c r="CG4" s="1036"/>
      <c r="CH4" s="1036"/>
      <c r="CI4" s="1036"/>
      <c r="CJ4" s="1036"/>
      <c r="CK4" s="1036"/>
    </row>
    <row r="5" spans="1:89" s="957" customFormat="1" ht="28.5">
      <c r="A5" s="1653"/>
      <c r="B5" s="1650"/>
      <c r="C5" s="984">
        <v>1.1000000000000001</v>
      </c>
      <c r="D5" s="1065" t="s">
        <v>2012</v>
      </c>
      <c r="E5" s="1066" t="s">
        <v>1104</v>
      </c>
      <c r="F5" s="1064" t="s">
        <v>1105</v>
      </c>
      <c r="G5" s="1067"/>
      <c r="H5" s="1068"/>
      <c r="I5" s="1059"/>
      <c r="J5" s="1062">
        <f t="shared" ref="J5:J14" si="11">AVERAGE(BV5,BP5,BJ5,BD5,AX5,AR5,AL5,AF5,Z5,T5)</f>
        <v>0.9</v>
      </c>
      <c r="K5" s="1403"/>
      <c r="L5" s="1062">
        <f t="shared" ref="L5:L14" si="12">AVERAGE(BX5,BR5,BL5,BF5,AZ5,AT5,AN5,AH5,AB5,V5)</f>
        <v>1</v>
      </c>
      <c r="M5" s="1403"/>
      <c r="N5" s="1403">
        <f t="shared" ref="N5:N68" si="13">M5-K5</f>
        <v>0</v>
      </c>
      <c r="O5" s="1350">
        <f t="shared" si="0"/>
        <v>0</v>
      </c>
      <c r="P5" s="1350">
        <f t="shared" ref="P5:P68" si="14">O5*0.7</f>
        <v>0</v>
      </c>
      <c r="Q5" s="1350">
        <f t="shared" ref="Q5:Q68" si="15">P5/9</f>
        <v>0</v>
      </c>
      <c r="R5" s="1350">
        <f t="shared" ref="R5:R68" si="16">Q5/2</f>
        <v>0</v>
      </c>
      <c r="S5" s="1063"/>
      <c r="T5" s="1060">
        <v>0</v>
      </c>
      <c r="U5" s="1275"/>
      <c r="V5" s="1060">
        <v>0</v>
      </c>
      <c r="W5" s="1275"/>
      <c r="X5" s="160">
        <f t="shared" si="1"/>
        <v>0</v>
      </c>
      <c r="Y5" s="1063"/>
      <c r="Z5" s="1060">
        <v>1</v>
      </c>
      <c r="AA5" s="1059"/>
      <c r="AB5" s="1060">
        <v>0</v>
      </c>
      <c r="AC5" s="1306"/>
      <c r="AD5" s="160">
        <f t="shared" si="2"/>
        <v>-1</v>
      </c>
      <c r="AE5" s="1063"/>
      <c r="AF5" s="1060">
        <v>0</v>
      </c>
      <c r="AG5" s="1059"/>
      <c r="AH5" s="1060">
        <v>0</v>
      </c>
      <c r="AI5" s="1306"/>
      <c r="AJ5" s="160">
        <f t="shared" si="3"/>
        <v>0</v>
      </c>
      <c r="AK5" s="1063"/>
      <c r="AL5" s="1060">
        <v>0</v>
      </c>
      <c r="AM5" s="1059"/>
      <c r="AN5" s="1060">
        <v>0</v>
      </c>
      <c r="AO5" s="1306"/>
      <c r="AP5" s="160">
        <f t="shared" si="4"/>
        <v>0</v>
      </c>
      <c r="AQ5" s="1063"/>
      <c r="AR5" s="1060">
        <v>1</v>
      </c>
      <c r="AS5" s="1059"/>
      <c r="AT5" s="1060">
        <v>2</v>
      </c>
      <c r="AU5" s="1306"/>
      <c r="AV5" s="160">
        <f t="shared" si="5"/>
        <v>1</v>
      </c>
      <c r="AW5" s="1063"/>
      <c r="AX5" s="1060">
        <v>2</v>
      </c>
      <c r="AY5" s="1059"/>
      <c r="AZ5" s="1060">
        <v>2</v>
      </c>
      <c r="BA5" s="1306"/>
      <c r="BB5" s="160">
        <f t="shared" si="6"/>
        <v>0</v>
      </c>
      <c r="BC5" s="1063"/>
      <c r="BD5" s="1060">
        <v>2</v>
      </c>
      <c r="BE5" s="1059"/>
      <c r="BF5" s="1060">
        <v>1</v>
      </c>
      <c r="BG5" s="1306"/>
      <c r="BH5" s="160">
        <f t="shared" si="7"/>
        <v>-0.5</v>
      </c>
      <c r="BI5" s="1063"/>
      <c r="BJ5" s="1060">
        <v>2</v>
      </c>
      <c r="BK5" s="1059"/>
      <c r="BL5" s="1060">
        <v>3</v>
      </c>
      <c r="BM5" s="1306"/>
      <c r="BN5" s="160">
        <f t="shared" si="8"/>
        <v>0.5</v>
      </c>
      <c r="BO5" s="1063"/>
      <c r="BP5" s="1060">
        <v>0</v>
      </c>
      <c r="BQ5" s="1059"/>
      <c r="BR5" s="1060">
        <v>1</v>
      </c>
      <c r="BS5" s="1306"/>
      <c r="BT5" s="160">
        <f t="shared" si="9"/>
        <v>1</v>
      </c>
      <c r="BU5" s="1063"/>
      <c r="BV5" s="1060">
        <v>1</v>
      </c>
      <c r="BW5" s="1059"/>
      <c r="BX5" s="1060">
        <v>1</v>
      </c>
      <c r="BY5" s="1306"/>
      <c r="BZ5" s="160">
        <f t="shared" si="10"/>
        <v>0</v>
      </c>
      <c r="CA5" s="1039"/>
      <c r="CC5" s="1036"/>
      <c r="CD5" s="1036"/>
      <c r="CE5" s="1036"/>
      <c r="CF5" s="1036"/>
      <c r="CG5" s="1036"/>
      <c r="CH5" s="1036"/>
      <c r="CI5" s="1036"/>
      <c r="CJ5" s="1036"/>
      <c r="CK5" s="1036"/>
    </row>
    <row r="6" spans="1:89" s="957" customFormat="1" ht="27.75" customHeight="1">
      <c r="A6" s="1654"/>
      <c r="B6" s="1650"/>
      <c r="C6" s="984">
        <v>1.2</v>
      </c>
      <c r="D6" s="1509" t="s">
        <v>2487</v>
      </c>
      <c r="E6" s="1066" t="s">
        <v>1104</v>
      </c>
      <c r="F6" s="1064" t="s">
        <v>1105</v>
      </c>
      <c r="G6" s="1067"/>
      <c r="H6" s="1068"/>
      <c r="I6" s="1059"/>
      <c r="J6" s="1062">
        <f t="shared" si="11"/>
        <v>6.3</v>
      </c>
      <c r="K6" s="1403"/>
      <c r="L6" s="1062">
        <f t="shared" si="12"/>
        <v>6.7</v>
      </c>
      <c r="M6" s="1403"/>
      <c r="N6" s="1403">
        <f t="shared" si="13"/>
        <v>0</v>
      </c>
      <c r="O6" s="1350">
        <f t="shared" si="0"/>
        <v>0</v>
      </c>
      <c r="P6" s="1350">
        <f t="shared" si="14"/>
        <v>0</v>
      </c>
      <c r="Q6" s="1350">
        <f t="shared" si="15"/>
        <v>0</v>
      </c>
      <c r="R6" s="1350">
        <f t="shared" si="16"/>
        <v>0</v>
      </c>
      <c r="S6" s="1063"/>
      <c r="T6" s="1060">
        <v>4</v>
      </c>
      <c r="U6" s="1275"/>
      <c r="V6" s="1060">
        <v>5</v>
      </c>
      <c r="W6" s="1275"/>
      <c r="X6" s="160">
        <f t="shared" si="1"/>
        <v>0.25</v>
      </c>
      <c r="Y6" s="1063"/>
      <c r="Z6" s="1060">
        <v>2</v>
      </c>
      <c r="AA6" s="1059"/>
      <c r="AB6" s="1060">
        <v>2</v>
      </c>
      <c r="AC6" s="1306"/>
      <c r="AD6" s="160">
        <f t="shared" si="2"/>
        <v>0</v>
      </c>
      <c r="AE6" s="1063"/>
      <c r="AF6" s="1060">
        <v>11</v>
      </c>
      <c r="AG6" s="1059"/>
      <c r="AH6" s="1060">
        <v>14</v>
      </c>
      <c r="AI6" s="1306"/>
      <c r="AJ6" s="160">
        <f t="shared" si="3"/>
        <v>0.27272727272727271</v>
      </c>
      <c r="AK6" s="1063"/>
      <c r="AL6" s="1060">
        <v>3</v>
      </c>
      <c r="AM6" s="1059"/>
      <c r="AN6" s="1060">
        <v>3</v>
      </c>
      <c r="AO6" s="1306"/>
      <c r="AP6" s="160">
        <f t="shared" si="4"/>
        <v>0</v>
      </c>
      <c r="AQ6" s="1063"/>
      <c r="AR6" s="1060">
        <v>7</v>
      </c>
      <c r="AS6" s="1059"/>
      <c r="AT6" s="1060">
        <v>8</v>
      </c>
      <c r="AU6" s="1306"/>
      <c r="AV6" s="160">
        <f t="shared" si="5"/>
        <v>0.14285714285714279</v>
      </c>
      <c r="AW6" s="1063"/>
      <c r="AX6" s="1060">
        <v>13</v>
      </c>
      <c r="AY6" s="1059"/>
      <c r="AZ6" s="1060">
        <v>13</v>
      </c>
      <c r="BA6" s="1306"/>
      <c r="BB6" s="160">
        <f t="shared" si="6"/>
        <v>0</v>
      </c>
      <c r="BC6" s="1063"/>
      <c r="BD6" s="1060">
        <v>1</v>
      </c>
      <c r="BE6" s="1059"/>
      <c r="BF6" s="1060">
        <v>2</v>
      </c>
      <c r="BG6" s="1306"/>
      <c r="BH6" s="160">
        <f t="shared" si="7"/>
        <v>1</v>
      </c>
      <c r="BI6" s="1063"/>
      <c r="BJ6" s="1060">
        <v>11</v>
      </c>
      <c r="BK6" s="1059"/>
      <c r="BL6" s="1060">
        <v>9</v>
      </c>
      <c r="BM6" s="1306"/>
      <c r="BN6" s="160">
        <f t="shared" si="8"/>
        <v>-0.18181818181818177</v>
      </c>
      <c r="BO6" s="1063"/>
      <c r="BP6" s="1060">
        <v>5</v>
      </c>
      <c r="BQ6" s="1059"/>
      <c r="BR6" s="1060">
        <v>5</v>
      </c>
      <c r="BS6" s="1306"/>
      <c r="BT6" s="160">
        <f t="shared" si="9"/>
        <v>0</v>
      </c>
      <c r="BU6" s="1063"/>
      <c r="BV6" s="1060">
        <v>6</v>
      </c>
      <c r="BW6" s="1059"/>
      <c r="BX6" s="1060">
        <v>6</v>
      </c>
      <c r="BY6" s="1306"/>
      <c r="BZ6" s="160">
        <f t="shared" si="10"/>
        <v>0</v>
      </c>
      <c r="CA6" s="1039"/>
      <c r="CC6" s="1036"/>
      <c r="CD6" s="1036"/>
      <c r="CE6" s="1036"/>
      <c r="CF6" s="1036"/>
      <c r="CG6" s="1036"/>
      <c r="CH6" s="1036"/>
      <c r="CI6" s="1036"/>
      <c r="CJ6" s="1036"/>
      <c r="CK6" s="1036"/>
    </row>
    <row r="7" spans="1:89" s="957" customFormat="1" ht="14.25">
      <c r="A7" s="1648" t="s">
        <v>2116</v>
      </c>
      <c r="B7" s="1648" t="s">
        <v>2254</v>
      </c>
      <c r="C7" s="970">
        <v>2</v>
      </c>
      <c r="D7" s="1057" t="s">
        <v>1746</v>
      </c>
      <c r="E7" s="1058"/>
      <c r="F7" s="1059"/>
      <c r="G7" s="1059" t="s">
        <v>399</v>
      </c>
      <c r="H7" s="1060" t="s">
        <v>230</v>
      </c>
      <c r="I7" s="1061">
        <v>2</v>
      </c>
      <c r="J7" s="1304">
        <f t="shared" si="11"/>
        <v>0.98333333333333339</v>
      </c>
      <c r="K7" s="1403">
        <f>AVERAGE(BW7,BQ7,BK7,BE7,AY7,AS7,AM7,AG7,AA7,U7)</f>
        <v>2</v>
      </c>
      <c r="L7" s="1304">
        <f t="shared" si="12"/>
        <v>0.97619047619047628</v>
      </c>
      <c r="M7" s="1403">
        <f>AVERAGE(BY7,BS7,BM7,BG7,BA7,AU7,AO7,AI7,AC7,W7)</f>
        <v>2</v>
      </c>
      <c r="N7" s="1403">
        <f t="shared" si="13"/>
        <v>0</v>
      </c>
      <c r="O7" s="1350">
        <f t="shared" si="0"/>
        <v>0</v>
      </c>
      <c r="P7" s="1350">
        <f t="shared" si="14"/>
        <v>0</v>
      </c>
      <c r="Q7" s="1350">
        <f t="shared" si="15"/>
        <v>0</v>
      </c>
      <c r="R7" s="1350">
        <f t="shared" si="16"/>
        <v>0</v>
      </c>
      <c r="S7" s="1063"/>
      <c r="T7" s="1272">
        <v>1</v>
      </c>
      <c r="U7" s="1276">
        <f>IF(T7&gt;=0.8,2,IF(T7&gt;=50%,1,0))</f>
        <v>2</v>
      </c>
      <c r="V7" s="1272">
        <f>IF(V9=0,"",V8/V9)</f>
        <v>1</v>
      </c>
      <c r="W7" s="1276">
        <f>IF(V7&gt;=0.8,2,IF(V7&gt;=0.5,1,0))</f>
        <v>2</v>
      </c>
      <c r="X7" s="160">
        <f t="shared" si="1"/>
        <v>0</v>
      </c>
      <c r="Y7" s="1063"/>
      <c r="Z7" s="1272">
        <v>1</v>
      </c>
      <c r="AA7" s="1070">
        <f>IF(Z7&gt;=0.8,2,IF(Z7&gt;=50%,1,0))</f>
        <v>2</v>
      </c>
      <c r="AB7" s="1272">
        <f>IF(AB9=0,"",AB8/AB9)</f>
        <v>1</v>
      </c>
      <c r="AC7" s="1315">
        <f>IF(AB7&gt;=0.8,2,IF(AB7&gt;=0.5,1,0))</f>
        <v>2</v>
      </c>
      <c r="AD7" s="160">
        <f t="shared" si="2"/>
        <v>0</v>
      </c>
      <c r="AE7" s="1063"/>
      <c r="AF7" s="1272">
        <v>1</v>
      </c>
      <c r="AG7" s="1070">
        <f>IF(AF7&gt;=0.8,2,IF(AF7&gt;=50%,1,0))</f>
        <v>2</v>
      </c>
      <c r="AH7" s="1272">
        <f>IF(AH9=0,"",AH8/AH9)</f>
        <v>1</v>
      </c>
      <c r="AI7" s="1315">
        <f>IF(AH7&gt;=0.8,2,IF(AH7&gt;=0.5,1,0))</f>
        <v>2</v>
      </c>
      <c r="AJ7" s="160">
        <f t="shared" si="3"/>
        <v>0</v>
      </c>
      <c r="AK7" s="1063"/>
      <c r="AL7" s="1272">
        <v>1</v>
      </c>
      <c r="AM7" s="1070">
        <f>IF(AL7&gt;=0.8,2,IF(AL7&gt;=50%,1,0))</f>
        <v>2</v>
      </c>
      <c r="AN7" s="1272">
        <f>IF(AN9=0,"",AN8/AN9)</f>
        <v>1</v>
      </c>
      <c r="AO7" s="1315">
        <f>IF(AN7&gt;=0.8,2,IF(AN7&gt;=0.5,1,0))</f>
        <v>2</v>
      </c>
      <c r="AP7" s="160">
        <f t="shared" si="4"/>
        <v>0</v>
      </c>
      <c r="AQ7" s="1063"/>
      <c r="AR7" s="1272">
        <v>1</v>
      </c>
      <c r="AS7" s="1070">
        <f>IF(AR7&gt;=0.8,2,IF(AR7&gt;=50%,1,0))</f>
        <v>2</v>
      </c>
      <c r="AT7" s="1272">
        <f>IF(AT9=0,"",AT8/AT9)</f>
        <v>1</v>
      </c>
      <c r="AU7" s="1315">
        <f>IF(AT7&gt;=0.8,2,IF(AT7&gt;=0.5,1,0))</f>
        <v>2</v>
      </c>
      <c r="AV7" s="160">
        <f t="shared" si="5"/>
        <v>0</v>
      </c>
      <c r="AW7" s="1063"/>
      <c r="AX7" s="1272">
        <v>1</v>
      </c>
      <c r="AY7" s="1070">
        <f>IF(AX7&gt;=0.8,2,IF(AX7&gt;=50%,1,0))</f>
        <v>2</v>
      </c>
      <c r="AZ7" s="1272">
        <f>IF(AZ9=0,"",AZ8/AZ9)</f>
        <v>1</v>
      </c>
      <c r="BA7" s="1315">
        <f>IF(AZ7&gt;=0.8,2,IF(AZ7&gt;=0.5,1,0))</f>
        <v>2</v>
      </c>
      <c r="BB7" s="160">
        <f t="shared" si="6"/>
        <v>0</v>
      </c>
      <c r="BC7" s="1063"/>
      <c r="BD7" s="1272">
        <v>0.83333333333333337</v>
      </c>
      <c r="BE7" s="1070">
        <f>IF(BD7&gt;=0.8,2,IF(BD7&gt;=50%,1,0))</f>
        <v>2</v>
      </c>
      <c r="BF7" s="1272">
        <f>IF(BF9=0,"",BF8/BF9)</f>
        <v>0.83333333333333337</v>
      </c>
      <c r="BG7" s="1315">
        <f>IF(BF7&gt;=0.8,2,IF(BF7&gt;=0.5,1,0))</f>
        <v>2</v>
      </c>
      <c r="BH7" s="160">
        <f t="shared" si="7"/>
        <v>0</v>
      </c>
      <c r="BI7" s="1063"/>
      <c r="BJ7" s="1272">
        <v>1</v>
      </c>
      <c r="BK7" s="1070">
        <f>IF(BJ7&gt;=0.8,2,IF(BJ7&gt;=50%,1,0))</f>
        <v>2</v>
      </c>
      <c r="BL7" s="1272">
        <f>IF(BL9=0,"",BL8/BL9)</f>
        <v>1</v>
      </c>
      <c r="BM7" s="1315">
        <f>IF(BL7&gt;=0.8,2,IF(BL7&gt;=0.5,1,0))</f>
        <v>2</v>
      </c>
      <c r="BN7" s="160">
        <f t="shared" si="8"/>
        <v>0</v>
      </c>
      <c r="BO7" s="1063"/>
      <c r="BP7" s="1272">
        <v>1</v>
      </c>
      <c r="BQ7" s="1070">
        <f>IF(BP7&gt;=0.8,2,IF(BP7&gt;=50%,1,0))</f>
        <v>2</v>
      </c>
      <c r="BR7" s="1272">
        <f>IF(BR9=0,"",BR8/BR9)</f>
        <v>0.9285714285714286</v>
      </c>
      <c r="BS7" s="1315">
        <f>IF(BR7&gt;=0.8,2,IF(BR7&gt;=0.5,1,0))</f>
        <v>2</v>
      </c>
      <c r="BT7" s="160">
        <f t="shared" si="9"/>
        <v>-7.1428571428571397E-2</v>
      </c>
      <c r="BU7" s="1063"/>
      <c r="BV7" s="1272">
        <v>1</v>
      </c>
      <c r="BW7" s="1070">
        <f>IF(BV7&gt;=0.8,2,IF(BV7&gt;=50%,1,0))</f>
        <v>2</v>
      </c>
      <c r="BX7" s="1272">
        <f>IF(BX9=0,"",BX8/BX9)</f>
        <v>1</v>
      </c>
      <c r="BY7" s="1315">
        <f>IF(BX7&gt;=0.8,2,IF(BX7&gt;=0.5,1,0))</f>
        <v>2</v>
      </c>
      <c r="BZ7" s="160">
        <f t="shared" si="10"/>
        <v>0</v>
      </c>
      <c r="CA7" s="1039"/>
      <c r="CC7" s="1036"/>
      <c r="CD7" s="1036"/>
      <c r="CE7" s="1036"/>
      <c r="CF7" s="1036"/>
      <c r="CG7" s="1036"/>
      <c r="CH7" s="1036"/>
      <c r="CI7" s="1036"/>
      <c r="CJ7" s="1036"/>
      <c r="CK7" s="1036"/>
    </row>
    <row r="8" spans="1:89" s="957" customFormat="1" ht="28.5">
      <c r="A8" s="1650"/>
      <c r="B8" s="1650"/>
      <c r="C8" s="984">
        <v>2.1</v>
      </c>
      <c r="D8" s="1508" t="s">
        <v>2472</v>
      </c>
      <c r="E8" s="1066" t="s">
        <v>1106</v>
      </c>
      <c r="F8" s="1067"/>
      <c r="G8" s="1067"/>
      <c r="H8" s="1068"/>
      <c r="I8" s="1059"/>
      <c r="J8" s="1062">
        <f t="shared" si="11"/>
        <v>13.3</v>
      </c>
      <c r="K8" s="1403"/>
      <c r="L8" s="1062">
        <f t="shared" si="12"/>
        <v>12.7</v>
      </c>
      <c r="M8" s="1403"/>
      <c r="N8" s="1403">
        <f t="shared" si="13"/>
        <v>0</v>
      </c>
      <c r="O8" s="1350">
        <f t="shared" si="0"/>
        <v>0</v>
      </c>
      <c r="P8" s="1350">
        <f t="shared" si="14"/>
        <v>0</v>
      </c>
      <c r="Q8" s="1350">
        <f t="shared" si="15"/>
        <v>0</v>
      </c>
      <c r="R8" s="1350">
        <f t="shared" si="16"/>
        <v>0</v>
      </c>
      <c r="S8" s="1063"/>
      <c r="T8" s="1060">
        <v>6</v>
      </c>
      <c r="U8" s="1275"/>
      <c r="V8" s="1060">
        <v>6</v>
      </c>
      <c r="W8" s="1275"/>
      <c r="X8" s="160">
        <f t="shared" si="1"/>
        <v>0</v>
      </c>
      <c r="Y8" s="1063"/>
      <c r="Z8" s="1060">
        <v>9</v>
      </c>
      <c r="AA8" s="1059"/>
      <c r="AB8" s="1060">
        <v>9</v>
      </c>
      <c r="AC8" s="1306"/>
      <c r="AD8" s="160">
        <f t="shared" si="2"/>
        <v>0</v>
      </c>
      <c r="AE8" s="1063"/>
      <c r="AF8" s="1060">
        <v>25</v>
      </c>
      <c r="AG8" s="1059"/>
      <c r="AH8" s="1060">
        <v>21</v>
      </c>
      <c r="AI8" s="1306"/>
      <c r="AJ8" s="160">
        <f t="shared" si="3"/>
        <v>-0.16000000000000003</v>
      </c>
      <c r="AK8" s="1063"/>
      <c r="AL8" s="1060">
        <v>6</v>
      </c>
      <c r="AM8" s="1059"/>
      <c r="AN8" s="1060">
        <v>6</v>
      </c>
      <c r="AO8" s="1306"/>
      <c r="AP8" s="160">
        <f t="shared" si="4"/>
        <v>0</v>
      </c>
      <c r="AQ8" s="1063"/>
      <c r="AR8" s="1060">
        <v>18</v>
      </c>
      <c r="AS8" s="1059"/>
      <c r="AT8" s="1060">
        <v>18</v>
      </c>
      <c r="AU8" s="1306"/>
      <c r="AV8" s="160">
        <f t="shared" si="5"/>
        <v>0</v>
      </c>
      <c r="AW8" s="1063"/>
      <c r="AX8" s="1060">
        <v>20</v>
      </c>
      <c r="AY8" s="1059"/>
      <c r="AZ8" s="1060">
        <v>20</v>
      </c>
      <c r="BA8" s="1306"/>
      <c r="BB8" s="160">
        <f t="shared" si="6"/>
        <v>0</v>
      </c>
      <c r="BC8" s="1063"/>
      <c r="BD8" s="1060">
        <v>5</v>
      </c>
      <c r="BE8" s="1059"/>
      <c r="BF8" s="1060">
        <v>5</v>
      </c>
      <c r="BG8" s="1306"/>
      <c r="BH8" s="160">
        <f t="shared" si="7"/>
        <v>0</v>
      </c>
      <c r="BI8" s="1063"/>
      <c r="BJ8" s="1060">
        <v>14</v>
      </c>
      <c r="BK8" s="1059"/>
      <c r="BL8" s="1060">
        <v>14</v>
      </c>
      <c r="BM8" s="1306"/>
      <c r="BN8" s="160">
        <f t="shared" si="8"/>
        <v>0</v>
      </c>
      <c r="BO8" s="1063"/>
      <c r="BP8" s="1060">
        <v>14</v>
      </c>
      <c r="BQ8" s="1059"/>
      <c r="BR8" s="1060">
        <v>13</v>
      </c>
      <c r="BS8" s="1306"/>
      <c r="BT8" s="160">
        <f t="shared" si="9"/>
        <v>-7.1428571428571397E-2</v>
      </c>
      <c r="BU8" s="1063"/>
      <c r="BV8" s="1060">
        <v>16</v>
      </c>
      <c r="BW8" s="1059"/>
      <c r="BX8" s="1060">
        <v>15</v>
      </c>
      <c r="BY8" s="1306"/>
      <c r="BZ8" s="160">
        <f>IF(AND(BV8=0,BX8&lt;&gt;0),1,IF(AND(BV8=0,BX8=0),0,BX8/BV8-1))</f>
        <v>-6.25E-2</v>
      </c>
      <c r="CA8" s="1039"/>
      <c r="CC8" s="1036"/>
      <c r="CD8" s="1036"/>
      <c r="CE8" s="1036"/>
      <c r="CF8" s="1036"/>
      <c r="CG8" s="1036"/>
      <c r="CH8" s="1036"/>
      <c r="CI8" s="1036"/>
      <c r="CJ8" s="1036"/>
      <c r="CK8" s="1036"/>
    </row>
    <row r="9" spans="1:89" s="957" customFormat="1" ht="28.5">
      <c r="A9" s="1650"/>
      <c r="B9" s="1650"/>
      <c r="C9" s="984">
        <v>2.2000000000000002</v>
      </c>
      <c r="D9" s="1508" t="s">
        <v>2115</v>
      </c>
      <c r="E9" s="1066" t="s">
        <v>1106</v>
      </c>
      <c r="F9" s="1067"/>
      <c r="G9" s="1067"/>
      <c r="H9" s="1068"/>
      <c r="I9" s="1059"/>
      <c r="J9" s="1062">
        <f t="shared" si="11"/>
        <v>13.4</v>
      </c>
      <c r="K9" s="1403"/>
      <c r="L9" s="1062">
        <f t="shared" si="12"/>
        <v>12.9</v>
      </c>
      <c r="M9" s="1403"/>
      <c r="N9" s="1403">
        <f t="shared" si="13"/>
        <v>0</v>
      </c>
      <c r="O9" s="1350">
        <f t="shared" si="0"/>
        <v>0</v>
      </c>
      <c r="P9" s="1350">
        <f t="shared" si="14"/>
        <v>0</v>
      </c>
      <c r="Q9" s="1350">
        <f t="shared" si="15"/>
        <v>0</v>
      </c>
      <c r="R9" s="1350">
        <f t="shared" si="16"/>
        <v>0</v>
      </c>
      <c r="S9" s="1063"/>
      <c r="T9" s="1060">
        <v>6</v>
      </c>
      <c r="U9" s="1275"/>
      <c r="V9" s="1060">
        <v>6</v>
      </c>
      <c r="W9" s="1275"/>
      <c r="X9" s="160">
        <f t="shared" si="1"/>
        <v>0</v>
      </c>
      <c r="Y9" s="1063"/>
      <c r="Z9" s="1060">
        <v>9</v>
      </c>
      <c r="AA9" s="1059"/>
      <c r="AB9" s="1060">
        <v>9</v>
      </c>
      <c r="AC9" s="1306"/>
      <c r="AD9" s="160">
        <f t="shared" si="2"/>
        <v>0</v>
      </c>
      <c r="AE9" s="1063"/>
      <c r="AF9" s="1060">
        <v>25</v>
      </c>
      <c r="AG9" s="1059"/>
      <c r="AH9" s="1060">
        <v>21</v>
      </c>
      <c r="AI9" s="1306"/>
      <c r="AJ9" s="160">
        <f t="shared" si="3"/>
        <v>-0.16000000000000003</v>
      </c>
      <c r="AK9" s="1063"/>
      <c r="AL9" s="1060">
        <v>6</v>
      </c>
      <c r="AM9" s="1059"/>
      <c r="AN9" s="1060">
        <v>6</v>
      </c>
      <c r="AO9" s="1306"/>
      <c r="AP9" s="160">
        <f t="shared" si="4"/>
        <v>0</v>
      </c>
      <c r="AQ9" s="1063"/>
      <c r="AR9" s="1060">
        <v>18</v>
      </c>
      <c r="AS9" s="1059"/>
      <c r="AT9" s="1060">
        <v>18</v>
      </c>
      <c r="AU9" s="1306"/>
      <c r="AV9" s="160">
        <f t="shared" si="5"/>
        <v>0</v>
      </c>
      <c r="AW9" s="1063"/>
      <c r="AX9" s="1060">
        <v>20</v>
      </c>
      <c r="AY9" s="1059"/>
      <c r="AZ9" s="1060">
        <v>20</v>
      </c>
      <c r="BA9" s="1306"/>
      <c r="BB9" s="160">
        <f t="shared" si="6"/>
        <v>0</v>
      </c>
      <c r="BC9" s="1063"/>
      <c r="BD9" s="1060">
        <v>6</v>
      </c>
      <c r="BE9" s="1059"/>
      <c r="BF9" s="1060">
        <v>6</v>
      </c>
      <c r="BG9" s="1306"/>
      <c r="BH9" s="160">
        <f t="shared" si="7"/>
        <v>0</v>
      </c>
      <c r="BI9" s="1063"/>
      <c r="BJ9" s="1060">
        <v>14</v>
      </c>
      <c r="BK9" s="1059"/>
      <c r="BL9" s="1060">
        <v>14</v>
      </c>
      <c r="BM9" s="1306"/>
      <c r="BN9" s="160">
        <f t="shared" si="8"/>
        <v>0</v>
      </c>
      <c r="BO9" s="1063"/>
      <c r="BP9" s="1060">
        <v>14</v>
      </c>
      <c r="BQ9" s="1059"/>
      <c r="BR9" s="1060">
        <v>14</v>
      </c>
      <c r="BS9" s="1306"/>
      <c r="BT9" s="160">
        <f t="shared" si="9"/>
        <v>0</v>
      </c>
      <c r="BU9" s="1063"/>
      <c r="BV9" s="1060">
        <v>16</v>
      </c>
      <c r="BW9" s="1059"/>
      <c r="BX9" s="1060">
        <v>15</v>
      </c>
      <c r="BY9" s="1306"/>
      <c r="BZ9" s="160">
        <f t="shared" si="10"/>
        <v>-6.25E-2</v>
      </c>
      <c r="CA9" s="1039"/>
      <c r="CC9" s="1071"/>
      <c r="CD9" s="1036"/>
      <c r="CE9" s="1036"/>
      <c r="CF9" s="1036"/>
      <c r="CG9" s="1036"/>
      <c r="CH9" s="1036"/>
      <c r="CI9" s="1036"/>
      <c r="CJ9" s="1036"/>
      <c r="CK9" s="1036"/>
    </row>
    <row r="10" spans="1:89" s="957" customFormat="1" ht="14.25">
      <c r="A10" s="1648" t="s">
        <v>1107</v>
      </c>
      <c r="B10" s="1648" t="s">
        <v>1108</v>
      </c>
      <c r="C10" s="970">
        <v>3</v>
      </c>
      <c r="D10" s="1438" t="s">
        <v>1724</v>
      </c>
      <c r="E10" s="1058"/>
      <c r="F10" s="1059"/>
      <c r="G10" s="1059" t="s">
        <v>402</v>
      </c>
      <c r="H10" s="1060" t="s">
        <v>230</v>
      </c>
      <c r="I10" s="1061">
        <v>3</v>
      </c>
      <c r="J10" s="1304">
        <f t="shared" si="11"/>
        <v>0.27081045714015228</v>
      </c>
      <c r="K10" s="1402">
        <f>AVERAGE(BW10,BQ10,BK10,BE10,AY10,AS10,AM10,AG10,AA10,U10)</f>
        <v>1.2</v>
      </c>
      <c r="L10" s="1304">
        <f t="shared" si="12"/>
        <v>0.25910913225493032</v>
      </c>
      <c r="M10" s="1402">
        <f>AVERAGE(BY10,BS10,BM10,BG10,BA10,AU10,AO10,AI10,AC10,W10)</f>
        <v>1.2</v>
      </c>
      <c r="N10" s="1413">
        <f t="shared" si="13"/>
        <v>0</v>
      </c>
      <c r="O10" s="1350">
        <f t="shared" si="0"/>
        <v>1.8</v>
      </c>
      <c r="P10" s="1350">
        <f t="shared" si="14"/>
        <v>1.26</v>
      </c>
      <c r="Q10" s="1350">
        <f t="shared" si="15"/>
        <v>0.14000000000000001</v>
      </c>
      <c r="R10" s="1350">
        <f t="shared" si="16"/>
        <v>7.0000000000000007E-2</v>
      </c>
      <c r="S10" s="1063"/>
      <c r="T10" s="1272">
        <v>0.32857142857142857</v>
      </c>
      <c r="U10" s="1275">
        <f>IF(T10&lt;=0.15,3,IF(T10&lt;=0.3,1.5,0))</f>
        <v>0</v>
      </c>
      <c r="V10" s="1272">
        <f>IF(SUM(V12:V13)=0,"",V11/SUM(V12:V13))</f>
        <v>0.31343283582089554</v>
      </c>
      <c r="W10" s="1275">
        <f>IF(V10&lt;=0.15,3,IF(V10&lt;=0.3,1.5,0))</f>
        <v>0</v>
      </c>
      <c r="X10" s="160">
        <f t="shared" si="1"/>
        <v>-4.6073977936404886E-2</v>
      </c>
      <c r="Y10" s="1063"/>
      <c r="Z10" s="1272">
        <v>0.15846994535519127</v>
      </c>
      <c r="AA10" s="1059">
        <f>IF(Z10&lt;=0.15,3,IF(Z10&lt;=0.3,1.5,0))</f>
        <v>1.5</v>
      </c>
      <c r="AB10" s="1272">
        <f>IF(SUM(AB12:AB13)=0,"",AB11/SUM(AB12:AB13))</f>
        <v>0.12209302325581395</v>
      </c>
      <c r="AC10" s="1306">
        <f>IF(AB10&lt;=0.15,3,IF(AB10&lt;=0.3,1.5,0))</f>
        <v>3</v>
      </c>
      <c r="AD10" s="160">
        <f t="shared" si="2"/>
        <v>-0.22955092221331208</v>
      </c>
      <c r="AE10" s="1063"/>
      <c r="AF10" s="1272">
        <v>0.140625</v>
      </c>
      <c r="AG10" s="1059">
        <f>IF(AF10&lt;=0.15,3,IF(AF10&lt;=0.3,1.5,0))</f>
        <v>3</v>
      </c>
      <c r="AH10" s="1272">
        <f>IF(SUM(AH12:AH13)=0,"",AH11/SUM(AH12:AH13))</f>
        <v>0.16535433070866143</v>
      </c>
      <c r="AI10" s="1306">
        <f>IF(AH10&lt;=0.15,3,IF(AH10&lt;=0.3,1.5,0))</f>
        <v>1.5</v>
      </c>
      <c r="AJ10" s="160">
        <f t="shared" si="3"/>
        <v>0.1758530183727034</v>
      </c>
      <c r="AK10" s="1063"/>
      <c r="AL10" s="1272">
        <v>0.28125</v>
      </c>
      <c r="AM10" s="1059">
        <f>IF(AL10&lt;=0.15,3,IF(AL10&lt;=0.3,1.5,0))</f>
        <v>1.5</v>
      </c>
      <c r="AN10" s="1272">
        <f>IF(SUM(AN12:AN13)=0,"",AN11/SUM(AN12:AN13))</f>
        <v>0.29032258064516131</v>
      </c>
      <c r="AO10" s="1306">
        <f>IF(AN10&lt;=0.15,3,IF(AN10&lt;=0.3,1.5,0))</f>
        <v>1.5</v>
      </c>
      <c r="AP10" s="160">
        <f t="shared" si="4"/>
        <v>3.2258064516129004E-2</v>
      </c>
      <c r="AQ10" s="1063"/>
      <c r="AR10" s="1272">
        <v>0.25465838509316768</v>
      </c>
      <c r="AS10" s="1059">
        <f>IF(AR10&lt;=0.15,3,IF(AR10&lt;=0.3,1.5,0))</f>
        <v>1.5</v>
      </c>
      <c r="AT10" s="1272">
        <f>IF(SUM(AT12:AT13)=0,"",AT11/SUM(AT12:AT13))</f>
        <v>0.2807017543859649</v>
      </c>
      <c r="AU10" s="1306">
        <f>IF(AT10&lt;=0.15,3,IF(AT10&lt;=0.3,1.5,0))</f>
        <v>1.5</v>
      </c>
      <c r="AV10" s="160">
        <f t="shared" si="5"/>
        <v>0.10226786478391103</v>
      </c>
      <c r="AW10" s="1063"/>
      <c r="AX10" s="1272">
        <v>0.25196850393700787</v>
      </c>
      <c r="AY10" s="1059">
        <f>IF(AX10&lt;=0.15,3,IF(AX10&lt;=0.3,1.5,0))</f>
        <v>1.5</v>
      </c>
      <c r="AZ10" s="1272">
        <f>IF(SUM(AZ12:AZ13)=0,"",AZ11/SUM(AZ12:AZ13))</f>
        <v>0.25291828793774318</v>
      </c>
      <c r="BA10" s="1306">
        <f>IF(AZ10&lt;=0.15,3,IF(AZ10&lt;=0.3,1.5,0))</f>
        <v>1.5</v>
      </c>
      <c r="BB10" s="160">
        <f t="shared" si="6"/>
        <v>3.7694552529181635E-3</v>
      </c>
      <c r="BC10" s="1063"/>
      <c r="BD10" s="1272">
        <v>0.33333333333333331</v>
      </c>
      <c r="BE10" s="1059">
        <f>IF(BD10&lt;=0.15,3,IF(BD10&lt;=0.3,1.5,0))</f>
        <v>0</v>
      </c>
      <c r="BF10" s="1272">
        <f>IF(SUM(BF12:BF13)=0,"",BF11/SUM(BF12:BF13))</f>
        <v>0.31481481481481483</v>
      </c>
      <c r="BG10" s="1306">
        <f>IF(BF10&lt;=0.15,3,IF(BF10&lt;=0.3,1.5,0))</f>
        <v>0</v>
      </c>
      <c r="BH10" s="160">
        <f t="shared" si="7"/>
        <v>-5.5555555555555469E-2</v>
      </c>
      <c r="BI10" s="1063"/>
      <c r="BJ10" s="1272">
        <v>0.28638497652582162</v>
      </c>
      <c r="BK10" s="1059">
        <f>IF(BJ10&lt;=0.15,3,IF(BJ10&lt;=0.3,1.5,0))</f>
        <v>1.5</v>
      </c>
      <c r="BL10" s="1272">
        <f>IF(SUM(BL12:BL13)=0,"",BL11/SUM(BL12:BL13))</f>
        <v>0.28372093023255812</v>
      </c>
      <c r="BM10" s="1306">
        <f>IF(BL10&lt;=0.15,3,IF(BL10&lt;=0.3,1.5,0))</f>
        <v>1.5</v>
      </c>
      <c r="BN10" s="160">
        <f t="shared" si="8"/>
        <v>-9.302325581395543E-3</v>
      </c>
      <c r="BO10" s="1063"/>
      <c r="BP10" s="1272">
        <v>0.38571428571428573</v>
      </c>
      <c r="BQ10" s="1059">
        <f>IF(BP10&lt;=0.15,3,IF(BP10&lt;=0.3,1.5,0))</f>
        <v>0</v>
      </c>
      <c r="BR10" s="1272">
        <f>IF(SUM(BR12:BR13)=0,"",BR11/SUM(BR12:BR13))</f>
        <v>0.35820895522388058</v>
      </c>
      <c r="BS10" s="1306">
        <f>IF(BR10&lt;=0.15,3,IF(BR10&lt;=0.3,1.5,0))</f>
        <v>0</v>
      </c>
      <c r="BT10" s="160">
        <f t="shared" si="9"/>
        <v>-7.1310116086235609E-2</v>
      </c>
      <c r="BU10" s="1063"/>
      <c r="BV10" s="1272">
        <v>0.28712871287128711</v>
      </c>
      <c r="BW10" s="1059">
        <f>IF(BV10&lt;=0.15,3,IF(BV10&lt;=0.3,1.5,0))</f>
        <v>1.5</v>
      </c>
      <c r="BX10" s="1272">
        <f>IF(SUM(BX12:BX13)=0,"",BX11/SUM(BX12:BX13))</f>
        <v>0.20952380952380953</v>
      </c>
      <c r="BY10" s="1306">
        <f>IF(BX10&lt;=0.15,3,IF(BX10&lt;=0.3,1.5,0))</f>
        <v>1.5</v>
      </c>
      <c r="BZ10" s="160">
        <f t="shared" si="10"/>
        <v>-0.27027914614121507</v>
      </c>
      <c r="CA10" s="1039"/>
      <c r="CC10" s="1071"/>
      <c r="CD10" s="1036"/>
      <c r="CE10" s="1036"/>
      <c r="CF10" s="1036"/>
      <c r="CG10" s="1036"/>
      <c r="CH10" s="1036"/>
      <c r="CI10" s="1036"/>
      <c r="CJ10" s="1036"/>
      <c r="CK10" s="1036"/>
    </row>
    <row r="11" spans="1:89" s="957" customFormat="1" ht="28.5">
      <c r="A11" s="1650"/>
      <c r="B11" s="1650"/>
      <c r="C11" s="984">
        <v>3.1</v>
      </c>
      <c r="D11" s="1508" t="s">
        <v>2185</v>
      </c>
      <c r="E11" s="1066" t="s">
        <v>1104</v>
      </c>
      <c r="F11" s="1064" t="s">
        <v>1105</v>
      </c>
      <c r="G11" s="1067"/>
      <c r="H11" s="1068"/>
      <c r="I11" s="1059"/>
      <c r="J11" s="1062">
        <f t="shared" si="11"/>
        <v>32.799999999999997</v>
      </c>
      <c r="K11" s="1403"/>
      <c r="L11" s="1062">
        <f t="shared" si="12"/>
        <v>31.8</v>
      </c>
      <c r="M11" s="1403"/>
      <c r="N11" s="1403">
        <f t="shared" si="13"/>
        <v>0</v>
      </c>
      <c r="O11" s="1350">
        <f t="shared" si="0"/>
        <v>0</v>
      </c>
      <c r="P11" s="1350">
        <f t="shared" si="14"/>
        <v>0</v>
      </c>
      <c r="Q11" s="1350">
        <f t="shared" si="15"/>
        <v>0</v>
      </c>
      <c r="R11" s="1350">
        <f t="shared" si="16"/>
        <v>0</v>
      </c>
      <c r="S11" s="1063"/>
      <c r="T11" s="1060">
        <v>23</v>
      </c>
      <c r="U11" s="1275"/>
      <c r="V11" s="1060">
        <v>21</v>
      </c>
      <c r="W11" s="1275"/>
      <c r="X11" s="160">
        <f t="shared" si="1"/>
        <v>-8.6956521739130488E-2</v>
      </c>
      <c r="Y11" s="1063"/>
      <c r="Z11" s="1060">
        <v>29</v>
      </c>
      <c r="AA11" s="1059"/>
      <c r="AB11" s="1060">
        <v>21</v>
      </c>
      <c r="AC11" s="1306"/>
      <c r="AD11" s="160">
        <f t="shared" si="2"/>
        <v>-0.27586206896551724</v>
      </c>
      <c r="AE11" s="1063"/>
      <c r="AF11" s="1060">
        <v>18</v>
      </c>
      <c r="AG11" s="1059"/>
      <c r="AH11" s="1060">
        <v>21</v>
      </c>
      <c r="AI11" s="1306"/>
      <c r="AJ11" s="160">
        <f t="shared" si="3"/>
        <v>0.16666666666666674</v>
      </c>
      <c r="AK11" s="1063"/>
      <c r="AL11" s="1060">
        <v>18</v>
      </c>
      <c r="AM11" s="1059"/>
      <c r="AN11" s="1060">
        <v>18</v>
      </c>
      <c r="AO11" s="1306"/>
      <c r="AP11" s="160">
        <f t="shared" si="4"/>
        <v>0</v>
      </c>
      <c r="AQ11" s="1063"/>
      <c r="AR11" s="1060">
        <v>41</v>
      </c>
      <c r="AS11" s="1059"/>
      <c r="AT11" s="1060">
        <v>48</v>
      </c>
      <c r="AU11" s="1306"/>
      <c r="AV11" s="160">
        <f t="shared" si="5"/>
        <v>0.1707317073170731</v>
      </c>
      <c r="AW11" s="1063"/>
      <c r="AX11" s="1060">
        <v>64</v>
      </c>
      <c r="AY11" s="1059"/>
      <c r="AZ11" s="1060">
        <v>65</v>
      </c>
      <c r="BA11" s="1306"/>
      <c r="BB11" s="160">
        <f t="shared" si="6"/>
        <v>1.5625E-2</v>
      </c>
      <c r="BC11" s="1063"/>
      <c r="BD11" s="1060">
        <v>18</v>
      </c>
      <c r="BE11" s="1059"/>
      <c r="BF11" s="1060">
        <v>17</v>
      </c>
      <c r="BG11" s="1306"/>
      <c r="BH11" s="160">
        <f t="shared" si="7"/>
        <v>-5.555555555555558E-2</v>
      </c>
      <c r="BI11" s="1063"/>
      <c r="BJ11" s="1060">
        <v>61</v>
      </c>
      <c r="BK11" s="1059"/>
      <c r="BL11" s="1060">
        <v>61</v>
      </c>
      <c r="BM11" s="1306"/>
      <c r="BN11" s="160">
        <f t="shared" si="8"/>
        <v>0</v>
      </c>
      <c r="BO11" s="1063"/>
      <c r="BP11" s="1060">
        <v>27</v>
      </c>
      <c r="BQ11" s="1059"/>
      <c r="BR11" s="1060">
        <v>24</v>
      </c>
      <c r="BS11" s="1306"/>
      <c r="BT11" s="160">
        <f t="shared" si="9"/>
        <v>-0.11111111111111116</v>
      </c>
      <c r="BU11" s="1063"/>
      <c r="BV11" s="1060">
        <v>29</v>
      </c>
      <c r="BW11" s="1059"/>
      <c r="BX11" s="1060">
        <v>22</v>
      </c>
      <c r="BY11" s="1306"/>
      <c r="BZ11" s="160">
        <f t="shared" si="10"/>
        <v>-0.24137931034482762</v>
      </c>
      <c r="CA11" s="1039"/>
      <c r="CC11" s="1071"/>
      <c r="CD11" s="1036"/>
      <c r="CE11" s="1036"/>
      <c r="CF11" s="1036"/>
      <c r="CG11" s="1036"/>
      <c r="CH11" s="1036"/>
      <c r="CI11" s="1036"/>
      <c r="CJ11" s="1036"/>
      <c r="CK11" s="1036"/>
    </row>
    <row r="12" spans="1:89" s="957" customFormat="1" ht="28.5">
      <c r="A12" s="1650"/>
      <c r="B12" s="1650"/>
      <c r="C12" s="984">
        <v>3.2</v>
      </c>
      <c r="D12" s="1512" t="s">
        <v>2485</v>
      </c>
      <c r="E12" s="1066" t="s">
        <v>1104</v>
      </c>
      <c r="F12" s="1064" t="s">
        <v>1105</v>
      </c>
      <c r="G12" s="1067"/>
      <c r="H12" s="1068"/>
      <c r="I12" s="1059"/>
      <c r="J12" s="1062">
        <f t="shared" si="11"/>
        <v>87.5</v>
      </c>
      <c r="K12" s="1403"/>
      <c r="L12" s="1062">
        <f t="shared" si="12"/>
        <v>89.3</v>
      </c>
      <c r="M12" s="1403"/>
      <c r="N12" s="1403">
        <f t="shared" si="13"/>
        <v>0</v>
      </c>
      <c r="O12" s="1350">
        <f t="shared" si="0"/>
        <v>0</v>
      </c>
      <c r="P12" s="1350">
        <f t="shared" si="14"/>
        <v>0</v>
      </c>
      <c r="Q12" s="1350">
        <f t="shared" si="15"/>
        <v>0</v>
      </c>
      <c r="R12" s="1350">
        <f t="shared" si="16"/>
        <v>0</v>
      </c>
      <c r="S12" s="1063"/>
      <c r="T12" s="1060">
        <v>45</v>
      </c>
      <c r="U12" s="1275"/>
      <c r="V12" s="1060">
        <v>43</v>
      </c>
      <c r="W12" s="1275"/>
      <c r="X12" s="160">
        <f t="shared" si="1"/>
        <v>-4.4444444444444398E-2</v>
      </c>
      <c r="Y12" s="1063"/>
      <c r="Z12" s="1060">
        <v>132</v>
      </c>
      <c r="AA12" s="1059"/>
      <c r="AB12" s="1060">
        <v>129</v>
      </c>
      <c r="AC12" s="1306"/>
      <c r="AD12" s="160">
        <f t="shared" si="2"/>
        <v>-2.2727272727272707E-2</v>
      </c>
      <c r="AE12" s="1063"/>
      <c r="AF12" s="1060">
        <v>95</v>
      </c>
      <c r="AG12" s="1059"/>
      <c r="AH12" s="1060">
        <v>97</v>
      </c>
      <c r="AI12" s="1306"/>
      <c r="AJ12" s="160">
        <f t="shared" si="3"/>
        <v>2.1052631578947434E-2</v>
      </c>
      <c r="AK12" s="1063"/>
      <c r="AL12" s="1060">
        <v>35</v>
      </c>
      <c r="AM12" s="1059"/>
      <c r="AN12" s="1060">
        <v>40</v>
      </c>
      <c r="AO12" s="1306"/>
      <c r="AP12" s="160">
        <f t="shared" si="4"/>
        <v>0.14285714285714279</v>
      </c>
      <c r="AQ12" s="1063"/>
      <c r="AR12" s="1060">
        <v>115</v>
      </c>
      <c r="AS12" s="1059"/>
      <c r="AT12" s="1060">
        <v>120</v>
      </c>
      <c r="AU12" s="1306"/>
      <c r="AV12" s="160">
        <f t="shared" si="5"/>
        <v>4.3478260869565188E-2</v>
      </c>
      <c r="AW12" s="1063"/>
      <c r="AX12" s="1060">
        <v>178</v>
      </c>
      <c r="AY12" s="1059"/>
      <c r="AZ12" s="1060">
        <v>178</v>
      </c>
      <c r="BA12" s="1306"/>
      <c r="BB12" s="160">
        <f t="shared" si="6"/>
        <v>0</v>
      </c>
      <c r="BC12" s="1063"/>
      <c r="BD12" s="1060">
        <v>37</v>
      </c>
      <c r="BE12" s="1059"/>
      <c r="BF12" s="1060">
        <v>32</v>
      </c>
      <c r="BG12" s="1306"/>
      <c r="BH12" s="160">
        <f t="shared" si="7"/>
        <v>-0.13513513513513509</v>
      </c>
      <c r="BI12" s="1063"/>
      <c r="BJ12" s="1060">
        <v>135</v>
      </c>
      <c r="BK12" s="1059"/>
      <c r="BL12" s="1060">
        <v>153</v>
      </c>
      <c r="BM12" s="1306"/>
      <c r="BN12" s="160">
        <f t="shared" si="8"/>
        <v>0.1333333333333333</v>
      </c>
      <c r="BO12" s="1063"/>
      <c r="BP12" s="1060">
        <v>42</v>
      </c>
      <c r="BQ12" s="1059"/>
      <c r="BR12" s="1060">
        <v>36</v>
      </c>
      <c r="BS12" s="1306"/>
      <c r="BT12" s="160">
        <f t="shared" si="9"/>
        <v>-0.1428571428571429</v>
      </c>
      <c r="BU12" s="1063"/>
      <c r="BV12" s="1060">
        <v>61</v>
      </c>
      <c r="BW12" s="1059"/>
      <c r="BX12" s="1060">
        <v>65</v>
      </c>
      <c r="BY12" s="1306"/>
      <c r="BZ12" s="160">
        <f t="shared" si="10"/>
        <v>6.5573770491803351E-2</v>
      </c>
      <c r="CA12" s="1039"/>
      <c r="CC12" s="1071"/>
      <c r="CD12" s="1036"/>
      <c r="CE12" s="1036"/>
      <c r="CF12" s="1036"/>
      <c r="CG12" s="1036"/>
      <c r="CH12" s="1036"/>
      <c r="CI12" s="1036"/>
      <c r="CJ12" s="1036"/>
      <c r="CK12" s="1036"/>
    </row>
    <row r="13" spans="1:89" s="957" customFormat="1" ht="28.5">
      <c r="A13" s="1650"/>
      <c r="B13" s="1650"/>
      <c r="C13" s="984">
        <v>3.3</v>
      </c>
      <c r="D13" s="1508" t="s">
        <v>2186</v>
      </c>
      <c r="E13" s="1066" t="s">
        <v>1104</v>
      </c>
      <c r="F13" s="1064" t="s">
        <v>1105</v>
      </c>
      <c r="G13" s="1067"/>
      <c r="H13" s="1068"/>
      <c r="I13" s="1059"/>
      <c r="J13" s="1062">
        <f t="shared" si="11"/>
        <v>42.3</v>
      </c>
      <c r="K13" s="1403"/>
      <c r="L13" s="1062">
        <f t="shared" si="12"/>
        <v>40.4</v>
      </c>
      <c r="M13" s="1403"/>
      <c r="N13" s="1403">
        <f t="shared" si="13"/>
        <v>0</v>
      </c>
      <c r="O13" s="1350">
        <f t="shared" si="0"/>
        <v>0</v>
      </c>
      <c r="P13" s="1350">
        <f t="shared" si="14"/>
        <v>0</v>
      </c>
      <c r="Q13" s="1350">
        <f t="shared" si="15"/>
        <v>0</v>
      </c>
      <c r="R13" s="1350">
        <f t="shared" si="16"/>
        <v>0</v>
      </c>
      <c r="S13" s="1063"/>
      <c r="T13" s="1060">
        <v>25</v>
      </c>
      <c r="U13" s="1275"/>
      <c r="V13" s="1060">
        <v>24</v>
      </c>
      <c r="W13" s="1275"/>
      <c r="X13" s="160">
        <f t="shared" si="1"/>
        <v>-4.0000000000000036E-2</v>
      </c>
      <c r="Y13" s="1063"/>
      <c r="Z13" s="1060">
        <v>51</v>
      </c>
      <c r="AA13" s="1059"/>
      <c r="AB13" s="1060">
        <v>43</v>
      </c>
      <c r="AC13" s="1306"/>
      <c r="AD13" s="160">
        <f t="shared" si="2"/>
        <v>-0.15686274509803921</v>
      </c>
      <c r="AE13" s="1063"/>
      <c r="AF13" s="1060">
        <v>33</v>
      </c>
      <c r="AG13" s="1059"/>
      <c r="AH13" s="1060">
        <v>30</v>
      </c>
      <c r="AI13" s="1306"/>
      <c r="AJ13" s="160">
        <f t="shared" si="3"/>
        <v>-9.0909090909090939E-2</v>
      </c>
      <c r="AK13" s="1063"/>
      <c r="AL13" s="1060">
        <v>29</v>
      </c>
      <c r="AM13" s="1059"/>
      <c r="AN13" s="1060">
        <v>22</v>
      </c>
      <c r="AO13" s="1306"/>
      <c r="AP13" s="160">
        <f t="shared" si="4"/>
        <v>-0.24137931034482762</v>
      </c>
      <c r="AQ13" s="1063"/>
      <c r="AR13" s="1060">
        <v>46</v>
      </c>
      <c r="AS13" s="1059"/>
      <c r="AT13" s="1060">
        <v>51</v>
      </c>
      <c r="AU13" s="1306"/>
      <c r="AV13" s="160">
        <f t="shared" si="5"/>
        <v>0.10869565217391308</v>
      </c>
      <c r="AW13" s="1063"/>
      <c r="AX13" s="1060">
        <v>76</v>
      </c>
      <c r="AY13" s="1059"/>
      <c r="AZ13" s="1060">
        <v>79</v>
      </c>
      <c r="BA13" s="1306"/>
      <c r="BB13" s="160">
        <f t="shared" si="6"/>
        <v>3.9473684210526327E-2</v>
      </c>
      <c r="BC13" s="1063"/>
      <c r="BD13" s="1060">
        <v>17</v>
      </c>
      <c r="BE13" s="1059"/>
      <c r="BF13" s="1060">
        <v>22</v>
      </c>
      <c r="BG13" s="1306"/>
      <c r="BH13" s="160">
        <f t="shared" si="7"/>
        <v>0.29411764705882359</v>
      </c>
      <c r="BI13" s="1063"/>
      <c r="BJ13" s="1060">
        <v>78</v>
      </c>
      <c r="BK13" s="1059"/>
      <c r="BL13" s="1060">
        <v>62</v>
      </c>
      <c r="BM13" s="1306"/>
      <c r="BN13" s="160">
        <f t="shared" si="8"/>
        <v>-0.20512820512820518</v>
      </c>
      <c r="BO13" s="1063"/>
      <c r="BP13" s="1060">
        <v>28</v>
      </c>
      <c r="BQ13" s="1059"/>
      <c r="BR13" s="1060">
        <v>31</v>
      </c>
      <c r="BS13" s="1306"/>
      <c r="BT13" s="160">
        <f t="shared" si="9"/>
        <v>0.10714285714285721</v>
      </c>
      <c r="BU13" s="1063"/>
      <c r="BV13" s="1060">
        <v>40</v>
      </c>
      <c r="BW13" s="1059"/>
      <c r="BX13" s="1060">
        <v>40</v>
      </c>
      <c r="BY13" s="1306"/>
      <c r="BZ13" s="160">
        <f t="shared" si="10"/>
        <v>0</v>
      </c>
      <c r="CC13" s="1071"/>
      <c r="CD13" s="1036"/>
      <c r="CE13" s="1036"/>
      <c r="CF13" s="1036"/>
      <c r="CG13" s="1036"/>
      <c r="CH13" s="1036"/>
      <c r="CI13" s="1036"/>
      <c r="CJ13" s="1036"/>
      <c r="CK13" s="1036"/>
    </row>
    <row r="14" spans="1:89" s="957" customFormat="1" ht="13.5" customHeight="1">
      <c r="A14" s="1072" t="s">
        <v>2474</v>
      </c>
      <c r="B14" s="1503" t="s">
        <v>2473</v>
      </c>
      <c r="C14" s="970">
        <v>4</v>
      </c>
      <c r="D14" s="1057" t="s">
        <v>1807</v>
      </c>
      <c r="E14" s="1066" t="s">
        <v>1106</v>
      </c>
      <c r="F14" s="1073"/>
      <c r="G14" s="1073" t="s">
        <v>1110</v>
      </c>
      <c r="H14" s="1062" t="s">
        <v>230</v>
      </c>
      <c r="I14" s="1061">
        <v>3</v>
      </c>
      <c r="J14" s="1062">
        <f t="shared" si="11"/>
        <v>5.0999999999999996</v>
      </c>
      <c r="K14" s="1403">
        <f>AVERAGE(BW14,BQ14,BK14,BE14,AY14,AS14,AM14,AG14,AA14,U14)</f>
        <v>3</v>
      </c>
      <c r="L14" s="1062">
        <f t="shared" si="12"/>
        <v>5.2</v>
      </c>
      <c r="M14" s="1403">
        <f>AVERAGE(BY14,BS14,BM14,BG14,BA14,AU14,AO14,AI14,AC14,W14)</f>
        <v>3</v>
      </c>
      <c r="N14" s="1403">
        <f t="shared" si="13"/>
        <v>0</v>
      </c>
      <c r="O14" s="1350">
        <f t="shared" si="0"/>
        <v>0</v>
      </c>
      <c r="P14" s="1350">
        <f t="shared" si="14"/>
        <v>0</v>
      </c>
      <c r="Q14" s="1350">
        <f t="shared" si="15"/>
        <v>0</v>
      </c>
      <c r="R14" s="1350">
        <f t="shared" si="16"/>
        <v>0</v>
      </c>
      <c r="S14" s="1063"/>
      <c r="T14" s="1060">
        <v>3</v>
      </c>
      <c r="U14" s="1275">
        <f>IF(T14&gt;=3,3,IF(T14&gt;0,1.5,0))</f>
        <v>3</v>
      </c>
      <c r="V14" s="1060">
        <v>4</v>
      </c>
      <c r="W14" s="1275">
        <v>3</v>
      </c>
      <c r="X14" s="160">
        <f t="shared" si="1"/>
        <v>0.33333333333333326</v>
      </c>
      <c r="Y14" s="1063"/>
      <c r="Z14" s="1060">
        <v>4</v>
      </c>
      <c r="AA14" s="1059">
        <f>IF(Z14&gt;=3,3,IF(Z14&gt;0,1.5,0))</f>
        <v>3</v>
      </c>
      <c r="AB14" s="1060">
        <v>4</v>
      </c>
      <c r="AC14" s="1306">
        <v>3</v>
      </c>
      <c r="AD14" s="160">
        <f t="shared" si="2"/>
        <v>0</v>
      </c>
      <c r="AE14" s="1063"/>
      <c r="AF14" s="1060">
        <v>4</v>
      </c>
      <c r="AG14" s="1059">
        <f>IF(AF14&gt;=3,3,IF(AF14&gt;0,1.5,0))</f>
        <v>3</v>
      </c>
      <c r="AH14" s="1060">
        <v>4</v>
      </c>
      <c r="AI14" s="1306">
        <v>3</v>
      </c>
      <c r="AJ14" s="160">
        <f t="shared" si="3"/>
        <v>0</v>
      </c>
      <c r="AK14" s="1063"/>
      <c r="AL14" s="1060">
        <v>4</v>
      </c>
      <c r="AM14" s="1059">
        <f>IF(AL14&gt;=3,3,IF(AL14&gt;0,1.5,0))</f>
        <v>3</v>
      </c>
      <c r="AN14" s="1060">
        <v>4</v>
      </c>
      <c r="AO14" s="1306">
        <v>3</v>
      </c>
      <c r="AP14" s="160">
        <f t="shared" si="4"/>
        <v>0</v>
      </c>
      <c r="AQ14" s="1063"/>
      <c r="AR14" s="1060">
        <v>4</v>
      </c>
      <c r="AS14" s="1059">
        <f>IF(AR14&gt;=3,3,IF(AR14&gt;0,1.5,0))</f>
        <v>3</v>
      </c>
      <c r="AT14" s="1060">
        <v>5</v>
      </c>
      <c r="AU14" s="1306">
        <v>3</v>
      </c>
      <c r="AV14" s="160">
        <f t="shared" si="5"/>
        <v>0.25</v>
      </c>
      <c r="AW14" s="1063"/>
      <c r="AX14" s="1060">
        <v>4</v>
      </c>
      <c r="AY14" s="1059">
        <f>IF(AX14&gt;=3,3,IF(AX14&gt;0,1.5,0))</f>
        <v>3</v>
      </c>
      <c r="AZ14" s="1060">
        <v>4</v>
      </c>
      <c r="BA14" s="1306">
        <v>3</v>
      </c>
      <c r="BB14" s="160">
        <f t="shared" si="6"/>
        <v>0</v>
      </c>
      <c r="BC14" s="1063"/>
      <c r="BD14" s="1060">
        <v>4</v>
      </c>
      <c r="BE14" s="1059">
        <f>IF(BD14&gt;=3,3,IF(BD14&gt;0,1.5,0))</f>
        <v>3</v>
      </c>
      <c r="BF14" s="1060">
        <v>4</v>
      </c>
      <c r="BG14" s="1306">
        <v>3</v>
      </c>
      <c r="BH14" s="160">
        <f t="shared" si="7"/>
        <v>0</v>
      </c>
      <c r="BI14" s="1063"/>
      <c r="BJ14" s="1060">
        <v>4</v>
      </c>
      <c r="BK14" s="1059">
        <f>IF(BJ14&gt;=3,3,IF(BJ14&gt;0,1.5,0))</f>
        <v>3</v>
      </c>
      <c r="BL14" s="1060">
        <v>4</v>
      </c>
      <c r="BM14" s="1306">
        <v>3</v>
      </c>
      <c r="BN14" s="160">
        <f t="shared" si="8"/>
        <v>0</v>
      </c>
      <c r="BO14" s="1063"/>
      <c r="BP14" s="1060">
        <v>16</v>
      </c>
      <c r="BQ14" s="1059">
        <f>IF(BP14&gt;=3,3,IF(BP14&gt;0,1.5,0))</f>
        <v>3</v>
      </c>
      <c r="BR14" s="1060">
        <v>15</v>
      </c>
      <c r="BS14" s="1306">
        <v>3</v>
      </c>
      <c r="BT14" s="160">
        <f t="shared" si="9"/>
        <v>-6.25E-2</v>
      </c>
      <c r="BU14" s="1063"/>
      <c r="BV14" s="1060">
        <v>4</v>
      </c>
      <c r="BW14" s="1059">
        <f>IF(BV14&gt;=3,3,IF(BV14&gt;0,1.5,0))</f>
        <v>3</v>
      </c>
      <c r="BX14" s="1060">
        <v>4</v>
      </c>
      <c r="BY14" s="1306">
        <v>3</v>
      </c>
      <c r="BZ14" s="160">
        <f t="shared" si="10"/>
        <v>0</v>
      </c>
      <c r="CA14" s="1039"/>
      <c r="CC14" s="1071"/>
      <c r="CD14" s="1036"/>
      <c r="CE14" s="1036"/>
      <c r="CF14" s="1036"/>
      <c r="CG14" s="1036"/>
      <c r="CH14" s="1036"/>
      <c r="CI14" s="1036"/>
      <c r="CJ14" s="1036"/>
      <c r="CK14" s="1036"/>
    </row>
    <row r="15" spans="1:89" s="1078" customFormat="1" ht="27">
      <c r="A15" s="1074" t="s">
        <v>1476</v>
      </c>
      <c r="B15" s="1075" t="s">
        <v>1112</v>
      </c>
      <c r="C15" s="970">
        <v>5</v>
      </c>
      <c r="D15" s="1076" t="s">
        <v>1111</v>
      </c>
      <c r="E15" s="1066" t="s">
        <v>1104</v>
      </c>
      <c r="F15" s="1059"/>
      <c r="G15" s="1059" t="s">
        <v>399</v>
      </c>
      <c r="H15" s="1062" t="s">
        <v>230</v>
      </c>
      <c r="I15" s="1061">
        <v>4</v>
      </c>
      <c r="J15" s="1077" t="s">
        <v>1113</v>
      </c>
      <c r="K15" s="1403">
        <f>AVERAGE(BW15,BQ15,BK15,BE15,AY15,AS15,AM15,AG15,AA15,U15)</f>
        <v>4</v>
      </c>
      <c r="L15" s="1077" t="s">
        <v>1113</v>
      </c>
      <c r="M15" s="1403">
        <f>AVERAGE(BY15,BS15,BM15,BG15,BA15,AU15,AO15,AI15,AC15,W15)</f>
        <v>4</v>
      </c>
      <c r="N15" s="1403">
        <f t="shared" si="13"/>
        <v>0</v>
      </c>
      <c r="O15" s="1350">
        <f t="shared" si="0"/>
        <v>0</v>
      </c>
      <c r="P15" s="1350">
        <f t="shared" si="14"/>
        <v>0</v>
      </c>
      <c r="Q15" s="1350">
        <f t="shared" si="15"/>
        <v>0</v>
      </c>
      <c r="R15" s="1350">
        <f t="shared" si="16"/>
        <v>0</v>
      </c>
      <c r="S15" s="1063" t="s">
        <v>1491</v>
      </c>
      <c r="T15" s="1060" t="s">
        <v>1113</v>
      </c>
      <c r="U15" s="1275">
        <v>4</v>
      </c>
      <c r="V15" s="1060" t="s">
        <v>1113</v>
      </c>
      <c r="W15" s="1275">
        <v>4</v>
      </c>
      <c r="X15" s="160">
        <f>IF((V15=T15)=TRUE,0,1)</f>
        <v>0</v>
      </c>
      <c r="Y15" s="1063"/>
      <c r="Z15" s="1060" t="s">
        <v>1113</v>
      </c>
      <c r="AA15" s="1059">
        <v>4</v>
      </c>
      <c r="AB15" s="1060" t="s">
        <v>1113</v>
      </c>
      <c r="AC15" s="1306">
        <v>4</v>
      </c>
      <c r="AD15" s="160">
        <f>IF((AB15=Z15)=TRUE,0,1)</f>
        <v>0</v>
      </c>
      <c r="AE15" s="1063"/>
      <c r="AF15" s="1060" t="s">
        <v>1113</v>
      </c>
      <c r="AG15" s="1059">
        <v>4</v>
      </c>
      <c r="AH15" s="1060" t="s">
        <v>1113</v>
      </c>
      <c r="AI15" s="1306">
        <v>4</v>
      </c>
      <c r="AJ15" s="160">
        <f>IF((AH15=AF15)=TRUE,0,1)</f>
        <v>0</v>
      </c>
      <c r="AK15" s="1063"/>
      <c r="AL15" s="1060" t="s">
        <v>1113</v>
      </c>
      <c r="AM15" s="1059">
        <v>4</v>
      </c>
      <c r="AN15" s="1060" t="s">
        <v>1113</v>
      </c>
      <c r="AO15" s="1306">
        <v>4</v>
      </c>
      <c r="AP15" s="160">
        <f>IF((AN15=AL15)=TRUE,0,1)</f>
        <v>0</v>
      </c>
      <c r="AQ15" s="1063"/>
      <c r="AR15" s="1060" t="s">
        <v>1113</v>
      </c>
      <c r="AS15" s="1059">
        <v>4</v>
      </c>
      <c r="AT15" s="1060" t="s">
        <v>1113</v>
      </c>
      <c r="AU15" s="1306">
        <v>4</v>
      </c>
      <c r="AV15" s="160">
        <f>IF((AT15=AR15)=TRUE,0,1)</f>
        <v>0</v>
      </c>
      <c r="AW15" s="1063"/>
      <c r="AX15" s="1060" t="s">
        <v>1113</v>
      </c>
      <c r="AY15" s="1059">
        <v>4</v>
      </c>
      <c r="AZ15" s="1060" t="s">
        <v>1113</v>
      </c>
      <c r="BA15" s="1306">
        <v>4</v>
      </c>
      <c r="BB15" s="160">
        <f>IF((AZ15=AX15)=TRUE,0,1)</f>
        <v>0</v>
      </c>
      <c r="BC15" s="1063"/>
      <c r="BD15" s="1060" t="s">
        <v>1113</v>
      </c>
      <c r="BE15" s="1059">
        <v>4</v>
      </c>
      <c r="BF15" s="1060" t="s">
        <v>1113</v>
      </c>
      <c r="BG15" s="1306">
        <v>4</v>
      </c>
      <c r="BH15" s="160">
        <f>IF((BF15=BD15)=TRUE,0,1)</f>
        <v>0</v>
      </c>
      <c r="BI15" s="1063"/>
      <c r="BJ15" s="1060" t="s">
        <v>1113</v>
      </c>
      <c r="BK15" s="1059">
        <v>4</v>
      </c>
      <c r="BL15" s="1060" t="s">
        <v>1113</v>
      </c>
      <c r="BM15" s="1306">
        <v>4</v>
      </c>
      <c r="BN15" s="160">
        <f>IF((BL15=BJ15)=TRUE,0,1)</f>
        <v>0</v>
      </c>
      <c r="BO15" s="1063"/>
      <c r="BP15" s="1060" t="s">
        <v>1113</v>
      </c>
      <c r="BQ15" s="1059">
        <v>4</v>
      </c>
      <c r="BR15" s="1060" t="s">
        <v>1113</v>
      </c>
      <c r="BS15" s="1306">
        <v>4</v>
      </c>
      <c r="BT15" s="160">
        <f>IF((BR15=BP15)=TRUE,0,1)</f>
        <v>0</v>
      </c>
      <c r="BU15" s="1063"/>
      <c r="BV15" s="1060" t="s">
        <v>1113</v>
      </c>
      <c r="BW15" s="1059">
        <v>4</v>
      </c>
      <c r="BX15" s="1060" t="s">
        <v>1113</v>
      </c>
      <c r="BY15" s="1306">
        <v>4</v>
      </c>
      <c r="BZ15" s="160">
        <f>IF((BX15=BV15)=TRUE,0,1)</f>
        <v>0</v>
      </c>
      <c r="CA15" s="1039"/>
      <c r="CC15" s="1036"/>
      <c r="CD15" s="1036"/>
      <c r="CE15" s="1036"/>
      <c r="CF15" s="1036"/>
      <c r="CG15" s="1036"/>
      <c r="CH15" s="1036"/>
      <c r="CI15" s="1036"/>
      <c r="CJ15" s="1036"/>
      <c r="CK15" s="1036"/>
    </row>
    <row r="16" spans="1:89" s="957" customFormat="1" ht="14.25">
      <c r="A16" s="1651" t="s">
        <v>1115</v>
      </c>
      <c r="B16" s="1651" t="s">
        <v>1680</v>
      </c>
      <c r="C16" s="970">
        <v>6</v>
      </c>
      <c r="D16" s="1057" t="s">
        <v>1114</v>
      </c>
      <c r="E16" s="1058"/>
      <c r="F16" s="1059"/>
      <c r="G16" s="1059" t="s">
        <v>399</v>
      </c>
      <c r="H16" s="1060" t="s">
        <v>230</v>
      </c>
      <c r="I16" s="1061">
        <v>1</v>
      </c>
      <c r="J16" s="1062">
        <f>AVERAGE(BV16,BP16,BJ16,BD16,AX16,AR16,AL16,AF16,Z16,T16)</f>
        <v>1</v>
      </c>
      <c r="K16" s="1403">
        <f>AVERAGE(BW16,BQ16,BK16,BE16,AY16,AS16,AM16,AG16,AA16,U16)</f>
        <v>1</v>
      </c>
      <c r="L16" s="1062">
        <f>AVERAGE(BX16,BR16,BL16,BF16,AZ16,AT16,AN16,AH16,AB16,V16)</f>
        <v>1</v>
      </c>
      <c r="M16" s="1403">
        <f>AVERAGE(BY16,BS16,BM16,BG16,BA16,AU16,AO16,AI16,AC16,W16)</f>
        <v>1</v>
      </c>
      <c r="N16" s="1403">
        <f t="shared" si="13"/>
        <v>0</v>
      </c>
      <c r="O16" s="1350">
        <f t="shared" si="0"/>
        <v>0</v>
      </c>
      <c r="P16" s="1350">
        <f t="shared" si="14"/>
        <v>0</v>
      </c>
      <c r="Q16" s="1350">
        <f t="shared" si="15"/>
        <v>0</v>
      </c>
      <c r="R16" s="1350">
        <f t="shared" si="16"/>
        <v>0</v>
      </c>
      <c r="S16" s="1063"/>
      <c r="T16" s="1272">
        <v>1</v>
      </c>
      <c r="U16" s="1275">
        <f>IF(T16=1,1,0)</f>
        <v>1</v>
      </c>
      <c r="V16" s="1272">
        <f>IF(V18=0,"",V17/V18)</f>
        <v>1</v>
      </c>
      <c r="W16" s="1275">
        <f>IF(V16=1,1,0)</f>
        <v>1</v>
      </c>
      <c r="X16" s="160">
        <f t="shared" si="1"/>
        <v>0</v>
      </c>
      <c r="Y16" s="1063"/>
      <c r="Z16" s="1272">
        <v>1</v>
      </c>
      <c r="AA16" s="1059">
        <f>IF(Z16=1,1,0)</f>
        <v>1</v>
      </c>
      <c r="AB16" s="1272">
        <f>IF(AB18=0,"",AB17/AB18)</f>
        <v>1</v>
      </c>
      <c r="AC16" s="1306">
        <f>IF(AB16=1,1,0)</f>
        <v>1</v>
      </c>
      <c r="AD16" s="160">
        <f t="shared" si="2"/>
        <v>0</v>
      </c>
      <c r="AE16" s="1063"/>
      <c r="AF16" s="1272">
        <v>1</v>
      </c>
      <c r="AG16" s="1059">
        <f>IF(AF16=1,1,0)</f>
        <v>1</v>
      </c>
      <c r="AH16" s="1272">
        <f>IF(AH18=0,"",AH17/AH18)</f>
        <v>1</v>
      </c>
      <c r="AI16" s="1306">
        <f>IF(AH16=1,1,0)</f>
        <v>1</v>
      </c>
      <c r="AJ16" s="160">
        <f t="shared" si="3"/>
        <v>0</v>
      </c>
      <c r="AK16" s="1063"/>
      <c r="AL16" s="1272">
        <v>1</v>
      </c>
      <c r="AM16" s="1059">
        <f>IF(AL16=1,1,0)</f>
        <v>1</v>
      </c>
      <c r="AN16" s="1272">
        <f>IF(AN18=0,"",AN17/AN18)</f>
        <v>1</v>
      </c>
      <c r="AO16" s="1306">
        <f>IF(AN16=1,1,0)</f>
        <v>1</v>
      </c>
      <c r="AP16" s="160">
        <f t="shared" si="4"/>
        <v>0</v>
      </c>
      <c r="AQ16" s="1063"/>
      <c r="AR16" s="1272">
        <v>1</v>
      </c>
      <c r="AS16" s="1059">
        <f>IF(AR16=1,1,0)</f>
        <v>1</v>
      </c>
      <c r="AT16" s="1272">
        <f>IF(AT18=0,"",AT17/AT18)</f>
        <v>1</v>
      </c>
      <c r="AU16" s="1306">
        <f>IF(AT16=1,1,0)</f>
        <v>1</v>
      </c>
      <c r="AV16" s="160">
        <f t="shared" si="5"/>
        <v>0</v>
      </c>
      <c r="AW16" s="1063"/>
      <c r="AX16" s="1272">
        <v>1</v>
      </c>
      <c r="AY16" s="1059">
        <f>IF(AX16=1,1,0)</f>
        <v>1</v>
      </c>
      <c r="AZ16" s="1272">
        <f>IF(AZ18=0,"",AZ17/AZ18)</f>
        <v>1</v>
      </c>
      <c r="BA16" s="1306">
        <f>IF(AZ16=1,1,0)</f>
        <v>1</v>
      </c>
      <c r="BB16" s="160">
        <f t="shared" si="6"/>
        <v>0</v>
      </c>
      <c r="BC16" s="1063"/>
      <c r="BD16" s="1272">
        <v>1</v>
      </c>
      <c r="BE16" s="1059">
        <f>IF(BD16=1,1,0)</f>
        <v>1</v>
      </c>
      <c r="BF16" s="1272">
        <f>IF(BF18=0,"",BF17/BF18)</f>
        <v>1</v>
      </c>
      <c r="BG16" s="1306">
        <f>IF(BF16=1,1,0)</f>
        <v>1</v>
      </c>
      <c r="BH16" s="160">
        <f t="shared" si="7"/>
        <v>0</v>
      </c>
      <c r="BI16" s="1063"/>
      <c r="BJ16" s="1272">
        <v>1</v>
      </c>
      <c r="BK16" s="1059">
        <f>IF(BJ16=1,1,0)</f>
        <v>1</v>
      </c>
      <c r="BL16" s="1272">
        <f>IF(BL18=0,"",BL17/BL18)</f>
        <v>1</v>
      </c>
      <c r="BM16" s="1306">
        <f>IF(BL16=1,1,0)</f>
        <v>1</v>
      </c>
      <c r="BN16" s="160">
        <f t="shared" si="8"/>
        <v>0</v>
      </c>
      <c r="BO16" s="1063"/>
      <c r="BP16" s="1272">
        <v>1</v>
      </c>
      <c r="BQ16" s="1059">
        <f>IF(BP16=1,1,0)</f>
        <v>1</v>
      </c>
      <c r="BR16" s="1272">
        <f>IF(BR18=0,"",BR17/BR18)</f>
        <v>1</v>
      </c>
      <c r="BS16" s="1306">
        <f>IF(BR16=1,1,0)</f>
        <v>1</v>
      </c>
      <c r="BT16" s="160">
        <f t="shared" si="9"/>
        <v>0</v>
      </c>
      <c r="BU16" s="1063"/>
      <c r="BV16" s="1272">
        <v>1</v>
      </c>
      <c r="BW16" s="1059">
        <f>IF(BV16=1,1,0)</f>
        <v>1</v>
      </c>
      <c r="BX16" s="1272">
        <f>IF(BX18=0,"",BX17/BX18)</f>
        <v>1</v>
      </c>
      <c r="BY16" s="1306">
        <f>IF(BX16=1,1,0)</f>
        <v>1</v>
      </c>
      <c r="BZ16" s="160">
        <f t="shared" si="10"/>
        <v>0</v>
      </c>
      <c r="CA16" s="1039"/>
      <c r="CC16" s="1036"/>
      <c r="CD16" s="1036"/>
      <c r="CE16" s="1036"/>
      <c r="CF16" s="1036"/>
      <c r="CG16" s="1036"/>
      <c r="CH16" s="1036"/>
      <c r="CI16" s="1036"/>
      <c r="CJ16" s="1036"/>
      <c r="CK16" s="1036"/>
    </row>
    <row r="17" spans="1:89" s="957" customFormat="1">
      <c r="A17" s="1650"/>
      <c r="B17" s="1650"/>
      <c r="C17" s="984">
        <v>6.1</v>
      </c>
      <c r="D17" s="1379" t="s">
        <v>2173</v>
      </c>
      <c r="E17" s="1079" t="s">
        <v>1106</v>
      </c>
      <c r="F17" s="1080"/>
      <c r="G17" s="1080"/>
      <c r="H17" s="1081"/>
      <c r="I17" s="1059"/>
      <c r="J17" s="1062">
        <f t="shared" ref="J17:J33" si="17">AVERAGE(BV17,BP17,BJ17,BD17,AX17,AR17,AL17,AF17,Z17,T17)</f>
        <v>31.2</v>
      </c>
      <c r="K17" s="1403"/>
      <c r="L17" s="1062">
        <f>AVERAGE(BX17,BR17,BL17,BF17,AZ17,AT17,AN17,AH17,AB17,V17)</f>
        <v>31.9</v>
      </c>
      <c r="M17" s="1403"/>
      <c r="N17" s="1403">
        <f t="shared" si="13"/>
        <v>0</v>
      </c>
      <c r="O17" s="1350">
        <f t="shared" si="0"/>
        <v>0</v>
      </c>
      <c r="P17" s="1350">
        <f t="shared" si="14"/>
        <v>0</v>
      </c>
      <c r="Q17" s="1350">
        <f t="shared" si="15"/>
        <v>0</v>
      </c>
      <c r="R17" s="1350">
        <f t="shared" si="16"/>
        <v>0</v>
      </c>
      <c r="S17" s="1063"/>
      <c r="T17" s="1060">
        <v>37</v>
      </c>
      <c r="U17" s="1275"/>
      <c r="V17" s="1060">
        <v>40</v>
      </c>
      <c r="W17" s="1275"/>
      <c r="X17" s="160">
        <f t="shared" si="1"/>
        <v>8.1081081081081141E-2</v>
      </c>
      <c r="Y17" s="1063"/>
      <c r="Z17" s="1060">
        <v>8</v>
      </c>
      <c r="AA17" s="1059"/>
      <c r="AB17" s="1060">
        <v>9</v>
      </c>
      <c r="AC17" s="1306"/>
      <c r="AD17" s="160">
        <f t="shared" si="2"/>
        <v>0.125</v>
      </c>
      <c r="AE17" s="1063"/>
      <c r="AF17" s="1060">
        <v>24</v>
      </c>
      <c r="AG17" s="1059"/>
      <c r="AH17" s="1060">
        <v>27</v>
      </c>
      <c r="AI17" s="1306"/>
      <c r="AJ17" s="160">
        <f t="shared" si="3"/>
        <v>0.125</v>
      </c>
      <c r="AK17" s="1063"/>
      <c r="AL17" s="1060">
        <v>4</v>
      </c>
      <c r="AM17" s="1059"/>
      <c r="AN17" s="1060">
        <v>4</v>
      </c>
      <c r="AO17" s="1306"/>
      <c r="AP17" s="160">
        <f t="shared" si="4"/>
        <v>0</v>
      </c>
      <c r="AQ17" s="1063"/>
      <c r="AR17" s="1060">
        <v>47</v>
      </c>
      <c r="AS17" s="1059"/>
      <c r="AT17" s="1060">
        <v>49</v>
      </c>
      <c r="AU17" s="1306"/>
      <c r="AV17" s="160">
        <f t="shared" si="5"/>
        <v>4.2553191489361764E-2</v>
      </c>
      <c r="AW17" s="1063"/>
      <c r="AX17" s="1060">
        <v>59</v>
      </c>
      <c r="AY17" s="1059"/>
      <c r="AZ17" s="1060">
        <v>63</v>
      </c>
      <c r="BA17" s="1306"/>
      <c r="BB17" s="160">
        <f t="shared" si="6"/>
        <v>6.7796610169491567E-2</v>
      </c>
      <c r="BC17" s="1063"/>
      <c r="BD17" s="1060">
        <v>2</v>
      </c>
      <c r="BE17" s="1059"/>
      <c r="BF17" s="1060">
        <v>5</v>
      </c>
      <c r="BG17" s="1306"/>
      <c r="BH17" s="160">
        <f t="shared" si="7"/>
        <v>1.5</v>
      </c>
      <c r="BI17" s="1063"/>
      <c r="BJ17" s="1060">
        <v>40</v>
      </c>
      <c r="BK17" s="1059"/>
      <c r="BL17" s="1060">
        <v>40</v>
      </c>
      <c r="BM17" s="1306"/>
      <c r="BN17" s="160">
        <f t="shared" si="8"/>
        <v>0</v>
      </c>
      <c r="BO17" s="1063"/>
      <c r="BP17" s="1060">
        <v>33</v>
      </c>
      <c r="BQ17" s="1059"/>
      <c r="BR17" s="1060">
        <v>29</v>
      </c>
      <c r="BS17" s="1306"/>
      <c r="BT17" s="160">
        <f t="shared" si="9"/>
        <v>-0.12121212121212122</v>
      </c>
      <c r="BU17" s="1063"/>
      <c r="BV17" s="1060">
        <v>58</v>
      </c>
      <c r="BW17" s="1059"/>
      <c r="BX17" s="1060">
        <v>53</v>
      </c>
      <c r="BY17" s="1306"/>
      <c r="BZ17" s="160">
        <f t="shared" si="10"/>
        <v>-8.6206896551724088E-2</v>
      </c>
      <c r="CA17" s="1039"/>
      <c r="CC17" s="1036"/>
      <c r="CD17" s="1036"/>
      <c r="CE17" s="1036"/>
      <c r="CF17" s="1036"/>
      <c r="CG17" s="1036"/>
      <c r="CH17" s="1036"/>
      <c r="CI17" s="1036"/>
      <c r="CJ17" s="1036"/>
      <c r="CK17" s="1036"/>
    </row>
    <row r="18" spans="1:89" s="957" customFormat="1">
      <c r="A18" s="1650"/>
      <c r="B18" s="1650"/>
      <c r="C18" s="1082">
        <v>6.2</v>
      </c>
      <c r="D18" s="1379" t="s">
        <v>2174</v>
      </c>
      <c r="E18" s="1079" t="s">
        <v>1106</v>
      </c>
      <c r="F18" s="1080"/>
      <c r="G18" s="1080"/>
      <c r="H18" s="1081"/>
      <c r="I18" s="1059"/>
      <c r="J18" s="1062">
        <f t="shared" si="17"/>
        <v>31.2</v>
      </c>
      <c r="K18" s="1403"/>
      <c r="L18" s="1062">
        <f>AVERAGE(BX18,BR18,BL18,BF18,AZ18,AT18,AN18,AH18,AB18,V18)</f>
        <v>31.9</v>
      </c>
      <c r="M18" s="1403"/>
      <c r="N18" s="1403">
        <f t="shared" si="13"/>
        <v>0</v>
      </c>
      <c r="O18" s="1350">
        <f t="shared" si="0"/>
        <v>0</v>
      </c>
      <c r="P18" s="1350">
        <f t="shared" si="14"/>
        <v>0</v>
      </c>
      <c r="Q18" s="1350">
        <f t="shared" si="15"/>
        <v>0</v>
      </c>
      <c r="R18" s="1350">
        <f t="shared" si="16"/>
        <v>0</v>
      </c>
      <c r="S18" s="1063"/>
      <c r="T18" s="1060">
        <v>37</v>
      </c>
      <c r="U18" s="1275"/>
      <c r="V18" s="1060">
        <v>40</v>
      </c>
      <c r="W18" s="1275"/>
      <c r="X18" s="160">
        <f t="shared" si="1"/>
        <v>8.1081081081081141E-2</v>
      </c>
      <c r="Y18" s="1063"/>
      <c r="Z18" s="1060">
        <v>8</v>
      </c>
      <c r="AA18" s="1059"/>
      <c r="AB18" s="1060">
        <v>9</v>
      </c>
      <c r="AC18" s="1306"/>
      <c r="AD18" s="160">
        <f t="shared" si="2"/>
        <v>0.125</v>
      </c>
      <c r="AE18" s="1063"/>
      <c r="AF18" s="1060">
        <v>24</v>
      </c>
      <c r="AG18" s="1059"/>
      <c r="AH18" s="1060">
        <v>27</v>
      </c>
      <c r="AI18" s="1306"/>
      <c r="AJ18" s="160">
        <f t="shared" si="3"/>
        <v>0.125</v>
      </c>
      <c r="AK18" s="1063"/>
      <c r="AL18" s="1060">
        <v>4</v>
      </c>
      <c r="AM18" s="1059"/>
      <c r="AN18" s="1060">
        <v>4</v>
      </c>
      <c r="AO18" s="1306"/>
      <c r="AP18" s="160">
        <f t="shared" si="4"/>
        <v>0</v>
      </c>
      <c r="AQ18" s="1063"/>
      <c r="AR18" s="1060">
        <v>47</v>
      </c>
      <c r="AS18" s="1059"/>
      <c r="AT18" s="1060">
        <v>49</v>
      </c>
      <c r="AU18" s="1306"/>
      <c r="AV18" s="160">
        <f t="shared" si="5"/>
        <v>4.2553191489361764E-2</v>
      </c>
      <c r="AW18" s="1063"/>
      <c r="AX18" s="1060">
        <v>59</v>
      </c>
      <c r="AY18" s="1059"/>
      <c r="AZ18" s="1060">
        <v>63</v>
      </c>
      <c r="BA18" s="1306"/>
      <c r="BB18" s="160">
        <f t="shared" si="6"/>
        <v>6.7796610169491567E-2</v>
      </c>
      <c r="BC18" s="1063"/>
      <c r="BD18" s="1060">
        <v>2</v>
      </c>
      <c r="BE18" s="1059"/>
      <c r="BF18" s="1060">
        <v>5</v>
      </c>
      <c r="BG18" s="1306"/>
      <c r="BH18" s="160">
        <f t="shared" si="7"/>
        <v>1.5</v>
      </c>
      <c r="BI18" s="1063"/>
      <c r="BJ18" s="1060">
        <v>40</v>
      </c>
      <c r="BK18" s="1059"/>
      <c r="BL18" s="1060">
        <v>40</v>
      </c>
      <c r="BM18" s="1306"/>
      <c r="BN18" s="160">
        <f t="shared" si="8"/>
        <v>0</v>
      </c>
      <c r="BO18" s="1063"/>
      <c r="BP18" s="1060">
        <v>33</v>
      </c>
      <c r="BQ18" s="1059"/>
      <c r="BR18" s="1060">
        <v>29</v>
      </c>
      <c r="BS18" s="1306"/>
      <c r="BT18" s="160">
        <f t="shared" si="9"/>
        <v>-0.12121212121212122</v>
      </c>
      <c r="BU18" s="1063"/>
      <c r="BV18" s="1060">
        <v>58</v>
      </c>
      <c r="BW18" s="1059"/>
      <c r="BX18" s="1060">
        <v>53</v>
      </c>
      <c r="BY18" s="1306"/>
      <c r="BZ18" s="160">
        <f t="shared" si="10"/>
        <v>-8.6206896551724088E-2</v>
      </c>
      <c r="CA18" s="1039"/>
      <c r="CC18" s="1036"/>
      <c r="CD18" s="1036"/>
      <c r="CE18" s="1036"/>
      <c r="CF18" s="1036"/>
      <c r="CG18" s="1036"/>
      <c r="CH18" s="1036"/>
      <c r="CI18" s="1036"/>
      <c r="CJ18" s="1036"/>
      <c r="CK18" s="1036"/>
    </row>
    <row r="19" spans="1:89" s="957" customFormat="1" ht="14.25">
      <c r="A19" s="1651" t="s">
        <v>2171</v>
      </c>
      <c r="B19" s="1651" t="s">
        <v>1117</v>
      </c>
      <c r="C19" s="970">
        <v>7</v>
      </c>
      <c r="D19" s="1057" t="s">
        <v>2238</v>
      </c>
      <c r="E19" s="1058"/>
      <c r="F19" s="1059"/>
      <c r="G19" s="1059" t="s">
        <v>399</v>
      </c>
      <c r="H19" s="1060" t="s">
        <v>230</v>
      </c>
      <c r="I19" s="1061">
        <v>2</v>
      </c>
      <c r="J19" s="1062">
        <f t="shared" si="17"/>
        <v>1</v>
      </c>
      <c r="K19" s="1403">
        <f>AVERAGE(BW19,BQ19,BK19,BE19,AY19,AS19,AM19,AG19,AA19,U19)</f>
        <v>2</v>
      </c>
      <c r="L19" s="1062">
        <f t="shared" ref="L19:L33" si="18">AVERAGE(BX19,BR19,BL19,BF19,AZ19,AT19,AN19,AH19,AB19,V19)</f>
        <v>1</v>
      </c>
      <c r="M19" s="1403">
        <f>AVERAGE(BY19,BS19,BM19,BG19,BA19,AU19,AO19,AI19,AC19,W19)</f>
        <v>2</v>
      </c>
      <c r="N19" s="1403">
        <f>M19-K19</f>
        <v>0</v>
      </c>
      <c r="O19" s="1350">
        <f t="shared" si="0"/>
        <v>0</v>
      </c>
      <c r="P19" s="1350">
        <f t="shared" si="14"/>
        <v>0</v>
      </c>
      <c r="Q19" s="1350">
        <f t="shared" si="15"/>
        <v>0</v>
      </c>
      <c r="R19" s="1350">
        <f t="shared" si="16"/>
        <v>0</v>
      </c>
      <c r="S19" s="1063"/>
      <c r="T19" s="1272">
        <v>1</v>
      </c>
      <c r="U19" s="1275">
        <f>IF(T19=1,2,0)</f>
        <v>2</v>
      </c>
      <c r="V19" s="1272">
        <f>IF(V21=0,"",V20/V21)</f>
        <v>1</v>
      </c>
      <c r="W19" s="1275">
        <f>IF(V19=1,2,0)</f>
        <v>2</v>
      </c>
      <c r="X19" s="160">
        <f t="shared" si="1"/>
        <v>0</v>
      </c>
      <c r="Y19" s="1063"/>
      <c r="Z19" s="1272">
        <v>1</v>
      </c>
      <c r="AA19" s="1059">
        <f>IF(Z19=1,2,0)</f>
        <v>2</v>
      </c>
      <c r="AB19" s="1272">
        <f>IF(AB21=0,"",AB20/AB21)</f>
        <v>1</v>
      </c>
      <c r="AC19" s="1306">
        <f>IF(AB19=1,2,0)</f>
        <v>2</v>
      </c>
      <c r="AD19" s="160">
        <f t="shared" si="2"/>
        <v>0</v>
      </c>
      <c r="AE19" s="1063"/>
      <c r="AF19" s="1272">
        <v>1</v>
      </c>
      <c r="AG19" s="1059">
        <f>IF(AF19=1,2,0)</f>
        <v>2</v>
      </c>
      <c r="AH19" s="1272">
        <f>IF(AH21=0,"",AH20/AH21)</f>
        <v>1</v>
      </c>
      <c r="AI19" s="1306">
        <f>IF(AH19=1,2,0)</f>
        <v>2</v>
      </c>
      <c r="AJ19" s="160">
        <f t="shared" si="3"/>
        <v>0</v>
      </c>
      <c r="AK19" s="1063"/>
      <c r="AL19" s="1272">
        <v>1</v>
      </c>
      <c r="AM19" s="1059">
        <f>IF(AL19=1,2,0)</f>
        <v>2</v>
      </c>
      <c r="AN19" s="1272">
        <v>1</v>
      </c>
      <c r="AO19" s="1306">
        <f>IF(AN19=1,2,0)</f>
        <v>2</v>
      </c>
      <c r="AP19" s="160">
        <f t="shared" si="4"/>
        <v>0</v>
      </c>
      <c r="AQ19" s="1063"/>
      <c r="AR19" s="1272">
        <v>1</v>
      </c>
      <c r="AS19" s="1059">
        <f>IF(AR19=1,2,0)</f>
        <v>2</v>
      </c>
      <c r="AT19" s="1272">
        <f>IF(AT21=0,"",AT20/AT21)</f>
        <v>1</v>
      </c>
      <c r="AU19" s="1306">
        <f>IF(AT19=1,2,0)</f>
        <v>2</v>
      </c>
      <c r="AV19" s="160">
        <f t="shared" si="5"/>
        <v>0</v>
      </c>
      <c r="AW19" s="1063"/>
      <c r="AX19" s="1272">
        <v>1</v>
      </c>
      <c r="AY19" s="1059">
        <f>IF(AX19=1,2,0)</f>
        <v>2</v>
      </c>
      <c r="AZ19" s="1272">
        <f>IF(AZ21=0,"",AZ20/AZ21)</f>
        <v>1</v>
      </c>
      <c r="BA19" s="1306">
        <f>IF(AZ19=1,2,0)</f>
        <v>2</v>
      </c>
      <c r="BB19" s="160">
        <f t="shared" si="6"/>
        <v>0</v>
      </c>
      <c r="BC19" s="1063"/>
      <c r="BD19" s="1272">
        <v>1</v>
      </c>
      <c r="BE19" s="1059">
        <f>IF(BD19=1,2,0)</f>
        <v>2</v>
      </c>
      <c r="BF19" s="1272">
        <f>IF(BF21=0,"",BF20/BF21)</f>
        <v>1</v>
      </c>
      <c r="BG19" s="1306">
        <f>IF(BF19=1,2,0)</f>
        <v>2</v>
      </c>
      <c r="BH19" s="160">
        <f t="shared" si="7"/>
        <v>0</v>
      </c>
      <c r="BI19" s="1063"/>
      <c r="BJ19" s="1272">
        <v>1</v>
      </c>
      <c r="BK19" s="1059">
        <f>IF(BJ19=1,2,0)</f>
        <v>2</v>
      </c>
      <c r="BL19" s="1272">
        <f>IF(BL21=0,"",BL20/BL21)</f>
        <v>1</v>
      </c>
      <c r="BM19" s="1306">
        <f>IF(BL19=1,2,0)</f>
        <v>2</v>
      </c>
      <c r="BN19" s="160">
        <f t="shared" si="8"/>
        <v>0</v>
      </c>
      <c r="BO19" s="1063"/>
      <c r="BP19" s="1272">
        <v>1</v>
      </c>
      <c r="BQ19" s="1059">
        <f>IF(BP19=1,2,0)</f>
        <v>2</v>
      </c>
      <c r="BR19" s="1272">
        <f>IF(BR21=0,"",BR20/BR21)</f>
        <v>1</v>
      </c>
      <c r="BS19" s="1306">
        <f>IF(BR19=1,2,0)</f>
        <v>2</v>
      </c>
      <c r="BT19" s="160">
        <f t="shared" si="9"/>
        <v>0</v>
      </c>
      <c r="BU19" s="1063"/>
      <c r="BV19" s="1272">
        <v>1</v>
      </c>
      <c r="BW19" s="1059">
        <f>IF(BV19=1,2,0)</f>
        <v>2</v>
      </c>
      <c r="BX19" s="1272">
        <f>IF(BX21=0,"",BX20/BX21)</f>
        <v>1</v>
      </c>
      <c r="BY19" s="1306">
        <f>IF(BX19=1,2,0)</f>
        <v>2</v>
      </c>
      <c r="BZ19" s="160">
        <f t="shared" si="10"/>
        <v>0</v>
      </c>
      <c r="CA19" s="1039"/>
      <c r="CC19" s="1036"/>
      <c r="CD19" s="1036"/>
      <c r="CE19" s="1036"/>
      <c r="CF19" s="1036"/>
      <c r="CG19" s="1036"/>
      <c r="CH19" s="1036"/>
      <c r="CI19" s="1036"/>
      <c r="CJ19" s="1036"/>
      <c r="CK19" s="1036"/>
    </row>
    <row r="20" spans="1:89" s="957" customFormat="1" ht="15.75" customHeight="1">
      <c r="A20" s="1650"/>
      <c r="B20" s="1650"/>
      <c r="C20" s="984">
        <v>7.1</v>
      </c>
      <c r="D20" s="1508" t="s">
        <v>2170</v>
      </c>
      <c r="E20" s="1079" t="s">
        <v>1106</v>
      </c>
      <c r="F20" s="1080"/>
      <c r="G20" s="1080"/>
      <c r="H20" s="1081"/>
      <c r="I20" s="1059"/>
      <c r="J20" s="1062">
        <f t="shared" si="17"/>
        <v>598.29999999999995</v>
      </c>
      <c r="K20" s="1403"/>
      <c r="L20" s="1062">
        <f t="shared" si="18"/>
        <v>575.70000000000005</v>
      </c>
      <c r="M20" s="1403"/>
      <c r="N20" s="1403">
        <f t="shared" si="13"/>
        <v>0</v>
      </c>
      <c r="O20" s="1350">
        <f t="shared" si="0"/>
        <v>0</v>
      </c>
      <c r="P20" s="1350">
        <f t="shared" si="14"/>
        <v>0</v>
      </c>
      <c r="Q20" s="1350">
        <f t="shared" si="15"/>
        <v>0</v>
      </c>
      <c r="R20" s="1350">
        <f t="shared" si="16"/>
        <v>0</v>
      </c>
      <c r="S20" s="1063"/>
      <c r="T20" s="1060">
        <v>99</v>
      </c>
      <c r="U20" s="1275"/>
      <c r="V20" s="1083">
        <v>117</v>
      </c>
      <c r="W20" s="1275"/>
      <c r="X20" s="160">
        <f t="shared" si="1"/>
        <v>0.18181818181818188</v>
      </c>
      <c r="Y20" s="1063"/>
      <c r="Z20" s="1060">
        <v>819</v>
      </c>
      <c r="AA20" s="1059"/>
      <c r="AB20" s="1060">
        <v>809</v>
      </c>
      <c r="AC20" s="1306"/>
      <c r="AD20" s="160">
        <f t="shared" si="2"/>
        <v>-1.2210012210012167E-2</v>
      </c>
      <c r="AE20" s="1063"/>
      <c r="AF20" s="1060">
        <v>1212</v>
      </c>
      <c r="AG20" s="1059"/>
      <c r="AH20" s="1060">
        <v>1173</v>
      </c>
      <c r="AI20" s="1306"/>
      <c r="AJ20" s="160">
        <f t="shared" si="3"/>
        <v>-3.2178217821782207E-2</v>
      </c>
      <c r="AK20" s="1063"/>
      <c r="AL20" s="1060">
        <v>171</v>
      </c>
      <c r="AM20" s="1059"/>
      <c r="AN20" s="1060">
        <v>163</v>
      </c>
      <c r="AO20" s="1306"/>
      <c r="AP20" s="160">
        <f t="shared" si="4"/>
        <v>-4.6783625730994149E-2</v>
      </c>
      <c r="AQ20" s="1063"/>
      <c r="AR20" s="1060">
        <v>952</v>
      </c>
      <c r="AS20" s="1059"/>
      <c r="AT20" s="1060">
        <v>908</v>
      </c>
      <c r="AU20" s="1306"/>
      <c r="AV20" s="160">
        <f t="shared" si="5"/>
        <v>-4.621848739495793E-2</v>
      </c>
      <c r="AW20" s="1063"/>
      <c r="AX20" s="1060">
        <v>877</v>
      </c>
      <c r="AY20" s="1059"/>
      <c r="AZ20" s="1060">
        <v>873</v>
      </c>
      <c r="BA20" s="1306"/>
      <c r="BB20" s="160">
        <f t="shared" si="6"/>
        <v>-4.5610034207526073E-3</v>
      </c>
      <c r="BC20" s="1063"/>
      <c r="BD20" s="1060">
        <v>251</v>
      </c>
      <c r="BE20" s="1059"/>
      <c r="BF20" s="1060">
        <v>281</v>
      </c>
      <c r="BG20" s="1306"/>
      <c r="BH20" s="160">
        <f t="shared" si="7"/>
        <v>0.1195219123505975</v>
      </c>
      <c r="BI20" s="1063"/>
      <c r="BJ20" s="1060">
        <v>880</v>
      </c>
      <c r="BK20" s="1059"/>
      <c r="BL20" s="1060">
        <v>755</v>
      </c>
      <c r="BM20" s="1306"/>
      <c r="BN20" s="160">
        <f t="shared" si="8"/>
        <v>-0.14204545454545459</v>
      </c>
      <c r="BO20" s="1063"/>
      <c r="BP20" s="1060">
        <v>275</v>
      </c>
      <c r="BQ20" s="1059"/>
      <c r="BR20" s="1060">
        <v>229</v>
      </c>
      <c r="BS20" s="1306"/>
      <c r="BT20" s="160">
        <f t="shared" si="9"/>
        <v>-0.16727272727272724</v>
      </c>
      <c r="BU20" s="1063"/>
      <c r="BV20" s="1060">
        <v>447</v>
      </c>
      <c r="BW20" s="1059"/>
      <c r="BX20" s="1060">
        <v>449</v>
      </c>
      <c r="BY20" s="1306"/>
      <c r="BZ20" s="160">
        <f t="shared" si="10"/>
        <v>4.4742729306488371E-3</v>
      </c>
      <c r="CA20" s="1039"/>
      <c r="CC20" s="1036"/>
      <c r="CD20" s="1036"/>
      <c r="CE20" s="1036"/>
      <c r="CF20" s="1036"/>
      <c r="CG20" s="1036"/>
      <c r="CH20" s="1036"/>
      <c r="CI20" s="1036"/>
      <c r="CJ20" s="1036"/>
      <c r="CK20" s="1036"/>
    </row>
    <row r="21" spans="1:89" s="957" customFormat="1">
      <c r="A21" s="1650"/>
      <c r="B21" s="1650"/>
      <c r="C21" s="984">
        <v>7.2</v>
      </c>
      <c r="D21" s="1508" t="s">
        <v>2169</v>
      </c>
      <c r="E21" s="1079" t="s">
        <v>1106</v>
      </c>
      <c r="F21" s="1080" t="s">
        <v>2001</v>
      </c>
      <c r="G21" s="1080"/>
      <c r="I21" s="1059"/>
      <c r="J21" s="1062">
        <f t="shared" si="17"/>
        <v>598.29999999999995</v>
      </c>
      <c r="K21" s="1403"/>
      <c r="L21" s="1062">
        <f t="shared" si="18"/>
        <v>575.70000000000005</v>
      </c>
      <c r="M21" s="1403"/>
      <c r="N21" s="1403">
        <f t="shared" si="13"/>
        <v>0</v>
      </c>
      <c r="O21" s="1350">
        <f t="shared" si="0"/>
        <v>0</v>
      </c>
      <c r="P21" s="1350">
        <f t="shared" si="14"/>
        <v>0</v>
      </c>
      <c r="Q21" s="1350">
        <f t="shared" si="15"/>
        <v>0</v>
      </c>
      <c r="R21" s="1350">
        <f t="shared" si="16"/>
        <v>0</v>
      </c>
      <c r="S21" s="1063"/>
      <c r="T21" s="1060">
        <v>99</v>
      </c>
      <c r="U21" s="1275"/>
      <c r="V21" s="1083">
        <v>117</v>
      </c>
      <c r="W21" s="1275"/>
      <c r="X21" s="160">
        <f t="shared" si="1"/>
        <v>0.18181818181818188</v>
      </c>
      <c r="Y21" s="1063"/>
      <c r="Z21" s="1060">
        <v>819</v>
      </c>
      <c r="AA21" s="1059"/>
      <c r="AB21" s="1060">
        <v>809</v>
      </c>
      <c r="AC21" s="1306"/>
      <c r="AD21" s="160">
        <f t="shared" si="2"/>
        <v>-1.2210012210012167E-2</v>
      </c>
      <c r="AE21" s="1063"/>
      <c r="AF21" s="1060">
        <v>1212</v>
      </c>
      <c r="AG21" s="1059"/>
      <c r="AH21" s="1060">
        <v>1173</v>
      </c>
      <c r="AI21" s="1306"/>
      <c r="AJ21" s="160">
        <f t="shared" si="3"/>
        <v>-3.2178217821782207E-2</v>
      </c>
      <c r="AK21" s="1063"/>
      <c r="AL21" s="1060">
        <v>171</v>
      </c>
      <c r="AM21" s="1059"/>
      <c r="AN21" s="1060">
        <v>163</v>
      </c>
      <c r="AO21" s="1306"/>
      <c r="AP21" s="160">
        <f t="shared" si="4"/>
        <v>-4.6783625730994149E-2</v>
      </c>
      <c r="AQ21" s="1063"/>
      <c r="AR21" s="1060">
        <v>952</v>
      </c>
      <c r="AS21" s="1059"/>
      <c r="AT21" s="1060">
        <v>908</v>
      </c>
      <c r="AU21" s="1306"/>
      <c r="AV21" s="160">
        <f t="shared" si="5"/>
        <v>-4.621848739495793E-2</v>
      </c>
      <c r="AW21" s="1063"/>
      <c r="AX21" s="1060">
        <v>877</v>
      </c>
      <c r="AY21" s="1059"/>
      <c r="AZ21" s="1060">
        <v>873</v>
      </c>
      <c r="BA21" s="1306"/>
      <c r="BB21" s="160">
        <f t="shared" si="6"/>
        <v>-4.5610034207526073E-3</v>
      </c>
      <c r="BC21" s="1063"/>
      <c r="BD21" s="1060">
        <v>251</v>
      </c>
      <c r="BE21" s="1059"/>
      <c r="BF21" s="1060">
        <v>281</v>
      </c>
      <c r="BG21" s="1306"/>
      <c r="BH21" s="160">
        <f t="shared" si="7"/>
        <v>0.1195219123505975</v>
      </c>
      <c r="BI21" s="1063"/>
      <c r="BJ21" s="1060">
        <v>880</v>
      </c>
      <c r="BK21" s="1059"/>
      <c r="BL21" s="1060">
        <v>755</v>
      </c>
      <c r="BM21" s="1306"/>
      <c r="BN21" s="160">
        <f t="shared" si="8"/>
        <v>-0.14204545454545459</v>
      </c>
      <c r="BO21" s="1063"/>
      <c r="BP21" s="1060">
        <v>275</v>
      </c>
      <c r="BQ21" s="1059"/>
      <c r="BR21" s="1060">
        <v>229</v>
      </c>
      <c r="BS21" s="1306"/>
      <c r="BT21" s="160">
        <f t="shared" si="9"/>
        <v>-0.16727272727272724</v>
      </c>
      <c r="BU21" s="1063"/>
      <c r="BV21" s="1060">
        <v>447</v>
      </c>
      <c r="BW21" s="1059"/>
      <c r="BX21" s="1060">
        <v>449</v>
      </c>
      <c r="BY21" s="1306"/>
      <c r="BZ21" s="160">
        <f t="shared" si="10"/>
        <v>4.4742729306488371E-3</v>
      </c>
      <c r="CA21" s="1039"/>
      <c r="CC21" s="1036"/>
      <c r="CD21" s="1036"/>
      <c r="CE21" s="1036"/>
      <c r="CF21" s="1036"/>
      <c r="CG21" s="1036"/>
      <c r="CH21" s="1036"/>
      <c r="CI21" s="1036"/>
      <c r="CJ21" s="1036"/>
      <c r="CK21" s="1036"/>
    </row>
    <row r="22" spans="1:89" s="957" customFormat="1" ht="14.25">
      <c r="A22" s="1651" t="s">
        <v>1118</v>
      </c>
      <c r="B22" s="1651" t="s">
        <v>1119</v>
      </c>
      <c r="C22" s="970">
        <v>8</v>
      </c>
      <c r="D22" s="1104" t="s">
        <v>2143</v>
      </c>
      <c r="E22" s="1058"/>
      <c r="F22" s="1059"/>
      <c r="G22" s="1059" t="s">
        <v>397</v>
      </c>
      <c r="H22" s="1060" t="s">
        <v>230</v>
      </c>
      <c r="I22" s="1061">
        <v>2</v>
      </c>
      <c r="J22" s="1511">
        <f t="shared" si="17"/>
        <v>0.76241717031255551</v>
      </c>
      <c r="K22" s="1402">
        <f>AVERAGE(BW22,BQ22,BK22,BE22,AY22,AS22,AM22,AG22,AA22,U22)</f>
        <v>1.8</v>
      </c>
      <c r="L22" s="1511">
        <f t="shared" si="18"/>
        <v>0.64037544190845996</v>
      </c>
      <c r="M22" s="1402">
        <f>AVERAGE(BY22,BS22,BM22,BG22,BA22,AU22,AO22,AI22,AC22,W22)</f>
        <v>1.9</v>
      </c>
      <c r="N22" s="1413">
        <f t="shared" si="13"/>
        <v>9.9999999999999867E-2</v>
      </c>
      <c r="O22" s="1350">
        <f t="shared" si="0"/>
        <v>0.10000000000000009</v>
      </c>
      <c r="P22" s="1350">
        <f t="shared" si="14"/>
        <v>7.0000000000000062E-2</v>
      </c>
      <c r="Q22" s="1350">
        <f t="shared" si="15"/>
        <v>7.7777777777777845E-3</v>
      </c>
      <c r="R22" s="1350">
        <f t="shared" si="16"/>
        <v>3.8888888888888922E-3</v>
      </c>
      <c r="S22" s="1063"/>
      <c r="T22" s="1272">
        <v>3.8101043968604739E-2</v>
      </c>
      <c r="U22" s="1275">
        <f>IF(T22&lt;=3,2,IF(T22&lt;=5,1,0))</f>
        <v>2</v>
      </c>
      <c r="V22" s="1301">
        <f>IF(V24=0,"",V23*1000/V24)</f>
        <v>3.4005508892440577E-2</v>
      </c>
      <c r="W22" s="1275">
        <f>IF(V22&lt;=3,2,IF(V22&lt;=5,1,0))</f>
        <v>2</v>
      </c>
      <c r="X22" s="160">
        <f t="shared" si="1"/>
        <v>-0.1074914136090046</v>
      </c>
      <c r="Y22" s="1063"/>
      <c r="Z22" s="1272">
        <v>0.49980889659835948</v>
      </c>
      <c r="AA22" s="1059">
        <f>IF(Z22&lt;=3,2,IF(Z22&lt;=5,1,0))</f>
        <v>2</v>
      </c>
      <c r="AB22" s="1301">
        <f>IF(AB24=0,"",AB23*1000/AB24)</f>
        <v>6.8248293792655179E-2</v>
      </c>
      <c r="AC22" s="1306">
        <f>IF(AB22&lt;=3,2,IF(AB22&lt;=5,1,0))</f>
        <v>2</v>
      </c>
      <c r="AD22" s="160">
        <f t="shared" si="2"/>
        <v>-0.8634512225429658</v>
      </c>
      <c r="AE22" s="1063"/>
      <c r="AF22" s="1272">
        <v>0.5769814758578804</v>
      </c>
      <c r="AG22" s="1059">
        <f>IF(AF22&lt;=3,2,IF(AF22&lt;=5,1,0))</f>
        <v>2</v>
      </c>
      <c r="AH22" s="1301">
        <f>IF(AH24=0,"",AH23*1000/AH24)</f>
        <v>0.83236224404860992</v>
      </c>
      <c r="AI22" s="1306">
        <f>IF(AH22&lt;=3,2,IF(AH22&lt;=5,1,0))</f>
        <v>2</v>
      </c>
      <c r="AJ22" s="160">
        <f t="shared" si="3"/>
        <v>0.44261519455372222</v>
      </c>
      <c r="AK22" s="1063"/>
      <c r="AL22" s="1060">
        <v>0</v>
      </c>
      <c r="AM22" s="1059">
        <f>IF(AL22&lt;=3,2,IF(AL22&lt;=5,1,0))</f>
        <v>2</v>
      </c>
      <c r="AN22" s="1301">
        <f>IF(AN24=0,"",AN23*1000/AN24)</f>
        <v>4.8473097430925836E-2</v>
      </c>
      <c r="AO22" s="1306">
        <f>IF(AN22&lt;=3,2,IF(AN22&lt;=5,1,0))</f>
        <v>2</v>
      </c>
      <c r="AP22" s="160">
        <f t="shared" si="4"/>
        <v>1</v>
      </c>
      <c r="AQ22" s="1063"/>
      <c r="AR22" s="1060">
        <v>5.2071078556741108</v>
      </c>
      <c r="AS22" s="1059">
        <f>IF(AR22&lt;=3,2,IF(AR22&lt;=5,1,0))</f>
        <v>0</v>
      </c>
      <c r="AT22" s="1301">
        <f>IF(AT24=0,"",AT23*1000/AT24)</f>
        <v>3.6619718309859155</v>
      </c>
      <c r="AU22" s="1306">
        <f>IF(AT22&lt;=3,2,IF(AT22&lt;=5,1,0))</f>
        <v>1</v>
      </c>
      <c r="AV22" s="160">
        <f t="shared" si="5"/>
        <v>-0.29673593624616068</v>
      </c>
      <c r="AW22" s="1063"/>
      <c r="AX22" s="1060">
        <v>0.74815711299372867</v>
      </c>
      <c r="AY22" s="1059">
        <f>IF(AX22&lt;=3,2,IF(AX22&lt;=5,1,0))</f>
        <v>2</v>
      </c>
      <c r="AZ22" s="1301">
        <f>IF(AZ24=0,"",AZ23*1000/AZ24)</f>
        <v>0.63605139295255053</v>
      </c>
      <c r="BA22" s="1306">
        <f>IF(AZ22&lt;=3,2,IF(AZ22&lt;=5,1,0))</f>
        <v>2</v>
      </c>
      <c r="BB22" s="160">
        <f t="shared" si="6"/>
        <v>-0.14984248374327469</v>
      </c>
      <c r="BC22" s="1063"/>
      <c r="BD22" s="1301">
        <v>0.23037228160707704</v>
      </c>
      <c r="BE22" s="1059">
        <f>IF(BD22&lt;=3,2,IF(BD22&lt;=5,1,0))</f>
        <v>2</v>
      </c>
      <c r="BF22" s="1301">
        <f>IF(BF24=0,"",BF23*1000/BF24)</f>
        <v>0.13525089040169513</v>
      </c>
      <c r="BG22" s="1306">
        <f>IF(BF22&lt;=3,2,IF(BF22&lt;=5,1,0))</f>
        <v>2</v>
      </c>
      <c r="BH22" s="160">
        <f t="shared" si="7"/>
        <v>-0.41290293494432173</v>
      </c>
      <c r="BI22" s="1063"/>
      <c r="BJ22" s="1301">
        <v>0.18470011417825241</v>
      </c>
      <c r="BK22" s="1059">
        <f>IF(BJ22&lt;=3,2,IF(BJ22&lt;=5,1,0))</f>
        <v>2</v>
      </c>
      <c r="BL22" s="1301">
        <f>IF(BL24=0,"",BL23*1000/BL24)</f>
        <v>0.16178088397075002</v>
      </c>
      <c r="BM22" s="1306">
        <f>IF(BL22&lt;=3,2,IF(BL22&lt;=5,1,0))</f>
        <v>2</v>
      </c>
      <c r="BN22" s="160">
        <f t="shared" si="8"/>
        <v>-0.12408887947618297</v>
      </c>
      <c r="BO22" s="1063"/>
      <c r="BP22" s="1060">
        <v>0</v>
      </c>
      <c r="BQ22" s="1059">
        <f>IF(BP22&lt;=3,2,IF(BP22&lt;=5,1,0))</f>
        <v>2</v>
      </c>
      <c r="BR22" s="1301">
        <f>IF(BR24=0,"",BR23*1000/BR24)</f>
        <v>0.72833211944646759</v>
      </c>
      <c r="BS22" s="1306">
        <f>IF(BR22&lt;=3,2,IF(BR22&lt;=5,1,0))</f>
        <v>2</v>
      </c>
      <c r="BT22" s="160">
        <f t="shared" si="9"/>
        <v>1</v>
      </c>
      <c r="BU22" s="1063"/>
      <c r="BV22" s="1301">
        <v>0.13894292224754071</v>
      </c>
      <c r="BW22" s="1059">
        <f>IF(BV22&lt;=3,2,IF(BV22&lt;=5,1,0))</f>
        <v>2</v>
      </c>
      <c r="BX22" s="1301">
        <f>IF(BX24=0,"",BX23*1000/BX24)</f>
        <v>9.7278157162590709E-2</v>
      </c>
      <c r="BY22" s="1306">
        <f>IF(BX22&lt;=3,2,IF(BX22&lt;=5,1,0))</f>
        <v>2</v>
      </c>
      <c r="BZ22" s="160">
        <f t="shared" si="10"/>
        <v>-0.29986964726940213</v>
      </c>
      <c r="CA22" s="1039"/>
      <c r="CC22" s="1036"/>
      <c r="CD22" s="1036"/>
      <c r="CE22" s="1036"/>
      <c r="CF22" s="1036"/>
      <c r="CG22" s="1036"/>
      <c r="CH22" s="1036"/>
      <c r="CI22" s="1036"/>
      <c r="CJ22" s="1036"/>
      <c r="CK22" s="1036"/>
    </row>
    <row r="23" spans="1:89" s="957" customFormat="1">
      <c r="A23" s="1650"/>
      <c r="B23" s="1650"/>
      <c r="C23" s="984">
        <v>8.1</v>
      </c>
      <c r="D23" s="1302" t="s">
        <v>2189</v>
      </c>
      <c r="E23" s="1066" t="s">
        <v>1120</v>
      </c>
      <c r="F23" s="1064" t="s">
        <v>1121</v>
      </c>
      <c r="G23" s="1059" t="s">
        <v>397</v>
      </c>
      <c r="H23" s="1068"/>
      <c r="I23" s="1059"/>
      <c r="J23" s="1062">
        <f t="shared" si="17"/>
        <v>69.2</v>
      </c>
      <c r="K23" s="1403"/>
      <c r="L23" s="1062">
        <f t="shared" si="18"/>
        <v>60.7</v>
      </c>
      <c r="M23" s="1403"/>
      <c r="N23" s="1403">
        <f t="shared" si="13"/>
        <v>0</v>
      </c>
      <c r="O23" s="1350">
        <f t="shared" si="0"/>
        <v>0</v>
      </c>
      <c r="P23" s="1350">
        <f t="shared" si="14"/>
        <v>0</v>
      </c>
      <c r="Q23" s="1350">
        <f t="shared" si="15"/>
        <v>0</v>
      </c>
      <c r="R23" s="1350">
        <f t="shared" si="16"/>
        <v>0</v>
      </c>
      <c r="S23" s="1063"/>
      <c r="T23" s="1060">
        <v>3</v>
      </c>
      <c r="U23" s="1275"/>
      <c r="V23" s="1060">
        <v>6</v>
      </c>
      <c r="W23" s="1275"/>
      <c r="X23" s="160">
        <f t="shared" si="1"/>
        <v>1</v>
      </c>
      <c r="Y23" s="1063"/>
      <c r="Z23" s="984">
        <v>34</v>
      </c>
      <c r="AA23" s="1059"/>
      <c r="AB23" s="984">
        <v>21</v>
      </c>
      <c r="AC23" s="1306"/>
      <c r="AD23" s="160">
        <f t="shared" si="2"/>
        <v>-0.38235294117647056</v>
      </c>
      <c r="AE23" s="1063"/>
      <c r="AF23" s="984">
        <v>57</v>
      </c>
      <c r="AG23" s="1059"/>
      <c r="AH23" s="984">
        <v>85</v>
      </c>
      <c r="AI23" s="1306"/>
      <c r="AJ23" s="160">
        <f t="shared" si="3"/>
        <v>0.49122807017543857</v>
      </c>
      <c r="AK23" s="1063"/>
      <c r="AL23" s="984">
        <v>0</v>
      </c>
      <c r="AM23" s="1059"/>
      <c r="AN23" s="984">
        <v>1</v>
      </c>
      <c r="AO23" s="1306"/>
      <c r="AP23" s="160">
        <f t="shared" si="4"/>
        <v>1</v>
      </c>
      <c r="AQ23" s="1063"/>
      <c r="AR23" s="984">
        <v>509</v>
      </c>
      <c r="AS23" s="1059"/>
      <c r="AT23" s="984">
        <v>403</v>
      </c>
      <c r="AU23" s="1306"/>
      <c r="AV23" s="160">
        <f t="shared" si="5"/>
        <v>-0.20825147347740669</v>
      </c>
      <c r="AW23" s="1063"/>
      <c r="AX23" s="1060">
        <v>68</v>
      </c>
      <c r="AY23" s="1059"/>
      <c r="AZ23" s="1060">
        <v>60</v>
      </c>
      <c r="BA23" s="1306"/>
      <c r="BB23" s="160">
        <f t="shared" si="6"/>
        <v>-0.11764705882352944</v>
      </c>
      <c r="BC23" s="1063"/>
      <c r="BD23" s="984">
        <v>5</v>
      </c>
      <c r="BE23" s="1059"/>
      <c r="BF23" s="984">
        <v>3</v>
      </c>
      <c r="BG23" s="1306"/>
      <c r="BH23" s="160">
        <f t="shared" si="7"/>
        <v>-0.4</v>
      </c>
      <c r="BI23" s="1063"/>
      <c r="BJ23" s="984">
        <v>11</v>
      </c>
      <c r="BK23" s="1059"/>
      <c r="BL23" s="984">
        <v>10</v>
      </c>
      <c r="BM23" s="1306"/>
      <c r="BN23" s="160">
        <f t="shared" si="8"/>
        <v>-9.0909090909090939E-2</v>
      </c>
      <c r="BO23" s="1063"/>
      <c r="BP23" s="984">
        <v>0</v>
      </c>
      <c r="BQ23" s="1059"/>
      <c r="BR23" s="984">
        <v>13</v>
      </c>
      <c r="BS23" s="1306"/>
      <c r="BT23" s="160">
        <f t="shared" si="9"/>
        <v>1</v>
      </c>
      <c r="BU23" s="1063"/>
      <c r="BV23" s="984">
        <v>5</v>
      </c>
      <c r="BW23" s="1059"/>
      <c r="BX23" s="984">
        <v>5</v>
      </c>
      <c r="BY23" s="1306"/>
      <c r="BZ23" s="160">
        <f t="shared" si="10"/>
        <v>0</v>
      </c>
      <c r="CA23" s="1039"/>
      <c r="CC23" s="1036"/>
      <c r="CD23" s="1036"/>
      <c r="CE23" s="1036"/>
      <c r="CF23" s="1036"/>
      <c r="CG23" s="1036"/>
      <c r="CH23" s="1036"/>
      <c r="CI23" s="1036"/>
      <c r="CJ23" s="1036"/>
      <c r="CK23" s="1036"/>
    </row>
    <row r="24" spans="1:89" s="957" customFormat="1">
      <c r="A24" s="1650"/>
      <c r="B24" s="1650"/>
      <c r="C24" s="984">
        <v>8.1999999999999993</v>
      </c>
      <c r="D24" s="1065" t="s">
        <v>2195</v>
      </c>
      <c r="E24" s="1066" t="s">
        <v>1120</v>
      </c>
      <c r="F24" s="1064" t="s">
        <v>1122</v>
      </c>
      <c r="G24" s="1059" t="s">
        <v>399</v>
      </c>
      <c r="H24" s="1068"/>
      <c r="I24" s="1059"/>
      <c r="J24" s="1062">
        <f t="shared" si="17"/>
        <v>58834.7</v>
      </c>
      <c r="K24" s="1403"/>
      <c r="L24" s="1062">
        <f t="shared" si="18"/>
        <v>96451.4</v>
      </c>
      <c r="M24" s="1403"/>
      <c r="N24" s="1403">
        <f t="shared" si="13"/>
        <v>0</v>
      </c>
      <c r="O24" s="1350">
        <f t="shared" si="0"/>
        <v>0</v>
      </c>
      <c r="P24" s="1350">
        <f t="shared" si="14"/>
        <v>0</v>
      </c>
      <c r="Q24" s="1350">
        <f t="shared" si="15"/>
        <v>0</v>
      </c>
      <c r="R24" s="1350">
        <f t="shared" si="16"/>
        <v>0</v>
      </c>
      <c r="S24" s="1063"/>
      <c r="T24" s="984">
        <v>78738</v>
      </c>
      <c r="U24" s="1275"/>
      <c r="V24" s="984">
        <v>176442</v>
      </c>
      <c r="W24" s="1275"/>
      <c r="X24" s="160">
        <f t="shared" si="1"/>
        <v>1.2408747999695193</v>
      </c>
      <c r="Y24" s="1063"/>
      <c r="Z24" s="984">
        <v>68026</v>
      </c>
      <c r="AA24" s="1059"/>
      <c r="AB24" s="984">
        <v>307700</v>
      </c>
      <c r="AC24" s="1306"/>
      <c r="AD24" s="160">
        <f t="shared" si="2"/>
        <v>3.5232705142151532</v>
      </c>
      <c r="AE24" s="1063"/>
      <c r="AF24" s="984">
        <v>98790</v>
      </c>
      <c r="AG24" s="1059"/>
      <c r="AH24" s="984">
        <v>102119</v>
      </c>
      <c r="AI24" s="1306"/>
      <c r="AJ24" s="160">
        <f t="shared" si="3"/>
        <v>3.3697742686506826E-2</v>
      </c>
      <c r="AK24" s="1063"/>
      <c r="AL24" s="984">
        <v>20189</v>
      </c>
      <c r="AM24" s="1059"/>
      <c r="AN24" s="984">
        <v>20630</v>
      </c>
      <c r="AO24" s="1306"/>
      <c r="AP24" s="160">
        <f t="shared" si="4"/>
        <v>2.1843578186141022E-2</v>
      </c>
      <c r="AQ24" s="1063"/>
      <c r="AR24" s="984">
        <v>97751</v>
      </c>
      <c r="AS24" s="1059"/>
      <c r="AT24" s="984">
        <v>110050</v>
      </c>
      <c r="AU24" s="1306"/>
      <c r="AV24" s="160">
        <f t="shared" si="5"/>
        <v>0.12581968470910776</v>
      </c>
      <c r="AW24" s="1063"/>
      <c r="AX24" s="984">
        <v>90890</v>
      </c>
      <c r="AY24" s="1059"/>
      <c r="AZ24" s="984">
        <v>94332</v>
      </c>
      <c r="BA24" s="1306"/>
      <c r="BB24" s="160">
        <f t="shared" si="6"/>
        <v>3.786995269006499E-2</v>
      </c>
      <c r="BC24" s="1063"/>
      <c r="BD24" s="984">
        <v>21704</v>
      </c>
      <c r="BE24" s="1059"/>
      <c r="BF24" s="984">
        <v>22181</v>
      </c>
      <c r="BG24" s="1306"/>
      <c r="BH24" s="160">
        <f t="shared" si="7"/>
        <v>2.197751566531525E-2</v>
      </c>
      <c r="BI24" s="1063"/>
      <c r="BJ24" s="984">
        <v>59556</v>
      </c>
      <c r="BK24" s="1059"/>
      <c r="BL24" s="984">
        <v>61812</v>
      </c>
      <c r="BM24" s="1306"/>
      <c r="BN24" s="160">
        <f t="shared" si="8"/>
        <v>3.7880314326012465E-2</v>
      </c>
      <c r="BO24" s="1063"/>
      <c r="BP24" s="984">
        <v>16717</v>
      </c>
      <c r="BQ24" s="1059"/>
      <c r="BR24" s="984">
        <v>17849</v>
      </c>
      <c r="BS24" s="1306"/>
      <c r="BT24" s="160">
        <f t="shared" si="9"/>
        <v>6.771549919243891E-2</v>
      </c>
      <c r="BU24" s="1063"/>
      <c r="BV24" s="984">
        <v>35986</v>
      </c>
      <c r="BW24" s="1059"/>
      <c r="BX24" s="984">
        <v>51399</v>
      </c>
      <c r="BY24" s="1306"/>
      <c r="BZ24" s="160">
        <f t="shared" si="10"/>
        <v>0.42830545212026894</v>
      </c>
      <c r="CA24" s="1039"/>
      <c r="CC24" s="1036"/>
      <c r="CD24" s="1036"/>
      <c r="CE24" s="1036"/>
      <c r="CF24" s="1036"/>
      <c r="CG24" s="1036"/>
      <c r="CH24" s="1036"/>
      <c r="CI24" s="1036"/>
      <c r="CJ24" s="1036"/>
      <c r="CK24" s="1036"/>
    </row>
    <row r="25" spans="1:89" s="957" customFormat="1" ht="14.25">
      <c r="A25" s="1651" t="s">
        <v>1123</v>
      </c>
      <c r="B25" s="1651" t="s">
        <v>1124</v>
      </c>
      <c r="C25" s="970">
        <v>9</v>
      </c>
      <c r="D25" s="1411" t="s">
        <v>1725</v>
      </c>
      <c r="E25" s="1058"/>
      <c r="F25" s="1059"/>
      <c r="G25" s="1059" t="s">
        <v>399</v>
      </c>
      <c r="H25" s="1060" t="s">
        <v>230</v>
      </c>
      <c r="I25" s="1061">
        <v>2</v>
      </c>
      <c r="J25" s="1304">
        <f t="shared" si="17"/>
        <v>0.24357435910509576</v>
      </c>
      <c r="K25" s="1404">
        <f>AVERAGE(BW25,BQ25,BK25,BE25,AY25,AS25,AM25,AG25,AA25,U25)</f>
        <v>0.48714871821019151</v>
      </c>
      <c r="L25" s="1304">
        <f>AVERAGE(BX25,BR25,BL25,BF25,AZ25,AT25,AN25,AH25,AB25,V25)</f>
        <v>0.23508051216999695</v>
      </c>
      <c r="M25" s="1404">
        <f>AVERAGE(BY25,BS25,BM25,BG25,BA25,AU25,AO25,AI25,AC25,W25)</f>
        <v>0.4701610243399939</v>
      </c>
      <c r="N25" s="1403">
        <f t="shared" si="13"/>
        <v>-1.6987693870197607E-2</v>
      </c>
      <c r="O25" s="1350">
        <f t="shared" si="0"/>
        <v>1.5298389756600062</v>
      </c>
      <c r="P25" s="1350">
        <f t="shared" si="14"/>
        <v>1.0708872829620042</v>
      </c>
      <c r="Q25" s="1350">
        <f t="shared" si="15"/>
        <v>0.11898747588466713</v>
      </c>
      <c r="R25" s="1350">
        <f t="shared" si="16"/>
        <v>5.9493737942333563E-2</v>
      </c>
      <c r="S25" s="1063"/>
      <c r="T25" s="1272">
        <v>0.55555555555555558</v>
      </c>
      <c r="U25" s="1277">
        <f>T25*2</f>
        <v>1.1111111111111112</v>
      </c>
      <c r="V25" s="1272">
        <f>IF(V27=0,"",V26/V27)</f>
        <v>0.36842105263157893</v>
      </c>
      <c r="W25" s="1277">
        <f>V25*2</f>
        <v>0.73684210526315785</v>
      </c>
      <c r="X25" s="160">
        <f t="shared" si="1"/>
        <v>-0.33684210526315794</v>
      </c>
      <c r="Y25" s="1063"/>
      <c r="Z25" s="1272">
        <v>0.17460317460317459</v>
      </c>
      <c r="AA25" s="1084">
        <f>Z25*2</f>
        <v>0.34920634920634919</v>
      </c>
      <c r="AB25" s="1272">
        <f>IF(AB27=0,"",AB26/AB27)</f>
        <v>0.18300653594771241</v>
      </c>
      <c r="AC25" s="1316">
        <f>AB25*2</f>
        <v>0.36601307189542481</v>
      </c>
      <c r="AD25" s="160">
        <f t="shared" si="2"/>
        <v>4.8128342245989275E-2</v>
      </c>
      <c r="AE25" s="1063"/>
      <c r="AF25" s="1272">
        <v>0.19097222222222221</v>
      </c>
      <c r="AG25" s="1059">
        <f>AF25*2</f>
        <v>0.38194444444444442</v>
      </c>
      <c r="AH25" s="1272">
        <f>IF(AH27=0,"",AH26/AH27)</f>
        <v>0.23660714285714285</v>
      </c>
      <c r="AI25" s="1316">
        <f>AH25*2</f>
        <v>0.4732142857142857</v>
      </c>
      <c r="AJ25" s="160">
        <f t="shared" si="3"/>
        <v>0.23896103896103904</v>
      </c>
      <c r="AK25" s="1063"/>
      <c r="AL25" s="1272">
        <v>0.27272727272727271</v>
      </c>
      <c r="AM25" s="1084">
        <f>AL25*2</f>
        <v>0.54545454545454541</v>
      </c>
      <c r="AN25" s="1272">
        <f>IF(AN27=0,"",AN26/AN27)</f>
        <v>0.22222222222222221</v>
      </c>
      <c r="AO25" s="1316">
        <f>AN25*2</f>
        <v>0.44444444444444442</v>
      </c>
      <c r="AP25" s="160">
        <f t="shared" si="4"/>
        <v>-0.18518518518518512</v>
      </c>
      <c r="AQ25" s="1063"/>
      <c r="AR25" s="1272">
        <v>0.41803278688524592</v>
      </c>
      <c r="AS25" s="1084">
        <f>AR25*2</f>
        <v>0.83606557377049184</v>
      </c>
      <c r="AT25" s="1272">
        <f>IF(AT27=0,"",AT26/AT27)</f>
        <v>0.3983739837398374</v>
      </c>
      <c r="AU25" s="1316">
        <f>AT25*2</f>
        <v>0.7967479674796748</v>
      </c>
      <c r="AV25" s="160">
        <f t="shared" si="5"/>
        <v>-4.7026940857643917E-2</v>
      </c>
      <c r="AW25" s="1063"/>
      <c r="AX25" s="1272">
        <v>0.13846153846153847</v>
      </c>
      <c r="AY25" s="1084">
        <f>AX25*2</f>
        <v>0.27692307692307694</v>
      </c>
      <c r="AZ25" s="1272">
        <f>IF(AZ27=0,"",AZ26/AZ27)</f>
        <v>0.27011494252873564</v>
      </c>
      <c r="BA25" s="1316">
        <f>AZ25*2</f>
        <v>0.54022988505747127</v>
      </c>
      <c r="BB25" s="160">
        <f t="shared" si="6"/>
        <v>0.95083014048531278</v>
      </c>
      <c r="BC25" s="1063"/>
      <c r="BD25" s="1272">
        <v>0.14814814814814814</v>
      </c>
      <c r="BE25" s="1084">
        <f>BD25*2</f>
        <v>0.29629629629629628</v>
      </c>
      <c r="BF25" s="1272">
        <f>IF(BF27=0,"",BF26/BF27)</f>
        <v>0.15094339622641509</v>
      </c>
      <c r="BG25" s="1316">
        <f>BF25*2</f>
        <v>0.30188679245283018</v>
      </c>
      <c r="BH25" s="160">
        <f t="shared" si="7"/>
        <v>1.8867924528301883E-2</v>
      </c>
      <c r="BI25" s="1063"/>
      <c r="BJ25" s="1272">
        <v>0.23134328358208955</v>
      </c>
      <c r="BK25" s="1084">
        <f>BJ25*2</f>
        <v>0.46268656716417911</v>
      </c>
      <c r="BL25" s="1272">
        <f>IF(BL27=0,"",BL26/BL27)</f>
        <v>0.24378109452736318</v>
      </c>
      <c r="BM25" s="1316">
        <f>BL25*2</f>
        <v>0.48756218905472637</v>
      </c>
      <c r="BN25" s="160">
        <f t="shared" si="8"/>
        <v>5.3763440860215006E-2</v>
      </c>
      <c r="BO25" s="1063"/>
      <c r="BP25" s="1272">
        <v>8.4745762711864403E-2</v>
      </c>
      <c r="BQ25" s="1084">
        <f>BP25*2</f>
        <v>0.16949152542372881</v>
      </c>
      <c r="BR25" s="1272">
        <f>IF(BR27=0,"",BR26/BR27)</f>
        <v>0.14814814814814814</v>
      </c>
      <c r="BS25" s="1316">
        <f>BR25*2</f>
        <v>0.29629629629629628</v>
      </c>
      <c r="BT25" s="160">
        <f t="shared" si="9"/>
        <v>0.74814814814814823</v>
      </c>
      <c r="BU25" s="1063"/>
      <c r="BV25" s="1272">
        <v>0.22115384615384615</v>
      </c>
      <c r="BW25" s="1084">
        <f>BV25*2</f>
        <v>0.44230769230769229</v>
      </c>
      <c r="BX25" s="1272">
        <f>IF(BX27=0,"",BX26/BX27)</f>
        <v>0.12918660287081341</v>
      </c>
      <c r="BY25" s="1316">
        <f>BX25*2</f>
        <v>0.25837320574162681</v>
      </c>
      <c r="BZ25" s="160">
        <f t="shared" si="10"/>
        <v>-0.41585188267110462</v>
      </c>
      <c r="CA25" s="1039"/>
      <c r="CC25" s="1036"/>
      <c r="CD25" s="1036"/>
      <c r="CE25" s="1036"/>
      <c r="CF25" s="1036"/>
      <c r="CG25" s="1036"/>
      <c r="CH25" s="1036"/>
      <c r="CI25" s="1036"/>
      <c r="CJ25" s="1036"/>
      <c r="CK25" s="1036"/>
    </row>
    <row r="26" spans="1:89" s="957" customFormat="1" ht="16.5" customHeight="1">
      <c r="A26" s="1650"/>
      <c r="B26" s="1650"/>
      <c r="C26" s="984">
        <v>9.1</v>
      </c>
      <c r="D26" s="1065" t="s">
        <v>1999</v>
      </c>
      <c r="E26" s="1079" t="s">
        <v>1125</v>
      </c>
      <c r="F26" s="1080"/>
      <c r="G26" s="1080"/>
      <c r="H26" s="1081"/>
      <c r="I26" s="1059"/>
      <c r="J26" s="1062">
        <f t="shared" si="17"/>
        <v>25.4</v>
      </c>
      <c r="K26" s="1403"/>
      <c r="L26" s="1062">
        <f>AVERAGE(BX26,BR26,BL26,BF26,AZ26,AT26,AN26,AH26,AB26,V26)</f>
        <v>31.8</v>
      </c>
      <c r="M26" s="1403"/>
      <c r="N26" s="1403">
        <f t="shared" si="13"/>
        <v>0</v>
      </c>
      <c r="O26" s="1350">
        <f t="shared" si="0"/>
        <v>0</v>
      </c>
      <c r="P26" s="1350">
        <f t="shared" si="14"/>
        <v>0</v>
      </c>
      <c r="Q26" s="1350">
        <f t="shared" si="15"/>
        <v>0</v>
      </c>
      <c r="R26" s="1350">
        <f t="shared" si="16"/>
        <v>0</v>
      </c>
      <c r="S26" s="1063"/>
      <c r="T26" s="1060">
        <v>5</v>
      </c>
      <c r="U26" s="1275"/>
      <c r="V26" s="1060">
        <v>7</v>
      </c>
      <c r="W26" s="1275"/>
      <c r="X26" s="160">
        <f t="shared" si="1"/>
        <v>0.39999999999999991</v>
      </c>
      <c r="Y26" s="1063"/>
      <c r="Z26" s="1060">
        <v>55</v>
      </c>
      <c r="AA26" s="1059"/>
      <c r="AB26" s="1060">
        <v>56</v>
      </c>
      <c r="AC26" s="1306"/>
      <c r="AD26" s="160">
        <f t="shared" si="2"/>
        <v>1.8181818181818077E-2</v>
      </c>
      <c r="AE26" s="1063"/>
      <c r="AF26" s="1060">
        <v>55</v>
      </c>
      <c r="AG26" s="1059"/>
      <c r="AH26" s="1060">
        <v>53</v>
      </c>
      <c r="AI26" s="1306"/>
      <c r="AJ26" s="160">
        <f t="shared" si="3"/>
        <v>-3.6363636363636376E-2</v>
      </c>
      <c r="AK26" s="1063"/>
      <c r="AL26" s="1060">
        <v>3</v>
      </c>
      <c r="AM26" s="1059"/>
      <c r="AN26" s="1060">
        <v>14</v>
      </c>
      <c r="AO26" s="1306"/>
      <c r="AP26" s="160">
        <f t="shared" si="4"/>
        <v>3.666666666666667</v>
      </c>
      <c r="AQ26" s="1063"/>
      <c r="AR26" s="1060">
        <v>51</v>
      </c>
      <c r="AS26" s="1059"/>
      <c r="AT26" s="1060">
        <v>49</v>
      </c>
      <c r="AU26" s="1306"/>
      <c r="AV26" s="160">
        <f t="shared" si="5"/>
        <v>-3.9215686274509776E-2</v>
      </c>
      <c r="AW26" s="1063"/>
      <c r="AX26" s="1060">
        <v>18</v>
      </c>
      <c r="AY26" s="1059"/>
      <c r="AZ26" s="1060">
        <v>47</v>
      </c>
      <c r="BA26" s="1306"/>
      <c r="BB26" s="160">
        <f t="shared" si="6"/>
        <v>1.6111111111111112</v>
      </c>
      <c r="BC26" s="1063"/>
      <c r="BD26" s="1060">
        <v>8</v>
      </c>
      <c r="BE26" s="1059"/>
      <c r="BF26" s="1060">
        <v>8</v>
      </c>
      <c r="BG26" s="1306"/>
      <c r="BH26" s="160">
        <f t="shared" si="7"/>
        <v>0</v>
      </c>
      <c r="BI26" s="1063"/>
      <c r="BJ26" s="1060">
        <v>31</v>
      </c>
      <c r="BK26" s="1059"/>
      <c r="BL26" s="1060">
        <v>49</v>
      </c>
      <c r="BM26" s="1306"/>
      <c r="BN26" s="160">
        <f t="shared" si="8"/>
        <v>0.58064516129032251</v>
      </c>
      <c r="BO26" s="1063"/>
      <c r="BP26" s="1060">
        <v>5</v>
      </c>
      <c r="BQ26" s="1059"/>
      <c r="BR26" s="1060">
        <v>8</v>
      </c>
      <c r="BS26" s="1306"/>
      <c r="BT26" s="160">
        <f t="shared" si="9"/>
        <v>0.60000000000000009</v>
      </c>
      <c r="BU26" s="1063"/>
      <c r="BV26" s="1060">
        <v>23</v>
      </c>
      <c r="BW26" s="1059"/>
      <c r="BX26" s="1060">
        <v>27</v>
      </c>
      <c r="BY26" s="1306"/>
      <c r="BZ26" s="160">
        <f t="shared" si="10"/>
        <v>0.17391304347826098</v>
      </c>
      <c r="CA26" s="1039"/>
      <c r="CC26" s="1036"/>
      <c r="CD26" s="1036"/>
      <c r="CE26" s="1036"/>
      <c r="CF26" s="1036"/>
      <c r="CG26" s="1036"/>
      <c r="CH26" s="1036"/>
      <c r="CI26" s="1036"/>
      <c r="CJ26" s="1036"/>
      <c r="CK26" s="1036"/>
    </row>
    <row r="27" spans="1:89" s="957" customFormat="1">
      <c r="A27" s="1650"/>
      <c r="B27" s="1650"/>
      <c r="C27" s="984">
        <v>9.1999999999999993</v>
      </c>
      <c r="D27" s="1065" t="s">
        <v>2000</v>
      </c>
      <c r="E27" s="1079" t="s">
        <v>1125</v>
      </c>
      <c r="F27" s="1080"/>
      <c r="G27" s="1080"/>
      <c r="H27" s="1081"/>
      <c r="I27" s="1059"/>
      <c r="J27" s="1062">
        <f t="shared" si="17"/>
        <v>122.6</v>
      </c>
      <c r="K27" s="1403"/>
      <c r="L27" s="1062">
        <f t="shared" si="18"/>
        <v>142.6</v>
      </c>
      <c r="M27" s="1403"/>
      <c r="N27" s="1403">
        <f t="shared" si="13"/>
        <v>0</v>
      </c>
      <c r="O27" s="1350">
        <f t="shared" si="0"/>
        <v>0</v>
      </c>
      <c r="P27" s="1350">
        <f t="shared" si="14"/>
        <v>0</v>
      </c>
      <c r="Q27" s="1350">
        <f t="shared" si="15"/>
        <v>0</v>
      </c>
      <c r="R27" s="1350">
        <f t="shared" si="16"/>
        <v>0</v>
      </c>
      <c r="S27" s="1063"/>
      <c r="T27" s="1060">
        <v>9</v>
      </c>
      <c r="U27" s="1275"/>
      <c r="V27" s="1060">
        <v>19</v>
      </c>
      <c r="W27" s="1275"/>
      <c r="X27" s="160">
        <f t="shared" si="1"/>
        <v>1.1111111111111112</v>
      </c>
      <c r="Y27" s="1063"/>
      <c r="Z27" s="1060">
        <v>315</v>
      </c>
      <c r="AA27" s="1059"/>
      <c r="AB27" s="1060">
        <v>306</v>
      </c>
      <c r="AC27" s="1306"/>
      <c r="AD27" s="160">
        <f t="shared" si="2"/>
        <v>-2.8571428571428581E-2</v>
      </c>
      <c r="AE27" s="1063"/>
      <c r="AF27" s="1060">
        <v>288</v>
      </c>
      <c r="AG27" s="1059"/>
      <c r="AH27" s="1060">
        <v>224</v>
      </c>
      <c r="AI27" s="1306"/>
      <c r="AJ27" s="160">
        <f t="shared" si="3"/>
        <v>-0.22222222222222221</v>
      </c>
      <c r="AK27" s="1063"/>
      <c r="AL27" s="1060">
        <v>11</v>
      </c>
      <c r="AM27" s="1059"/>
      <c r="AN27" s="1060">
        <v>63</v>
      </c>
      <c r="AO27" s="1306"/>
      <c r="AP27" s="160">
        <f t="shared" si="4"/>
        <v>4.7272727272727275</v>
      </c>
      <c r="AQ27" s="1063"/>
      <c r="AR27" s="1060">
        <v>122</v>
      </c>
      <c r="AS27" s="1059"/>
      <c r="AT27" s="1060">
        <v>123</v>
      </c>
      <c r="AU27" s="1306"/>
      <c r="AV27" s="160">
        <f t="shared" si="5"/>
        <v>8.1967213114753079E-3</v>
      </c>
      <c r="AW27" s="1063"/>
      <c r="AX27" s="1060">
        <v>130</v>
      </c>
      <c r="AY27" s="1059"/>
      <c r="AZ27" s="1060">
        <v>174</v>
      </c>
      <c r="BA27" s="1306"/>
      <c r="BB27" s="160">
        <f t="shared" si="6"/>
        <v>0.33846153846153837</v>
      </c>
      <c r="BC27" s="1063"/>
      <c r="BD27" s="1060">
        <v>54</v>
      </c>
      <c r="BE27" s="1059"/>
      <c r="BF27" s="1060">
        <v>53</v>
      </c>
      <c r="BG27" s="1306"/>
      <c r="BH27" s="160">
        <f t="shared" si="7"/>
        <v>-1.851851851851849E-2</v>
      </c>
      <c r="BI27" s="1063"/>
      <c r="BJ27" s="1060">
        <v>134</v>
      </c>
      <c r="BK27" s="1059"/>
      <c r="BL27" s="1060">
        <v>201</v>
      </c>
      <c r="BM27" s="1306"/>
      <c r="BN27" s="160">
        <f t="shared" si="8"/>
        <v>0.5</v>
      </c>
      <c r="BO27" s="1063"/>
      <c r="BP27" s="1060">
        <v>59</v>
      </c>
      <c r="BQ27" s="1059"/>
      <c r="BR27" s="1060">
        <v>54</v>
      </c>
      <c r="BS27" s="1306"/>
      <c r="BT27" s="160">
        <f t="shared" si="9"/>
        <v>-8.4745762711864403E-2</v>
      </c>
      <c r="BU27" s="1063"/>
      <c r="BV27" s="1060">
        <v>104</v>
      </c>
      <c r="BW27" s="1059"/>
      <c r="BX27" s="1060">
        <v>209</v>
      </c>
      <c r="BY27" s="1306"/>
      <c r="BZ27" s="160">
        <f t="shared" si="10"/>
        <v>1.0096153846153846</v>
      </c>
      <c r="CA27" s="1039"/>
      <c r="CC27" s="1036"/>
      <c r="CD27" s="1036"/>
      <c r="CE27" s="1036"/>
      <c r="CF27" s="1036"/>
      <c r="CG27" s="1036"/>
      <c r="CH27" s="1036"/>
      <c r="CI27" s="1036"/>
      <c r="CJ27" s="1036"/>
      <c r="CK27" s="1036"/>
    </row>
    <row r="28" spans="1:89" s="957" customFormat="1" ht="14.25">
      <c r="A28" s="1651" t="s">
        <v>1126</v>
      </c>
      <c r="B28" s="1651" t="s">
        <v>1127</v>
      </c>
      <c r="C28" s="970">
        <v>10</v>
      </c>
      <c r="D28" s="1411" t="s">
        <v>1692</v>
      </c>
      <c r="E28" s="1066" t="s">
        <v>1106</v>
      </c>
      <c r="F28" s="1064" t="s">
        <v>1128</v>
      </c>
      <c r="G28" s="1073" t="s">
        <v>1110</v>
      </c>
      <c r="H28" s="1062" t="s">
        <v>230</v>
      </c>
      <c r="I28" s="1647">
        <v>6</v>
      </c>
      <c r="J28" s="1062">
        <f t="shared" si="17"/>
        <v>0.9</v>
      </c>
      <c r="K28" s="1655">
        <f>AVERAGE(BW28,BQ28,BK28,BE28,AY28,AS28,AM28,AG28,AA28,U28)</f>
        <v>5.15</v>
      </c>
      <c r="L28" s="1062">
        <f t="shared" si="18"/>
        <v>1.3</v>
      </c>
      <c r="M28" s="1655">
        <f>AVERAGE(BY28,BS28,BM28,BG28,BA28,AU28,AO28,AI28,AC28,W28)</f>
        <v>4.95</v>
      </c>
      <c r="N28" s="1657">
        <f>M28-K28</f>
        <v>-0.20000000000000018</v>
      </c>
      <c r="O28" s="1350">
        <f t="shared" si="0"/>
        <v>1.0499999999999998</v>
      </c>
      <c r="P28" s="1350">
        <f t="shared" si="14"/>
        <v>0.73499999999999988</v>
      </c>
      <c r="Q28" s="1350">
        <f t="shared" si="15"/>
        <v>8.1666666666666651E-2</v>
      </c>
      <c r="R28" s="1350">
        <f t="shared" si="16"/>
        <v>4.0833333333333326E-2</v>
      </c>
      <c r="S28" s="1063"/>
      <c r="T28" s="1060">
        <v>0</v>
      </c>
      <c r="U28" s="1649">
        <f>6-T28*0.5-T29*2</f>
        <v>6</v>
      </c>
      <c r="V28" s="1060">
        <v>0</v>
      </c>
      <c r="W28" s="1649">
        <f>6-V28*0.5-V29*2</f>
        <v>6</v>
      </c>
      <c r="X28" s="160">
        <f t="shared" si="1"/>
        <v>0</v>
      </c>
      <c r="Y28" s="1063"/>
      <c r="Z28" s="1060">
        <v>3</v>
      </c>
      <c r="AA28" s="1626">
        <f>6-Z28*0.5-Z29*2</f>
        <v>4.5</v>
      </c>
      <c r="AB28" s="1060">
        <v>3</v>
      </c>
      <c r="AC28" s="1625">
        <f>6-AB28*0.5-AB29*2</f>
        <v>4.5</v>
      </c>
      <c r="AD28" s="160">
        <f t="shared" si="2"/>
        <v>0</v>
      </c>
      <c r="AE28" s="1063"/>
      <c r="AF28" s="1060">
        <v>0</v>
      </c>
      <c r="AG28" s="1626">
        <f>6-AF28*0.5-AF29*2</f>
        <v>6</v>
      </c>
      <c r="AH28" s="1060">
        <v>1</v>
      </c>
      <c r="AI28" s="1625">
        <f>6-AH28*0.5-AH29*2</f>
        <v>5.5</v>
      </c>
      <c r="AJ28" s="160">
        <f t="shared" si="3"/>
        <v>1</v>
      </c>
      <c r="AK28" s="1063"/>
      <c r="AL28" s="1060">
        <v>2</v>
      </c>
      <c r="AM28" s="1626">
        <f>6-AL28*0.5-AL29*2</f>
        <v>1</v>
      </c>
      <c r="AN28" s="1060">
        <v>2</v>
      </c>
      <c r="AO28" s="1625">
        <f>6-AN28*0.5-AN29*2</f>
        <v>1</v>
      </c>
      <c r="AP28" s="160">
        <f t="shared" si="4"/>
        <v>0</v>
      </c>
      <c r="AQ28" s="1063"/>
      <c r="AR28" s="1060">
        <v>2</v>
      </c>
      <c r="AS28" s="1626">
        <f>6-AR28*0.5-AR29*2</f>
        <v>5</v>
      </c>
      <c r="AT28" s="1060">
        <v>2</v>
      </c>
      <c r="AU28" s="1625">
        <f>6-AT28*0.5-AT29*2</f>
        <v>5</v>
      </c>
      <c r="AV28" s="160">
        <f t="shared" si="5"/>
        <v>0</v>
      </c>
      <c r="AW28" s="1063"/>
      <c r="AX28" s="1060">
        <v>1</v>
      </c>
      <c r="AY28" s="1626">
        <f>6-AX28*0.5-AX29*2</f>
        <v>5.5</v>
      </c>
      <c r="AZ28" s="1060">
        <v>2</v>
      </c>
      <c r="BA28" s="1625">
        <f>6-AZ28*0.5-AZ29*2</f>
        <v>5</v>
      </c>
      <c r="BB28" s="160">
        <f t="shared" si="6"/>
        <v>1</v>
      </c>
      <c r="BC28" s="1063"/>
      <c r="BD28" s="1060">
        <v>0</v>
      </c>
      <c r="BE28" s="1626">
        <f>6-BD28*0.5-BD29*2</f>
        <v>6</v>
      </c>
      <c r="BF28" s="1060">
        <v>0</v>
      </c>
      <c r="BG28" s="1625">
        <f>6-BF28*0.5-BF29*2</f>
        <v>6</v>
      </c>
      <c r="BH28" s="160">
        <f t="shared" si="7"/>
        <v>0</v>
      </c>
      <c r="BI28" s="1063"/>
      <c r="BJ28" s="1060">
        <v>0</v>
      </c>
      <c r="BK28" s="1626">
        <f>6-BJ28*0.5-BJ29*2</f>
        <v>6</v>
      </c>
      <c r="BL28" s="1060">
        <v>2</v>
      </c>
      <c r="BM28" s="1625">
        <f>6-BL28*0.5-BL29*2</f>
        <v>5</v>
      </c>
      <c r="BN28" s="160">
        <f t="shared" si="8"/>
        <v>1</v>
      </c>
      <c r="BO28" s="1063"/>
      <c r="BP28" s="1060">
        <v>0</v>
      </c>
      <c r="BQ28" s="1626">
        <f>6-BP28*0.5-BP29*2</f>
        <v>6</v>
      </c>
      <c r="BR28" s="1060">
        <v>0</v>
      </c>
      <c r="BS28" s="1625">
        <f>6-BR28*0.5-BR29*2</f>
        <v>6</v>
      </c>
      <c r="BT28" s="160">
        <f t="shared" si="9"/>
        <v>0</v>
      </c>
      <c r="BU28" s="1063"/>
      <c r="BV28" s="1060">
        <v>1</v>
      </c>
      <c r="BW28" s="1626">
        <f>6-BV28*0.5-BV29*2</f>
        <v>5.5</v>
      </c>
      <c r="BX28" s="1060">
        <v>1</v>
      </c>
      <c r="BY28" s="1625">
        <f>6-BX28*0.5-BX29*2</f>
        <v>5.5</v>
      </c>
      <c r="BZ28" s="160">
        <f t="shared" si="10"/>
        <v>0</v>
      </c>
      <c r="CA28" s="1039"/>
      <c r="CC28" s="1036"/>
      <c r="CD28" s="1036"/>
      <c r="CE28" s="1036"/>
      <c r="CF28" s="1036"/>
      <c r="CG28" s="1036"/>
      <c r="CH28" s="1036"/>
      <c r="CI28" s="1036"/>
      <c r="CJ28" s="1036"/>
      <c r="CK28" s="1036"/>
    </row>
    <row r="29" spans="1:89" s="957" customFormat="1" ht="14.25">
      <c r="A29" s="1650"/>
      <c r="B29" s="1650"/>
      <c r="C29" s="970">
        <v>11</v>
      </c>
      <c r="D29" s="1438" t="s">
        <v>2020</v>
      </c>
      <c r="E29" s="1066" t="s">
        <v>1106</v>
      </c>
      <c r="F29" s="1064" t="s">
        <v>1128</v>
      </c>
      <c r="G29" s="1073" t="s">
        <v>402</v>
      </c>
      <c r="H29" s="1062" t="s">
        <v>230</v>
      </c>
      <c r="I29" s="1647"/>
      <c r="J29" s="1062">
        <f t="shared" si="17"/>
        <v>0.2</v>
      </c>
      <c r="K29" s="1656"/>
      <c r="L29" s="1062">
        <f t="shared" si="18"/>
        <v>0.2</v>
      </c>
      <c r="M29" s="1656"/>
      <c r="N29" s="1658"/>
      <c r="O29" s="1350">
        <f t="shared" si="0"/>
        <v>0</v>
      </c>
      <c r="P29" s="1350">
        <f t="shared" si="14"/>
        <v>0</v>
      </c>
      <c r="Q29" s="1350">
        <f t="shared" si="15"/>
        <v>0</v>
      </c>
      <c r="R29" s="1350">
        <f t="shared" si="16"/>
        <v>0</v>
      </c>
      <c r="S29" s="1063"/>
      <c r="T29" s="1060">
        <v>0</v>
      </c>
      <c r="U29" s="1649"/>
      <c r="V29" s="1060">
        <v>0</v>
      </c>
      <c r="W29" s="1649"/>
      <c r="X29" s="160">
        <f t="shared" si="1"/>
        <v>0</v>
      </c>
      <c r="Y29" s="1063"/>
      <c r="Z29" s="1060">
        <v>0</v>
      </c>
      <c r="AA29" s="1626"/>
      <c r="AB29" s="1060">
        <v>0</v>
      </c>
      <c r="AC29" s="1625"/>
      <c r="AD29" s="160">
        <f t="shared" si="2"/>
        <v>0</v>
      </c>
      <c r="AE29" s="1063"/>
      <c r="AF29" s="1060">
        <v>0</v>
      </c>
      <c r="AG29" s="1626"/>
      <c r="AH29" s="1060">
        <v>0</v>
      </c>
      <c r="AI29" s="1625"/>
      <c r="AJ29" s="160">
        <f t="shared" si="3"/>
        <v>0</v>
      </c>
      <c r="AK29" s="1063"/>
      <c r="AL29" s="1060">
        <v>2</v>
      </c>
      <c r="AM29" s="1626"/>
      <c r="AN29" s="1060">
        <v>2</v>
      </c>
      <c r="AO29" s="1625"/>
      <c r="AP29" s="160">
        <f t="shared" si="4"/>
        <v>0</v>
      </c>
      <c r="AQ29" s="1063"/>
      <c r="AR29" s="1060">
        <v>0</v>
      </c>
      <c r="AS29" s="1626"/>
      <c r="AT29" s="1060">
        <v>0</v>
      </c>
      <c r="AU29" s="1625"/>
      <c r="AV29" s="160">
        <f t="shared" si="5"/>
        <v>0</v>
      </c>
      <c r="AW29" s="1063"/>
      <c r="AX29" s="1060">
        <v>0</v>
      </c>
      <c r="AY29" s="1626"/>
      <c r="AZ29" s="1060">
        <v>0</v>
      </c>
      <c r="BA29" s="1625"/>
      <c r="BB29" s="160">
        <f t="shared" si="6"/>
        <v>0</v>
      </c>
      <c r="BC29" s="1063"/>
      <c r="BD29" s="1060">
        <v>0</v>
      </c>
      <c r="BE29" s="1626"/>
      <c r="BF29" s="1060">
        <v>0</v>
      </c>
      <c r="BG29" s="1625"/>
      <c r="BH29" s="160">
        <f t="shared" si="7"/>
        <v>0</v>
      </c>
      <c r="BI29" s="1063"/>
      <c r="BJ29" s="1060">
        <v>0</v>
      </c>
      <c r="BK29" s="1626"/>
      <c r="BL29" s="1060">
        <v>0</v>
      </c>
      <c r="BM29" s="1625"/>
      <c r="BN29" s="160">
        <f t="shared" si="8"/>
        <v>0</v>
      </c>
      <c r="BO29" s="1063"/>
      <c r="BP29" s="1060">
        <v>0</v>
      </c>
      <c r="BQ29" s="1626"/>
      <c r="BR29" s="1060">
        <v>0</v>
      </c>
      <c r="BS29" s="1625"/>
      <c r="BT29" s="160">
        <f t="shared" si="9"/>
        <v>0</v>
      </c>
      <c r="BU29" s="1063"/>
      <c r="BV29" s="1060">
        <v>0</v>
      </c>
      <c r="BW29" s="1626"/>
      <c r="BX29" s="1060">
        <v>0</v>
      </c>
      <c r="BY29" s="1625"/>
      <c r="BZ29" s="160">
        <f t="shared" si="10"/>
        <v>0</v>
      </c>
      <c r="CA29" s="1039"/>
      <c r="CC29" s="1036"/>
      <c r="CD29" s="1036"/>
      <c r="CE29" s="1036"/>
      <c r="CF29" s="1036"/>
      <c r="CG29" s="1036"/>
      <c r="CH29" s="1036"/>
      <c r="CI29" s="1036"/>
      <c r="CJ29" s="1036"/>
      <c r="CK29" s="1036"/>
    </row>
    <row r="30" spans="1:89" s="957" customFormat="1" ht="14.25">
      <c r="A30" s="1651" t="s">
        <v>2127</v>
      </c>
      <c r="B30" s="1651" t="s">
        <v>2043</v>
      </c>
      <c r="C30" s="970">
        <v>12</v>
      </c>
      <c r="D30" s="1057" t="s">
        <v>2431</v>
      </c>
      <c r="E30" s="1066" t="s">
        <v>1106</v>
      </c>
      <c r="F30" s="1064" t="s">
        <v>1128</v>
      </c>
      <c r="G30" s="1073" t="s">
        <v>1110</v>
      </c>
      <c r="H30" s="1062" t="s">
        <v>230</v>
      </c>
      <c r="I30" s="1647">
        <v>6</v>
      </c>
      <c r="J30" s="1062">
        <f t="shared" si="17"/>
        <v>0</v>
      </c>
      <c r="K30" s="1403">
        <f>AVERAGE(BW30,BQ30,BK30,BE30,AY30,AS30,AM30,AG30,AA30,U30)</f>
        <v>6</v>
      </c>
      <c r="L30" s="1062">
        <f t="shared" si="18"/>
        <v>0</v>
      </c>
      <c r="M30" s="1403">
        <f>AVERAGE(BY30,BS30,BM30,BG30,BA30,AU30,AO30,AI30,AC30,W30)</f>
        <v>6</v>
      </c>
      <c r="N30" s="1403">
        <f t="shared" si="13"/>
        <v>0</v>
      </c>
      <c r="O30" s="1350">
        <f t="shared" si="0"/>
        <v>0</v>
      </c>
      <c r="P30" s="1350">
        <f t="shared" si="14"/>
        <v>0</v>
      </c>
      <c r="Q30" s="1350">
        <f t="shared" si="15"/>
        <v>0</v>
      </c>
      <c r="R30" s="1350">
        <f t="shared" si="16"/>
        <v>0</v>
      </c>
      <c r="S30" s="1063"/>
      <c r="T30" s="1060">
        <v>0</v>
      </c>
      <c r="U30" s="1649">
        <f>6-T30*0.5-T31*2</f>
        <v>6</v>
      </c>
      <c r="V30" s="1060">
        <v>0</v>
      </c>
      <c r="W30" s="1649">
        <f>6-V30*0.5-V31*2</f>
        <v>6</v>
      </c>
      <c r="X30" s="160">
        <f t="shared" si="1"/>
        <v>0</v>
      </c>
      <c r="Y30" s="1063"/>
      <c r="Z30" s="1060">
        <v>0</v>
      </c>
      <c r="AA30" s="1626">
        <f>6-Z30*0.5-Z31*2</f>
        <v>6</v>
      </c>
      <c r="AB30" s="1060">
        <v>0</v>
      </c>
      <c r="AC30" s="1625">
        <f>6-AB30*0.5-AB31*2</f>
        <v>6</v>
      </c>
      <c r="AD30" s="160">
        <f>IF(AND(Z30=0,AB30&lt;&gt;0),1,IF(AND(Z30=0,AB30=0),0,AB30/Z30-1))</f>
        <v>0</v>
      </c>
      <c r="AE30" s="1063"/>
      <c r="AF30" s="1060">
        <v>0</v>
      </c>
      <c r="AG30" s="1626">
        <f>6-AF30*0.5-AF31*2</f>
        <v>6</v>
      </c>
      <c r="AH30" s="1060">
        <v>0</v>
      </c>
      <c r="AI30" s="1625">
        <f>6-AH30*0.5-AH31*2</f>
        <v>6</v>
      </c>
      <c r="AJ30" s="160">
        <f t="shared" si="3"/>
        <v>0</v>
      </c>
      <c r="AK30" s="1063"/>
      <c r="AL30" s="1060">
        <v>0</v>
      </c>
      <c r="AM30" s="1626">
        <f>6-AL30*0.5-AL31*2</f>
        <v>6</v>
      </c>
      <c r="AN30" s="1060">
        <v>0</v>
      </c>
      <c r="AO30" s="1625">
        <f>6-AN30*0.5-AN31*2</f>
        <v>6</v>
      </c>
      <c r="AP30" s="160">
        <f t="shared" si="4"/>
        <v>0</v>
      </c>
      <c r="AQ30" s="1063"/>
      <c r="AR30" s="1060">
        <v>0</v>
      </c>
      <c r="AS30" s="1626">
        <f>6-AR30*0.5-AR31*2</f>
        <v>6</v>
      </c>
      <c r="AT30" s="1060">
        <v>0</v>
      </c>
      <c r="AU30" s="1625">
        <f>6-AT30*0.5-AT31*2</f>
        <v>6</v>
      </c>
      <c r="AV30" s="160">
        <f t="shared" si="5"/>
        <v>0</v>
      </c>
      <c r="AW30" s="1063"/>
      <c r="AX30" s="1060">
        <v>0</v>
      </c>
      <c r="AY30" s="1626">
        <f>6-AX30*0.5-AX31*2</f>
        <v>6</v>
      </c>
      <c r="AZ30" s="1060">
        <v>0</v>
      </c>
      <c r="BA30" s="1625">
        <f>6-AZ30*0.5-AZ31*2</f>
        <v>6</v>
      </c>
      <c r="BB30" s="160">
        <f t="shared" si="6"/>
        <v>0</v>
      </c>
      <c r="BC30" s="1063"/>
      <c r="BD30" s="1060">
        <v>0</v>
      </c>
      <c r="BE30" s="1626">
        <f>6-BD30*0.5-BD31*2</f>
        <v>6</v>
      </c>
      <c r="BF30" s="1060">
        <v>0</v>
      </c>
      <c r="BG30" s="1625">
        <f>6-BF30*0.5-BF31*2</f>
        <v>6</v>
      </c>
      <c r="BH30" s="160">
        <f t="shared" si="7"/>
        <v>0</v>
      </c>
      <c r="BI30" s="1063"/>
      <c r="BJ30" s="1060">
        <v>0</v>
      </c>
      <c r="BK30" s="1626">
        <f>6-BJ30*0.5-BJ31*2</f>
        <v>6</v>
      </c>
      <c r="BL30" s="1060">
        <v>0</v>
      </c>
      <c r="BM30" s="1625">
        <f>6-BL30*0.5-BL31*2</f>
        <v>6</v>
      </c>
      <c r="BN30" s="160">
        <f t="shared" si="8"/>
        <v>0</v>
      </c>
      <c r="BO30" s="1063"/>
      <c r="BP30" s="1060">
        <v>0</v>
      </c>
      <c r="BQ30" s="1626">
        <f>6-BP30*0.5-BP31*2</f>
        <v>6</v>
      </c>
      <c r="BR30" s="1060">
        <v>0</v>
      </c>
      <c r="BS30" s="1625">
        <f>6-BR30*0.5-BR31*2</f>
        <v>6</v>
      </c>
      <c r="BT30" s="160">
        <f t="shared" si="9"/>
        <v>0</v>
      </c>
      <c r="BU30" s="1063"/>
      <c r="BV30" s="1060">
        <v>0</v>
      </c>
      <c r="BW30" s="1626">
        <f>6-BV30*0.5-BV31*2</f>
        <v>6</v>
      </c>
      <c r="BX30" s="1060">
        <v>0</v>
      </c>
      <c r="BY30" s="1625">
        <f>6-BX30*0.5-BX31*2</f>
        <v>6</v>
      </c>
      <c r="BZ30" s="160">
        <f t="shared" si="10"/>
        <v>0</v>
      </c>
      <c r="CA30" s="1039"/>
      <c r="CC30" s="1036"/>
      <c r="CD30" s="1036"/>
      <c r="CE30" s="1036"/>
      <c r="CF30" s="1036"/>
      <c r="CG30" s="1036"/>
      <c r="CH30" s="1036"/>
      <c r="CI30" s="1036"/>
      <c r="CJ30" s="1036"/>
      <c r="CK30" s="1036"/>
    </row>
    <row r="31" spans="1:89" s="957" customFormat="1" ht="14.25">
      <c r="A31" s="1650"/>
      <c r="B31" s="1650"/>
      <c r="C31" s="970">
        <v>13</v>
      </c>
      <c r="D31" s="1057" t="s">
        <v>1130</v>
      </c>
      <c r="E31" s="1066" t="s">
        <v>1106</v>
      </c>
      <c r="F31" s="1064" t="s">
        <v>1128</v>
      </c>
      <c r="G31" s="1073" t="s">
        <v>402</v>
      </c>
      <c r="H31" s="1062" t="s">
        <v>230</v>
      </c>
      <c r="I31" s="1647"/>
      <c r="J31" s="1062">
        <f t="shared" si="17"/>
        <v>0</v>
      </c>
      <c r="K31" s="1403">
        <v>0</v>
      </c>
      <c r="L31" s="1062">
        <f t="shared" si="18"/>
        <v>0</v>
      </c>
      <c r="M31" s="1403"/>
      <c r="N31" s="1403">
        <f t="shared" si="13"/>
        <v>0</v>
      </c>
      <c r="O31" s="1350">
        <f t="shared" si="0"/>
        <v>0</v>
      </c>
      <c r="P31" s="1350">
        <f t="shared" si="14"/>
        <v>0</v>
      </c>
      <c r="Q31" s="1350">
        <f t="shared" si="15"/>
        <v>0</v>
      </c>
      <c r="R31" s="1350">
        <f t="shared" si="16"/>
        <v>0</v>
      </c>
      <c r="S31" s="1063"/>
      <c r="T31" s="1060">
        <v>0</v>
      </c>
      <c r="U31" s="1649"/>
      <c r="V31" s="1060">
        <v>0</v>
      </c>
      <c r="W31" s="1649"/>
      <c r="X31" s="160">
        <f t="shared" si="1"/>
        <v>0</v>
      </c>
      <c r="Y31" s="1063"/>
      <c r="Z31" s="1060">
        <v>0</v>
      </c>
      <c r="AA31" s="1626"/>
      <c r="AB31" s="1060">
        <v>0</v>
      </c>
      <c r="AC31" s="1625"/>
      <c r="AD31" s="160">
        <f t="shared" si="2"/>
        <v>0</v>
      </c>
      <c r="AE31" s="1063"/>
      <c r="AF31" s="1060">
        <v>0</v>
      </c>
      <c r="AG31" s="1626"/>
      <c r="AH31" s="1060">
        <v>0</v>
      </c>
      <c r="AI31" s="1625"/>
      <c r="AJ31" s="160">
        <f t="shared" si="3"/>
        <v>0</v>
      </c>
      <c r="AK31" s="1063"/>
      <c r="AL31" s="1060">
        <v>0</v>
      </c>
      <c r="AM31" s="1626"/>
      <c r="AN31" s="1060">
        <v>0</v>
      </c>
      <c r="AO31" s="1625"/>
      <c r="AP31" s="160"/>
      <c r="AQ31" s="1063"/>
      <c r="AR31" s="1060">
        <v>0</v>
      </c>
      <c r="AS31" s="1626"/>
      <c r="AT31" s="1060">
        <v>0</v>
      </c>
      <c r="AU31" s="1625"/>
      <c r="AV31" s="160">
        <f t="shared" si="5"/>
        <v>0</v>
      </c>
      <c r="AW31" s="1063"/>
      <c r="AX31" s="1060">
        <v>0</v>
      </c>
      <c r="AY31" s="1626"/>
      <c r="AZ31" s="1060">
        <v>0</v>
      </c>
      <c r="BA31" s="1625"/>
      <c r="BB31" s="160">
        <f t="shared" si="6"/>
        <v>0</v>
      </c>
      <c r="BC31" s="1063"/>
      <c r="BD31" s="1060">
        <v>0</v>
      </c>
      <c r="BE31" s="1626"/>
      <c r="BF31" s="1060">
        <v>0</v>
      </c>
      <c r="BG31" s="1625"/>
      <c r="BH31" s="160">
        <f t="shared" si="7"/>
        <v>0</v>
      </c>
      <c r="BI31" s="1063"/>
      <c r="BJ31" s="1060">
        <v>0</v>
      </c>
      <c r="BK31" s="1626"/>
      <c r="BL31" s="1060">
        <v>0</v>
      </c>
      <c r="BM31" s="1625"/>
      <c r="BN31" s="160">
        <f t="shared" si="8"/>
        <v>0</v>
      </c>
      <c r="BO31" s="1063"/>
      <c r="BP31" s="1060">
        <v>0</v>
      </c>
      <c r="BQ31" s="1626"/>
      <c r="BR31" s="1060">
        <v>0</v>
      </c>
      <c r="BS31" s="1625"/>
      <c r="BT31" s="160">
        <f t="shared" si="9"/>
        <v>0</v>
      </c>
      <c r="BU31" s="1063"/>
      <c r="BV31" s="1060">
        <v>0</v>
      </c>
      <c r="BW31" s="1626"/>
      <c r="BX31" s="1060">
        <v>0</v>
      </c>
      <c r="BY31" s="1625"/>
      <c r="BZ31" s="160">
        <f t="shared" si="10"/>
        <v>0</v>
      </c>
      <c r="CA31" s="1039"/>
      <c r="CC31" s="1036"/>
      <c r="CD31" s="1036"/>
      <c r="CE31" s="1036"/>
      <c r="CF31" s="1036"/>
      <c r="CG31" s="1036"/>
      <c r="CH31" s="1036"/>
      <c r="CI31" s="1036"/>
      <c r="CJ31" s="1036"/>
      <c r="CK31" s="1036"/>
    </row>
    <row r="32" spans="1:89" s="957" customFormat="1" ht="17.25" customHeight="1">
      <c r="A32" s="1648" t="s">
        <v>1691</v>
      </c>
      <c r="B32" s="1648" t="s">
        <v>2155</v>
      </c>
      <c r="C32" s="970">
        <v>14</v>
      </c>
      <c r="D32" s="1104" t="s">
        <v>1479</v>
      </c>
      <c r="E32" s="1066" t="s">
        <v>1106</v>
      </c>
      <c r="F32" s="1064" t="s">
        <v>1128</v>
      </c>
      <c r="G32" s="1073" t="s">
        <v>1110</v>
      </c>
      <c r="H32" s="1062" t="s">
        <v>230</v>
      </c>
      <c r="I32" s="1647">
        <v>6</v>
      </c>
      <c r="J32" s="1062">
        <f t="shared" si="17"/>
        <v>0.2</v>
      </c>
      <c r="K32" s="1402">
        <f>AVERAGE(BW32,BQ32,BK32,BE32,AY32,AS32,AM32,AG32,AA32,U32)</f>
        <v>5.4</v>
      </c>
      <c r="L32" s="1062">
        <f t="shared" si="18"/>
        <v>0.1</v>
      </c>
      <c r="M32" s="1402">
        <f>AVERAGE(BY32,BS32,BM32,BG32,BA32,AU32,AO32,AI32,AC32,W32)</f>
        <v>5.7</v>
      </c>
      <c r="N32" s="1413">
        <f>M32-K32</f>
        <v>0.29999999999999982</v>
      </c>
      <c r="O32" s="1350">
        <f t="shared" si="0"/>
        <v>0.29999999999999982</v>
      </c>
      <c r="P32" s="1350">
        <f t="shared" si="14"/>
        <v>0.20999999999999985</v>
      </c>
      <c r="Q32" s="1350">
        <f t="shared" si="15"/>
        <v>2.3333333333333317E-2</v>
      </c>
      <c r="R32" s="1350">
        <f t="shared" si="16"/>
        <v>1.1666666666666659E-2</v>
      </c>
      <c r="S32" s="1063"/>
      <c r="T32" s="1060">
        <v>0</v>
      </c>
      <c r="U32" s="1649">
        <f>6-T32*3-T33*3</f>
        <v>6</v>
      </c>
      <c r="V32" s="1060">
        <v>0</v>
      </c>
      <c r="W32" s="1649">
        <f>6-V32*3-V33*3</f>
        <v>6</v>
      </c>
      <c r="X32" s="160">
        <f t="shared" si="1"/>
        <v>0</v>
      </c>
      <c r="Y32" s="1063"/>
      <c r="Z32" s="1060">
        <v>0</v>
      </c>
      <c r="AA32" s="1626">
        <f>6-Z32*3-Z33*3</f>
        <v>6</v>
      </c>
      <c r="AB32" s="1060">
        <v>0</v>
      </c>
      <c r="AC32" s="1625">
        <f>6-AB32*3-AB33*3</f>
        <v>6</v>
      </c>
      <c r="AD32" s="160">
        <f t="shared" si="2"/>
        <v>0</v>
      </c>
      <c r="AE32" s="1063"/>
      <c r="AF32" s="1060">
        <v>0</v>
      </c>
      <c r="AG32" s="1626">
        <f>6-AF32*3-AF33*3</f>
        <v>6</v>
      </c>
      <c r="AH32" s="1060">
        <v>0</v>
      </c>
      <c r="AI32" s="1625">
        <f>6-AH32*3-AH33*3</f>
        <v>6</v>
      </c>
      <c r="AJ32" s="160">
        <f t="shared" si="3"/>
        <v>0</v>
      </c>
      <c r="AK32" s="1063"/>
      <c r="AL32" s="1060">
        <v>1</v>
      </c>
      <c r="AM32" s="1626">
        <f>6-AL32*3-AL33*3</f>
        <v>3</v>
      </c>
      <c r="AN32" s="1060">
        <v>1</v>
      </c>
      <c r="AO32" s="1625">
        <f>6-AN32*3-AN33*3</f>
        <v>3</v>
      </c>
      <c r="AP32" s="160">
        <f t="shared" si="4"/>
        <v>0</v>
      </c>
      <c r="AQ32" s="1063"/>
      <c r="AR32" s="1060">
        <v>0</v>
      </c>
      <c r="AS32" s="1626">
        <f>6-AR32*3-AR33*3</f>
        <v>6</v>
      </c>
      <c r="AT32" s="1060">
        <v>0</v>
      </c>
      <c r="AU32" s="1625">
        <f>6-AT32*3-AT33*3</f>
        <v>6</v>
      </c>
      <c r="AV32" s="160">
        <f t="shared" si="5"/>
        <v>0</v>
      </c>
      <c r="AW32" s="1063"/>
      <c r="AX32" s="1060">
        <v>1</v>
      </c>
      <c r="AY32" s="1626">
        <f>6-AX32*3-AX33*3</f>
        <v>3</v>
      </c>
      <c r="AZ32" s="1060">
        <v>0</v>
      </c>
      <c r="BA32" s="1625">
        <f>6-AZ32*3-AZ33*3</f>
        <v>6</v>
      </c>
      <c r="BB32" s="160">
        <f t="shared" si="6"/>
        <v>-1</v>
      </c>
      <c r="BC32" s="1063"/>
      <c r="BD32" s="1060">
        <v>0</v>
      </c>
      <c r="BE32" s="1626">
        <f>6-BD32*3-BD33*3</f>
        <v>6</v>
      </c>
      <c r="BF32" s="1060">
        <v>0</v>
      </c>
      <c r="BG32" s="1625">
        <f>6-BF32*3-BF33*3</f>
        <v>6</v>
      </c>
      <c r="BH32" s="160">
        <f t="shared" si="7"/>
        <v>0</v>
      </c>
      <c r="BI32" s="1063"/>
      <c r="BJ32" s="1060">
        <v>0</v>
      </c>
      <c r="BK32" s="1626">
        <f>6-BJ32*3-BJ33*3</f>
        <v>6</v>
      </c>
      <c r="BL32" s="1060">
        <v>0</v>
      </c>
      <c r="BM32" s="1625">
        <f>6-BL32*3-BL33*3</f>
        <v>6</v>
      </c>
      <c r="BN32" s="160">
        <f t="shared" si="8"/>
        <v>0</v>
      </c>
      <c r="BO32" s="1063"/>
      <c r="BP32" s="1060">
        <v>0</v>
      </c>
      <c r="BQ32" s="1626">
        <f>6-BP32*3-BP33*3</f>
        <v>6</v>
      </c>
      <c r="BR32" s="1060">
        <v>0</v>
      </c>
      <c r="BS32" s="1625">
        <f>6-BR32*3-BR33*3</f>
        <v>6</v>
      </c>
      <c r="BT32" s="160">
        <f t="shared" si="9"/>
        <v>0</v>
      </c>
      <c r="BU32" s="1063"/>
      <c r="BV32" s="1060">
        <v>0</v>
      </c>
      <c r="BW32" s="1626">
        <f>6-BV32*3-BV33*3</f>
        <v>6</v>
      </c>
      <c r="BX32" s="1060">
        <v>0</v>
      </c>
      <c r="BY32" s="1625">
        <f>6-BX32*3-BX33*3</f>
        <v>6</v>
      </c>
      <c r="BZ32" s="160">
        <f>IF(AND(BV32=0,BX32&lt;&gt;0),1,IF(AND(BV32=0,BX32=0),0,BX32/BV32-1))</f>
        <v>0</v>
      </c>
      <c r="CA32" s="1039"/>
      <c r="CC32" s="1036"/>
      <c r="CD32" s="1036"/>
      <c r="CE32" s="1036"/>
      <c r="CF32" s="1036"/>
      <c r="CG32" s="1036"/>
      <c r="CH32" s="1036"/>
      <c r="CI32" s="1036"/>
      <c r="CJ32" s="1036"/>
      <c r="CK32" s="1036"/>
    </row>
    <row r="33" spans="1:89" s="957" customFormat="1" ht="17.25" customHeight="1">
      <c r="A33" s="1648"/>
      <c r="B33" s="1648"/>
      <c r="C33" s="970">
        <v>15</v>
      </c>
      <c r="D33" s="1057" t="s">
        <v>2037</v>
      </c>
      <c r="E33" s="1066" t="s">
        <v>1106</v>
      </c>
      <c r="F33" s="1064" t="s">
        <v>1128</v>
      </c>
      <c r="G33" s="1073" t="s">
        <v>402</v>
      </c>
      <c r="H33" s="1062" t="s">
        <v>230</v>
      </c>
      <c r="I33" s="1647"/>
      <c r="J33" s="1062">
        <f t="shared" si="17"/>
        <v>0</v>
      </c>
      <c r="K33" s="1403">
        <v>0</v>
      </c>
      <c r="L33" s="1062">
        <f t="shared" si="18"/>
        <v>0</v>
      </c>
      <c r="M33" s="1403"/>
      <c r="N33" s="1403">
        <f t="shared" si="13"/>
        <v>0</v>
      </c>
      <c r="O33" s="1350">
        <f t="shared" si="0"/>
        <v>0</v>
      </c>
      <c r="P33" s="1350">
        <f t="shared" si="14"/>
        <v>0</v>
      </c>
      <c r="Q33" s="1350">
        <f t="shared" si="15"/>
        <v>0</v>
      </c>
      <c r="R33" s="1350">
        <f t="shared" si="16"/>
        <v>0</v>
      </c>
      <c r="S33" s="1063"/>
      <c r="T33" s="1060">
        <v>0</v>
      </c>
      <c r="U33" s="1649"/>
      <c r="V33" s="1060">
        <v>0</v>
      </c>
      <c r="W33" s="1649"/>
      <c r="X33" s="160">
        <f t="shared" si="1"/>
        <v>0</v>
      </c>
      <c r="Y33" s="1063"/>
      <c r="Z33" s="1060">
        <v>0</v>
      </c>
      <c r="AA33" s="1626"/>
      <c r="AB33" s="1060">
        <v>0</v>
      </c>
      <c r="AC33" s="1625"/>
      <c r="AD33" s="160">
        <f t="shared" si="2"/>
        <v>0</v>
      </c>
      <c r="AE33" s="1063"/>
      <c r="AF33" s="1060">
        <v>0</v>
      </c>
      <c r="AG33" s="1626"/>
      <c r="AH33" s="1060">
        <v>0</v>
      </c>
      <c r="AI33" s="1625"/>
      <c r="AJ33" s="160">
        <f t="shared" si="3"/>
        <v>0</v>
      </c>
      <c r="AK33" s="1063"/>
      <c r="AL33" s="1060">
        <v>0</v>
      </c>
      <c r="AM33" s="1626"/>
      <c r="AN33" s="1060">
        <v>0</v>
      </c>
      <c r="AO33" s="1625"/>
      <c r="AP33" s="160">
        <f t="shared" si="4"/>
        <v>0</v>
      </c>
      <c r="AQ33" s="1063"/>
      <c r="AR33" s="1060">
        <v>0</v>
      </c>
      <c r="AS33" s="1626"/>
      <c r="AT33" s="1060">
        <v>0</v>
      </c>
      <c r="AU33" s="1625"/>
      <c r="AV33" s="160">
        <f t="shared" si="5"/>
        <v>0</v>
      </c>
      <c r="AW33" s="1063"/>
      <c r="AX33" s="1060">
        <v>0</v>
      </c>
      <c r="AY33" s="1626"/>
      <c r="AZ33" s="1060">
        <v>0</v>
      </c>
      <c r="BA33" s="1625"/>
      <c r="BB33" s="160">
        <f t="shared" si="6"/>
        <v>0</v>
      </c>
      <c r="BC33" s="1063"/>
      <c r="BD33" s="1060">
        <v>0</v>
      </c>
      <c r="BE33" s="1626"/>
      <c r="BF33" s="1060">
        <v>0</v>
      </c>
      <c r="BG33" s="1625"/>
      <c r="BH33" s="160">
        <f t="shared" si="7"/>
        <v>0</v>
      </c>
      <c r="BI33" s="1063"/>
      <c r="BJ33" s="1060">
        <v>0</v>
      </c>
      <c r="BK33" s="1626"/>
      <c r="BL33" s="1060">
        <v>0</v>
      </c>
      <c r="BM33" s="1625"/>
      <c r="BN33" s="160">
        <f t="shared" si="8"/>
        <v>0</v>
      </c>
      <c r="BO33" s="1063"/>
      <c r="BP33" s="1060">
        <v>0</v>
      </c>
      <c r="BQ33" s="1626"/>
      <c r="BR33" s="1060">
        <v>0</v>
      </c>
      <c r="BS33" s="1625"/>
      <c r="BT33" s="160">
        <f t="shared" si="9"/>
        <v>0</v>
      </c>
      <c r="BU33" s="1063"/>
      <c r="BV33" s="1060">
        <v>0</v>
      </c>
      <c r="BW33" s="1626"/>
      <c r="BX33" s="1060">
        <v>0</v>
      </c>
      <c r="BY33" s="1625"/>
      <c r="BZ33" s="160">
        <f t="shared" si="10"/>
        <v>0</v>
      </c>
      <c r="CA33" s="1039"/>
      <c r="CC33" s="1036"/>
      <c r="CD33" s="1036"/>
      <c r="CE33" s="1036"/>
      <c r="CF33" s="1036"/>
      <c r="CG33" s="1036"/>
      <c r="CH33" s="1036"/>
      <c r="CI33" s="1036"/>
      <c r="CJ33" s="1036"/>
      <c r="CK33" s="1036"/>
    </row>
    <row r="34" spans="1:89" s="1078" customFormat="1" ht="27">
      <c r="A34" s="1085" t="s">
        <v>1131</v>
      </c>
      <c r="B34" s="1086" t="s">
        <v>1132</v>
      </c>
      <c r="C34" s="970">
        <v>16</v>
      </c>
      <c r="D34" s="1087" t="s">
        <v>2196</v>
      </c>
      <c r="E34" s="1066" t="s">
        <v>1120</v>
      </c>
      <c r="F34" s="1073"/>
      <c r="G34" s="1073" t="s">
        <v>399</v>
      </c>
      <c r="H34" s="1062" t="s">
        <v>230</v>
      </c>
      <c r="I34" s="1061">
        <v>1</v>
      </c>
      <c r="J34" s="1077" t="s">
        <v>1133</v>
      </c>
      <c r="K34" s="1403">
        <f>AVERAGE(BW34,BQ34,BK34,BE34,AY34,AS34,AM34,AG34,AA34,U34)</f>
        <v>1</v>
      </c>
      <c r="L34" s="1077" t="s">
        <v>1133</v>
      </c>
      <c r="M34" s="1403">
        <f>AVERAGE(BY34,BS34,BM34,BG34,BA34,AU34,AO34,AI34,AC34,W34)</f>
        <v>1</v>
      </c>
      <c r="N34" s="1403">
        <f t="shared" si="13"/>
        <v>0</v>
      </c>
      <c r="O34" s="1350">
        <f t="shared" si="0"/>
        <v>0</v>
      </c>
      <c r="P34" s="1350">
        <f t="shared" si="14"/>
        <v>0</v>
      </c>
      <c r="Q34" s="1350">
        <f t="shared" si="15"/>
        <v>0</v>
      </c>
      <c r="R34" s="1350">
        <f t="shared" si="16"/>
        <v>0</v>
      </c>
      <c r="S34" s="1063" t="s">
        <v>1134</v>
      </c>
      <c r="T34" s="1060" t="s">
        <v>1133</v>
      </c>
      <c r="U34" s="1275">
        <f>IF(LEFT(T34,1)="1",1,0)</f>
        <v>1</v>
      </c>
      <c r="V34" s="1060" t="s">
        <v>1133</v>
      </c>
      <c r="W34" s="1275">
        <f>IF(LEFT(V34,1)="1",1,0)</f>
        <v>1</v>
      </c>
      <c r="X34" s="160">
        <f>IF((V34=T34)=TRUE,0,1)</f>
        <v>0</v>
      </c>
      <c r="Y34" s="1063"/>
      <c r="Z34" s="1060" t="s">
        <v>1133</v>
      </c>
      <c r="AA34" s="1059">
        <f>IF(LEFT(Z34,1)="1",1,0)</f>
        <v>1</v>
      </c>
      <c r="AB34" s="1060" t="s">
        <v>1133</v>
      </c>
      <c r="AC34" s="1306">
        <f>IF(LEFT(AB34,1)="1",1,0)</f>
        <v>1</v>
      </c>
      <c r="AD34" s="160">
        <f>IF((AB34=Z34)=TRUE,0,1)</f>
        <v>0</v>
      </c>
      <c r="AE34" s="1063"/>
      <c r="AF34" s="1060" t="s">
        <v>1133</v>
      </c>
      <c r="AG34" s="1059">
        <f>IF(LEFT(AF34,1)="1",1,0)</f>
        <v>1</v>
      </c>
      <c r="AH34" s="1060" t="s">
        <v>1133</v>
      </c>
      <c r="AI34" s="1306">
        <f>IF(LEFT(AH34,1)="1",1,0)</f>
        <v>1</v>
      </c>
      <c r="AJ34" s="160">
        <f>IF((AH34=AF34)=TRUE,0,1)</f>
        <v>0</v>
      </c>
      <c r="AK34" s="1063"/>
      <c r="AL34" s="1060" t="s">
        <v>1133</v>
      </c>
      <c r="AM34" s="1059">
        <f>IF(LEFT(AL34,1)="1",1,0)</f>
        <v>1</v>
      </c>
      <c r="AN34" s="1060" t="s">
        <v>1133</v>
      </c>
      <c r="AO34" s="1306">
        <f>IF(LEFT(AN34,1)="1",1,0)</f>
        <v>1</v>
      </c>
      <c r="AP34" s="160">
        <f>IF((AN34=AL34)=TRUE,0,1)</f>
        <v>0</v>
      </c>
      <c r="AQ34" s="1063"/>
      <c r="AR34" s="1060" t="s">
        <v>1133</v>
      </c>
      <c r="AS34" s="1059">
        <f>IF(LEFT(AR34,1)="1",1,0)</f>
        <v>1</v>
      </c>
      <c r="AT34" s="1060" t="s">
        <v>1133</v>
      </c>
      <c r="AU34" s="1306">
        <f>IF(LEFT(AT34,1)="1",1,0)</f>
        <v>1</v>
      </c>
      <c r="AV34" s="160">
        <f>IF((AT34=AR34)=TRUE,0,1)</f>
        <v>0</v>
      </c>
      <c r="AW34" s="1063"/>
      <c r="AX34" s="1060" t="s">
        <v>1133</v>
      </c>
      <c r="AY34" s="1059">
        <f>IF(LEFT(AX34,1)="1",1,0)</f>
        <v>1</v>
      </c>
      <c r="AZ34" s="1060" t="s">
        <v>1133</v>
      </c>
      <c r="BA34" s="1306">
        <f>IF(LEFT(AZ34,1)="1",1,0)</f>
        <v>1</v>
      </c>
      <c r="BB34" s="160">
        <f>IF((AZ34=AX34)=TRUE,0,1)</f>
        <v>0</v>
      </c>
      <c r="BC34" s="1063"/>
      <c r="BD34" s="1060" t="s">
        <v>1133</v>
      </c>
      <c r="BE34" s="1059">
        <f>IF(LEFT(BD34,1)="1",1,0)</f>
        <v>1</v>
      </c>
      <c r="BF34" s="1060" t="s">
        <v>1133</v>
      </c>
      <c r="BG34" s="1306">
        <f>IF(LEFT(BF34,1)="1",1,0)</f>
        <v>1</v>
      </c>
      <c r="BH34" s="160">
        <f>IF((BF34=BD34)=TRUE,0,1)</f>
        <v>0</v>
      </c>
      <c r="BI34" s="1063"/>
      <c r="BJ34" s="1060" t="s">
        <v>1133</v>
      </c>
      <c r="BK34" s="1059">
        <f>IF(LEFT(BJ34,1)="1",1,0)</f>
        <v>1</v>
      </c>
      <c r="BL34" s="1060" t="s">
        <v>1133</v>
      </c>
      <c r="BM34" s="1306">
        <f>IF(LEFT(BL34,1)="1",1,0)</f>
        <v>1</v>
      </c>
      <c r="BN34" s="160">
        <f>IF((BL34=BJ34)=TRUE,0,1)</f>
        <v>0</v>
      </c>
      <c r="BO34" s="1063"/>
      <c r="BP34" s="1060" t="s">
        <v>1133</v>
      </c>
      <c r="BQ34" s="1059">
        <f>IF(LEFT(BP34,1)="1",1,0)</f>
        <v>1</v>
      </c>
      <c r="BR34" s="1060" t="s">
        <v>1133</v>
      </c>
      <c r="BS34" s="1306">
        <f>IF(LEFT(BR34,1)="1",1,0)</f>
        <v>1</v>
      </c>
      <c r="BT34" s="160">
        <f>IF((BR34=BP34)=TRUE,0,1)</f>
        <v>0</v>
      </c>
      <c r="BU34" s="1063"/>
      <c r="BV34" s="1060" t="s">
        <v>1133</v>
      </c>
      <c r="BW34" s="1059">
        <f>IF(LEFT(BV34,1)="1",1,0)</f>
        <v>1</v>
      </c>
      <c r="BX34" s="1060" t="s">
        <v>1133</v>
      </c>
      <c r="BY34" s="1306">
        <f>IF(LEFT(BX34,1)="1",1,0)</f>
        <v>1</v>
      </c>
      <c r="BZ34" s="160">
        <f>IF((BX34=BV34)=TRUE,0,1)</f>
        <v>0</v>
      </c>
      <c r="CA34" s="1039"/>
      <c r="CC34" s="1036"/>
      <c r="CD34" s="1036"/>
      <c r="CE34" s="1036"/>
      <c r="CF34" s="1036"/>
      <c r="CG34" s="1036"/>
      <c r="CH34" s="1036"/>
      <c r="CI34" s="1036"/>
      <c r="CJ34" s="1036"/>
      <c r="CK34" s="1036"/>
    </row>
    <row r="35" spans="1:89" s="957" customFormat="1" ht="14.25">
      <c r="A35" s="1648" t="s">
        <v>2016</v>
      </c>
      <c r="B35" s="1648" t="s">
        <v>1475</v>
      </c>
      <c r="C35" s="970">
        <v>17</v>
      </c>
      <c r="D35" s="1057" t="s">
        <v>1135</v>
      </c>
      <c r="E35" s="1058"/>
      <c r="F35" s="1059"/>
      <c r="G35" s="1059" t="s">
        <v>397</v>
      </c>
      <c r="H35" s="1060" t="s">
        <v>230</v>
      </c>
      <c r="I35" s="1061">
        <v>2</v>
      </c>
      <c r="J35" s="1304">
        <f t="shared" ref="J35:J65" si="19">AVERAGE(BV35,BP35,BJ35,BD35,AX35,AR35,AL35,AF35,Z35,T35)</f>
        <v>0.98619475176274773</v>
      </c>
      <c r="K35" s="1403">
        <f>AVERAGE(BW35,BQ35,BK35,BE35,AY35,AS35,AM35,AG35,AA35,U35)</f>
        <v>2</v>
      </c>
      <c r="L35" s="1304">
        <f t="shared" ref="L35:L65" si="20">AVERAGE(BX35,BR35,BL35,BF35,AZ35,AT35,AN35,AH35,AB35,V35)</f>
        <v>0.98621555834625452</v>
      </c>
      <c r="M35" s="1403">
        <f>AVERAGE(BY35,BS35,BM35,BG35,BA35,AU35,AO35,AI35,AC35,W35)</f>
        <v>2</v>
      </c>
      <c r="N35" s="1403">
        <f t="shared" si="13"/>
        <v>0</v>
      </c>
      <c r="O35" s="1350">
        <f t="shared" si="0"/>
        <v>0</v>
      </c>
      <c r="P35" s="1350">
        <f t="shared" si="14"/>
        <v>0</v>
      </c>
      <c r="Q35" s="1350">
        <f t="shared" si="15"/>
        <v>0</v>
      </c>
      <c r="R35" s="1350">
        <f t="shared" si="16"/>
        <v>0</v>
      </c>
      <c r="S35" s="1063"/>
      <c r="T35" s="1272">
        <v>0.95547309833024119</v>
      </c>
      <c r="U35" s="1275">
        <f>IF(T35&gt;0.9,2,IF(T35&gt;0.8,1,IF(T35&gt;0.7,0.5,0)))</f>
        <v>2</v>
      </c>
      <c r="V35" s="1272">
        <f>IF(V37=0,"",V36/V37)</f>
        <v>0.9874476987447699</v>
      </c>
      <c r="W35" s="1275">
        <f>IF(V35&gt;0.9,2,IF(V35&gt;0.8,1,IF(V35&gt;0.7,0.5,0)))</f>
        <v>2</v>
      </c>
      <c r="X35" s="160">
        <f t="shared" si="1"/>
        <v>3.3464678880448462E-2</v>
      </c>
      <c r="Y35" s="1063"/>
      <c r="Z35" s="1272">
        <v>0.99550837076357701</v>
      </c>
      <c r="AA35" s="1059">
        <f>IF(Z35&gt;0.9,2,IF(Z35&gt;0.8,1,IF(Z35&gt;0.7,0.5,0)))</f>
        <v>2</v>
      </c>
      <c r="AB35" s="1272">
        <f>IF(AB37=0,"",AB36/AB37)</f>
        <v>0.99157054125998223</v>
      </c>
      <c r="AC35" s="1306">
        <f>IF(AB35&gt;0.9,2,IF(AB35&gt;0.8,1,IF(AB35&gt;0.7,0.5,0)))</f>
        <v>2</v>
      </c>
      <c r="AD35" s="160">
        <f t="shared" si="2"/>
        <v>-3.9555965768267587E-3</v>
      </c>
      <c r="AE35" s="1063"/>
      <c r="AF35" s="1272">
        <v>0.99230954097572699</v>
      </c>
      <c r="AG35" s="1059">
        <f>IF(AF35&gt;0.9,2,IF(AF35&gt;0.8,1,IF(AF35&gt;0.7,0.5,0)))</f>
        <v>2</v>
      </c>
      <c r="AH35" s="1272">
        <f>IF(AH37=0,"",AH36/AH37)</f>
        <v>0.9925864909390445</v>
      </c>
      <c r="AI35" s="1306">
        <f>IF(AH35&gt;0.9,2,IF(AH35&gt;0.8,1,IF(AH35&gt;0.7,0.5,0)))</f>
        <v>2</v>
      </c>
      <c r="AJ35" s="160">
        <f t="shared" si="3"/>
        <v>2.7909634230183222E-4</v>
      </c>
      <c r="AK35" s="1063"/>
      <c r="AL35" s="1272">
        <v>0.98590225563909772</v>
      </c>
      <c r="AM35" s="1059">
        <f>IF(AL35&gt;0.9,2,IF(AL35&gt;0.8,1,IF(AL35&gt;0.7,0.5,0)))</f>
        <v>2</v>
      </c>
      <c r="AN35" s="1272">
        <f>IF(AN37=0,"",AN36/AN37)</f>
        <v>0.98476454293628812</v>
      </c>
      <c r="AO35" s="1306">
        <f>IF(AN35&gt;0.9,2,IF(AN35&gt;0.8,1,IF(AN35&gt;0.7,0.5,0)))</f>
        <v>2</v>
      </c>
      <c r="AP35" s="160">
        <f t="shared" si="4"/>
        <v>-1.1539812352615586E-3</v>
      </c>
      <c r="AQ35" s="1063"/>
      <c r="AR35" s="1272">
        <v>0.98784112402053503</v>
      </c>
      <c r="AS35" s="1059">
        <f>IF(AR35&gt;0.9,2,IF(AR35&gt;0.8,1,IF(AR35&gt;0.7,0.5,0)))</f>
        <v>2</v>
      </c>
      <c r="AT35" s="1272">
        <f>IF(AT37=0,"",AT36/AT37)</f>
        <v>0.98833290121856365</v>
      </c>
      <c r="AU35" s="1306">
        <f>IF(AT35&gt;0.9,2,IF(AT35&gt;0.8,1,IF(AT35&gt;0.7,0.5,0)))</f>
        <v>2</v>
      </c>
      <c r="AV35" s="160">
        <f t="shared" si="5"/>
        <v>4.9783025435012895E-4</v>
      </c>
      <c r="AW35" s="1063"/>
      <c r="AX35" s="1272">
        <v>0.99767501937483849</v>
      </c>
      <c r="AY35" s="1059">
        <f>IF(AX35&gt;0.9,2,IF(AX35&gt;0.8,1,IF(AX35&gt;0.7,0.5,0)))</f>
        <v>2</v>
      </c>
      <c r="AZ35" s="1272">
        <f>IF(AZ37=0,"",AZ36/AZ37)</f>
        <v>0.98963585434173673</v>
      </c>
      <c r="BA35" s="1306">
        <f>IF(AZ35&gt;0.9,2,IF(AZ35&gt;0.8,1,IF(AZ35&gt;0.7,0.5,0)))</f>
        <v>2</v>
      </c>
      <c r="BB35" s="160">
        <f t="shared" si="6"/>
        <v>-8.0578994933031556E-3</v>
      </c>
      <c r="BC35" s="1063"/>
      <c r="BD35" s="1272">
        <v>0.99534883720930234</v>
      </c>
      <c r="BE35" s="1059">
        <f>IF(BD35&gt;0.9,2,IF(BD35&gt;0.8,1,IF(BD35&gt;0.7,0.5,0)))</f>
        <v>2</v>
      </c>
      <c r="BF35" s="1272">
        <f>IF(BF37=0,"",BF36/BF37)</f>
        <v>0.9924146649810367</v>
      </c>
      <c r="BG35" s="1306">
        <f>IF(BF35&gt;0.9,2,IF(BF35&gt;0.8,1,IF(BF35&gt;0.7,0.5,0)))</f>
        <v>2</v>
      </c>
      <c r="BH35" s="160">
        <f t="shared" si="7"/>
        <v>-2.9478833134444216E-3</v>
      </c>
      <c r="BI35" s="1063"/>
      <c r="BJ35" s="1272">
        <v>0.99423718531998784</v>
      </c>
      <c r="BK35" s="1059">
        <f>IF(BJ35&gt;0.9,2,IF(BJ35&gt;0.8,1,IF(BJ35&gt;0.7,0.5,0)))</f>
        <v>2</v>
      </c>
      <c r="BL35" s="1272">
        <f>IF(BL37=0,"",BL36/BL37)</f>
        <v>0.98452278589853826</v>
      </c>
      <c r="BM35" s="1306">
        <f>IF(BL35&gt;0.9,2,IF(BL35&gt;0.8,1,IF(BL35&gt;0.7,0.5,0)))</f>
        <v>2</v>
      </c>
      <c r="BN35" s="160">
        <f t="shared" si="8"/>
        <v>-9.7707061905183412E-3</v>
      </c>
      <c r="BO35" s="1063"/>
      <c r="BP35" s="1272">
        <v>0.97538742023700997</v>
      </c>
      <c r="BQ35" s="1059">
        <f>IF(BP35&gt;0.9,2,IF(BP35&gt;0.8,1,IF(BP35&gt;0.7,0.5,0)))</f>
        <v>2</v>
      </c>
      <c r="BR35" s="1272">
        <f>IF(BR37=0,"",BR36/BR37)</f>
        <v>0.96784232365145229</v>
      </c>
      <c r="BS35" s="1306">
        <f>IF(BR35&gt;0.9,2,IF(BR35&gt;0.8,1,IF(BR35&gt;0.7,0.5,0)))</f>
        <v>2</v>
      </c>
      <c r="BT35" s="160">
        <f t="shared" si="9"/>
        <v>-7.7354868732306681E-3</v>
      </c>
      <c r="BU35" s="1063"/>
      <c r="BV35" s="1272">
        <v>0.98226466575716231</v>
      </c>
      <c r="BW35" s="1059">
        <f>IF(BV35&gt;0.9,2,IF(BV35&gt;0.8,1,IF(BV35&gt;0.7,0.5,0)))</f>
        <v>2</v>
      </c>
      <c r="BX35" s="1272">
        <f>IF(BX37=0,"",BX36/BX37)</f>
        <v>0.98303777949113336</v>
      </c>
      <c r="BY35" s="1306">
        <f>IF(BX35&gt;0.9,2,IF(BX35&gt;0.8,1,IF(BX35&gt;0.7,0.5,0)))</f>
        <v>2</v>
      </c>
      <c r="BZ35" s="160">
        <f t="shared" si="10"/>
        <v>7.8707273194544847E-4</v>
      </c>
      <c r="CA35" s="1039"/>
      <c r="CC35" s="1036"/>
      <c r="CD35" s="1036"/>
      <c r="CE35" s="1036"/>
      <c r="CF35" s="1036"/>
      <c r="CG35" s="1036"/>
      <c r="CH35" s="1036"/>
      <c r="CI35" s="1036"/>
      <c r="CJ35" s="1036"/>
      <c r="CK35" s="1036"/>
    </row>
    <row r="36" spans="1:89" s="957" customFormat="1" ht="17.25" customHeight="1">
      <c r="A36" s="1650"/>
      <c r="B36" s="1648"/>
      <c r="C36" s="984">
        <v>17.100000000000001</v>
      </c>
      <c r="D36" s="1302" t="s">
        <v>2198</v>
      </c>
      <c r="E36" s="1066" t="s">
        <v>1120</v>
      </c>
      <c r="F36" s="1064" t="s">
        <v>1136</v>
      </c>
      <c r="G36" s="1067"/>
      <c r="H36" s="1068"/>
      <c r="I36" s="1059"/>
      <c r="J36" s="1062">
        <f t="shared" si="19"/>
        <v>2207.9</v>
      </c>
      <c r="K36" s="1403"/>
      <c r="L36" s="1062">
        <f t="shared" si="20"/>
        <v>1966.1</v>
      </c>
      <c r="M36" s="1403"/>
      <c r="N36" s="1403">
        <f t="shared" si="13"/>
        <v>0</v>
      </c>
      <c r="O36" s="1350">
        <f t="shared" ref="O36:O68" si="21">I36-M36</f>
        <v>0</v>
      </c>
      <c r="P36" s="1350">
        <f t="shared" si="14"/>
        <v>0</v>
      </c>
      <c r="Q36" s="1350">
        <f t="shared" si="15"/>
        <v>0</v>
      </c>
      <c r="R36" s="1350">
        <f t="shared" si="16"/>
        <v>0</v>
      </c>
      <c r="S36" s="1063"/>
      <c r="T36" s="1060">
        <v>515</v>
      </c>
      <c r="U36" s="1275"/>
      <c r="V36" s="1060">
        <v>472</v>
      </c>
      <c r="W36" s="1275"/>
      <c r="X36" s="160">
        <f t="shared" si="1"/>
        <v>-8.3495145631067968E-2</v>
      </c>
      <c r="Y36" s="1063"/>
      <c r="Z36" s="1060">
        <v>2438</v>
      </c>
      <c r="AA36" s="1059"/>
      <c r="AB36" s="1060">
        <v>2235</v>
      </c>
      <c r="AC36" s="1306"/>
      <c r="AD36" s="160">
        <f t="shared" si="2"/>
        <v>-8.326497128794097E-2</v>
      </c>
      <c r="AE36" s="1063"/>
      <c r="AF36" s="984">
        <v>4129</v>
      </c>
      <c r="AG36" s="1059"/>
      <c r="AH36" s="984">
        <v>3615</v>
      </c>
      <c r="AI36" s="1306"/>
      <c r="AJ36" s="160">
        <f t="shared" si="3"/>
        <v>-0.12448534754177765</v>
      </c>
      <c r="AK36" s="1063"/>
      <c r="AL36" s="984">
        <v>1049</v>
      </c>
      <c r="AM36" s="1059"/>
      <c r="AN36" s="984">
        <v>711</v>
      </c>
      <c r="AO36" s="1306"/>
      <c r="AP36" s="160">
        <f t="shared" si="4"/>
        <v>-0.32221163012392751</v>
      </c>
      <c r="AQ36" s="1063"/>
      <c r="AR36" s="984">
        <v>3656</v>
      </c>
      <c r="AS36" s="1059"/>
      <c r="AT36" s="984">
        <v>3812</v>
      </c>
      <c r="AU36" s="1306"/>
      <c r="AV36" s="160">
        <f t="shared" si="5"/>
        <v>4.2669584245076608E-2</v>
      </c>
      <c r="AW36" s="1063"/>
      <c r="AX36" s="984">
        <v>3862</v>
      </c>
      <c r="AY36" s="1059"/>
      <c r="AZ36" s="984">
        <v>3533</v>
      </c>
      <c r="BA36" s="1306"/>
      <c r="BB36" s="160">
        <f t="shared" si="6"/>
        <v>-8.5189021232522033E-2</v>
      </c>
      <c r="BC36" s="1063"/>
      <c r="BD36" s="984">
        <v>642</v>
      </c>
      <c r="BE36" s="1059"/>
      <c r="BF36" s="984">
        <v>785</v>
      </c>
      <c r="BG36" s="1306"/>
      <c r="BH36" s="160">
        <f t="shared" si="7"/>
        <v>0.22274143302180693</v>
      </c>
      <c r="BI36" s="1063"/>
      <c r="BJ36" s="984">
        <v>3278</v>
      </c>
      <c r="BK36" s="1059"/>
      <c r="BL36" s="984">
        <v>2290</v>
      </c>
      <c r="BM36" s="1306"/>
      <c r="BN36" s="160">
        <f t="shared" si="8"/>
        <v>-0.30140329469188532</v>
      </c>
      <c r="BO36" s="1063"/>
      <c r="BP36" s="984">
        <v>1070</v>
      </c>
      <c r="BQ36" s="1059"/>
      <c r="BR36" s="984">
        <v>933</v>
      </c>
      <c r="BS36" s="1306"/>
      <c r="BT36" s="160">
        <f t="shared" si="9"/>
        <v>-0.12803738317757007</v>
      </c>
      <c r="BU36" s="1063"/>
      <c r="BV36" s="984">
        <v>1440</v>
      </c>
      <c r="BW36" s="1059"/>
      <c r="BX36" s="984">
        <v>1275</v>
      </c>
      <c r="BY36" s="1306"/>
      <c r="BZ36" s="160">
        <f t="shared" si="10"/>
        <v>-0.11458333333333337</v>
      </c>
      <c r="CA36" s="1039"/>
      <c r="CC36" s="1036"/>
      <c r="CD36" s="1036"/>
      <c r="CE36" s="1036"/>
      <c r="CF36" s="1036"/>
      <c r="CG36" s="1036"/>
      <c r="CH36" s="1036"/>
      <c r="CI36" s="1036"/>
      <c r="CJ36" s="1036"/>
      <c r="CK36" s="1036"/>
    </row>
    <row r="37" spans="1:89" s="957" customFormat="1" ht="15" customHeight="1">
      <c r="A37" s="1650"/>
      <c r="B37" s="1648"/>
      <c r="C37" s="984">
        <v>17.2</v>
      </c>
      <c r="D37" s="1302" t="s">
        <v>2199</v>
      </c>
      <c r="E37" s="1066" t="s">
        <v>1120</v>
      </c>
      <c r="F37" s="1064" t="s">
        <v>1136</v>
      </c>
      <c r="G37" s="1073"/>
      <c r="H37" s="1062"/>
      <c r="I37" s="1059"/>
      <c r="J37" s="1062">
        <f t="shared" si="19"/>
        <v>2229</v>
      </c>
      <c r="K37" s="1403"/>
      <c r="L37" s="1062">
        <f t="shared" si="20"/>
        <v>1990.1</v>
      </c>
      <c r="M37" s="1403"/>
      <c r="N37" s="1403">
        <f t="shared" si="13"/>
        <v>0</v>
      </c>
      <c r="O37" s="1350">
        <f t="shared" si="21"/>
        <v>0</v>
      </c>
      <c r="P37" s="1350">
        <f t="shared" si="14"/>
        <v>0</v>
      </c>
      <c r="Q37" s="1350">
        <f t="shared" si="15"/>
        <v>0</v>
      </c>
      <c r="R37" s="1350">
        <f t="shared" si="16"/>
        <v>0</v>
      </c>
      <c r="S37" s="1063"/>
      <c r="T37" s="1060">
        <v>539</v>
      </c>
      <c r="U37" s="1275"/>
      <c r="V37" s="1060">
        <v>478</v>
      </c>
      <c r="W37" s="1275"/>
      <c r="X37" s="160">
        <f t="shared" si="1"/>
        <v>-0.11317254174397029</v>
      </c>
      <c r="Y37" s="1063"/>
      <c r="Z37" s="1060">
        <v>2449</v>
      </c>
      <c r="AA37" s="1059"/>
      <c r="AB37" s="1060">
        <v>2254</v>
      </c>
      <c r="AC37" s="1306"/>
      <c r="AD37" s="160">
        <f t="shared" si="2"/>
        <v>-7.9624336463862799E-2</v>
      </c>
      <c r="AE37" s="1063"/>
      <c r="AF37" s="984">
        <v>4161</v>
      </c>
      <c r="AG37" s="1059"/>
      <c r="AH37" s="984">
        <v>3642</v>
      </c>
      <c r="AI37" s="1306"/>
      <c r="AJ37" s="160">
        <f t="shared" si="3"/>
        <v>-0.12472963229992795</v>
      </c>
      <c r="AK37" s="1063"/>
      <c r="AL37" s="984">
        <v>1064</v>
      </c>
      <c r="AM37" s="1059"/>
      <c r="AN37" s="984">
        <v>722</v>
      </c>
      <c r="AO37" s="1306"/>
      <c r="AP37" s="160">
        <f t="shared" si="4"/>
        <v>-0.3214285714285714</v>
      </c>
      <c r="AQ37" s="1063"/>
      <c r="AR37" s="984">
        <v>3701</v>
      </c>
      <c r="AS37" s="1059"/>
      <c r="AT37" s="984">
        <v>3857</v>
      </c>
      <c r="AU37" s="1306"/>
      <c r="AV37" s="160">
        <f t="shared" si="5"/>
        <v>4.2150770062145293E-2</v>
      </c>
      <c r="AW37" s="1063" t="s">
        <v>2138</v>
      </c>
      <c r="AX37" s="984">
        <v>3871</v>
      </c>
      <c r="AY37" s="1059"/>
      <c r="AZ37" s="984">
        <v>3570</v>
      </c>
      <c r="BA37" s="1306"/>
      <c r="BB37" s="160">
        <f t="shared" si="6"/>
        <v>-7.7757685352622063E-2</v>
      </c>
      <c r="BC37" s="1063"/>
      <c r="BD37" s="984">
        <v>645</v>
      </c>
      <c r="BE37" s="1059"/>
      <c r="BF37" s="984">
        <v>791</v>
      </c>
      <c r="BG37" s="1306"/>
      <c r="BH37" s="160">
        <f t="shared" si="7"/>
        <v>0.22635658914728674</v>
      </c>
      <c r="BI37" s="1063"/>
      <c r="BJ37" s="984">
        <v>3297</v>
      </c>
      <c r="BK37" s="1059"/>
      <c r="BL37" s="984">
        <v>2326</v>
      </c>
      <c r="BM37" s="1306"/>
      <c r="BN37" s="160">
        <f t="shared" si="8"/>
        <v>-0.29451016075219894</v>
      </c>
      <c r="BO37" s="1063"/>
      <c r="BP37" s="984">
        <v>1097</v>
      </c>
      <c r="BQ37" s="1059"/>
      <c r="BR37" s="984">
        <v>964</v>
      </c>
      <c r="BS37" s="1306"/>
      <c r="BT37" s="160">
        <f t="shared" si="9"/>
        <v>-0.12123974475843213</v>
      </c>
      <c r="BU37" s="1063"/>
      <c r="BV37" s="984">
        <v>1466</v>
      </c>
      <c r="BW37" s="1059"/>
      <c r="BX37" s="984">
        <v>1297</v>
      </c>
      <c r="BY37" s="1306"/>
      <c r="BZ37" s="160">
        <f t="shared" si="10"/>
        <v>-0.11527967257844474</v>
      </c>
      <c r="CA37" s="1039"/>
      <c r="CC37" s="1036"/>
      <c r="CD37" s="1036"/>
      <c r="CE37" s="1036"/>
      <c r="CF37" s="1036"/>
      <c r="CG37" s="1036"/>
      <c r="CH37" s="1036"/>
      <c r="CI37" s="1036"/>
      <c r="CJ37" s="1036"/>
      <c r="CK37" s="1036"/>
    </row>
    <row r="38" spans="1:89" s="957" customFormat="1" ht="14.25">
      <c r="A38" s="1637" t="s">
        <v>2017</v>
      </c>
      <c r="B38" s="1637" t="s">
        <v>1727</v>
      </c>
      <c r="C38" s="970">
        <v>18</v>
      </c>
      <c r="D38" s="1057" t="s">
        <v>1726</v>
      </c>
      <c r="E38" s="1058"/>
      <c r="F38" s="1064"/>
      <c r="G38" s="1059" t="s">
        <v>397</v>
      </c>
      <c r="H38" s="1060" t="s">
        <v>230</v>
      </c>
      <c r="I38" s="1061">
        <v>2</v>
      </c>
      <c r="J38" s="1304">
        <f t="shared" si="19"/>
        <v>0.98761340617216542</v>
      </c>
      <c r="K38" s="1403">
        <f>AVERAGE(BW38,BQ38,BK38,BE38,AY38,AS38,AM38,AG38,AA38,U38)</f>
        <v>2</v>
      </c>
      <c r="L38" s="1304">
        <f t="shared" si="20"/>
        <v>0.98361235075756714</v>
      </c>
      <c r="M38" s="1403">
        <f>AVERAGE(BY38,BS38,BM38,BG38,BA38,AU38,AO38,AI38,AC38,W38)</f>
        <v>2</v>
      </c>
      <c r="N38" s="1403">
        <f t="shared" si="13"/>
        <v>0</v>
      </c>
      <c r="O38" s="1350">
        <f t="shared" si="21"/>
        <v>0</v>
      </c>
      <c r="P38" s="1350">
        <f t="shared" si="14"/>
        <v>0</v>
      </c>
      <c r="Q38" s="1350">
        <f t="shared" si="15"/>
        <v>0</v>
      </c>
      <c r="R38" s="1350">
        <f t="shared" si="16"/>
        <v>0</v>
      </c>
      <c r="S38" s="1063"/>
      <c r="T38" s="1272">
        <v>0.96660482374768086</v>
      </c>
      <c r="U38" s="1275">
        <f>IF(T38&gt;=0.95,2,IF(T38&gt;=0.9,1,0))</f>
        <v>2</v>
      </c>
      <c r="V38" s="1272">
        <f>IF(V40=0,"",V39/V40)</f>
        <v>0.9853556485355649</v>
      </c>
      <c r="W38" s="1275">
        <f>IF(V38&gt;=0.95,2,IF(V38&gt;=0.9,1,0))</f>
        <v>2</v>
      </c>
      <c r="X38" s="160">
        <f t="shared" si="1"/>
        <v>1.9398645989768815E-2</v>
      </c>
      <c r="Y38" s="1063"/>
      <c r="Z38" s="1272">
        <v>0.99673336055532868</v>
      </c>
      <c r="AA38" s="1059">
        <f>IF(Z38&gt;=0.95,2,IF(Z38&gt;=0.9,1,0))</f>
        <v>2</v>
      </c>
      <c r="AB38" s="1272">
        <f>IF(AB40=0,"",AB39/AB40)</f>
        <v>0.98757763975155277</v>
      </c>
      <c r="AC38" s="1306">
        <f>IF(AB38&gt;=0.95,2,IF(AB38&gt;=0.9,1,0))</f>
        <v>2</v>
      </c>
      <c r="AD38" s="160">
        <f t="shared" si="2"/>
        <v>-9.185727262780552E-3</v>
      </c>
      <c r="AE38" s="1063"/>
      <c r="AF38" s="1272">
        <v>0.98798365777457342</v>
      </c>
      <c r="AG38" s="1059">
        <f>IF(AF38&gt;=0.95,2,IF(AF38&gt;=0.9,1,0))</f>
        <v>2</v>
      </c>
      <c r="AH38" s="1272">
        <f>IF(AH40=0,"",AH39/AH40)</f>
        <v>0.99093904448105441</v>
      </c>
      <c r="AI38" s="1306">
        <f>IF(AH38&gt;=0.95,2,IF(AH38&gt;=0.9,1,0))</f>
        <v>2</v>
      </c>
      <c r="AJ38" s="160">
        <f t="shared" si="3"/>
        <v>2.9913315703398169E-3</v>
      </c>
      <c r="AK38" s="1063"/>
      <c r="AL38" s="1272">
        <v>0.98308270676691734</v>
      </c>
      <c r="AM38" s="1059">
        <f>IF(AL38&gt;=0.95,2,IF(AL38&gt;=0.9,1,0))</f>
        <v>2</v>
      </c>
      <c r="AN38" s="1272">
        <f>IF(AN40=0,"",AN39/AN40)</f>
        <v>0.97229916897506929</v>
      </c>
      <c r="AO38" s="1306">
        <f>IF(AN38&gt;=0.95,2,IF(AN38&gt;=0.9,1,0))</f>
        <v>2</v>
      </c>
      <c r="AP38" s="160">
        <f t="shared" si="4"/>
        <v>-1.096910536379192E-2</v>
      </c>
      <c r="AQ38" s="1063"/>
      <c r="AR38" s="1272">
        <v>0.98703053228857063</v>
      </c>
      <c r="AS38" s="1059">
        <f>IF(AR38&gt;=0.95,2,IF(AR38&gt;=0.9,1,0))</f>
        <v>2</v>
      </c>
      <c r="AT38" s="1272">
        <f>IF(AT40=0,"",AT39/AT40)</f>
        <v>0.98677728804770548</v>
      </c>
      <c r="AU38" s="1306">
        <f>IF(AT38&gt;=0.95,2,IF(AT38&gt;=0.9,1,0))</f>
        <v>2</v>
      </c>
      <c r="AV38" s="160">
        <f t="shared" si="5"/>
        <v>-2.565718410736384E-4</v>
      </c>
      <c r="AW38" s="1063"/>
      <c r="AX38" s="1272">
        <v>0.99560836993025059</v>
      </c>
      <c r="AY38" s="1059">
        <f>IF(AX38&gt;=0.95,2,IF(AX38&gt;=0.9,1,0))</f>
        <v>2</v>
      </c>
      <c r="AZ38" s="1272">
        <f>IF(AZ40=0,"",AZ39/AZ40)</f>
        <v>0.98655462184873954</v>
      </c>
      <c r="BA38" s="1306">
        <f>IF(AZ38&gt;=0.95,2,IF(AZ38&gt;=0.9,1,0))</f>
        <v>2</v>
      </c>
      <c r="BB38" s="160">
        <f t="shared" si="6"/>
        <v>-9.093684178393735E-3</v>
      </c>
      <c r="BC38" s="1063"/>
      <c r="BD38" s="1272">
        <v>0.99224806201550386</v>
      </c>
      <c r="BE38" s="1059">
        <f>IF(BD38&gt;=0.95,2,IF(BD38&gt;=0.9,1,0))</f>
        <v>2</v>
      </c>
      <c r="BF38" s="1272">
        <f>IF(BF40=0,"",BF39/BF40)</f>
        <v>0.9898862199747156</v>
      </c>
      <c r="BG38" s="1306">
        <f>IF(BF38&gt;=0.95,2,IF(BF38&gt;=0.9,1,0))</f>
        <v>2</v>
      </c>
      <c r="BH38" s="160">
        <f t="shared" si="7"/>
        <v>-2.3802939317318916E-3</v>
      </c>
      <c r="BI38" s="1063"/>
      <c r="BJ38" s="1272">
        <v>0.99302396117682745</v>
      </c>
      <c r="BK38" s="1059">
        <f>IF(BJ38&gt;=0.95,2,IF(BJ38&gt;=0.9,1,0))</f>
        <v>2</v>
      </c>
      <c r="BL38" s="1272">
        <f>IF(BL40=0,"",BL39/BL40)</f>
        <v>0.97420464316423039</v>
      </c>
      <c r="BM38" s="1306">
        <f>IF(BL38&gt;=0.95,2,IF(BL38&gt;=0.9,1,0))</f>
        <v>2</v>
      </c>
      <c r="BN38" s="160">
        <f t="shared" si="8"/>
        <v>-1.8951524583852297E-2</v>
      </c>
      <c r="BO38" s="1063"/>
      <c r="BP38" s="1272">
        <v>0.98541476754785784</v>
      </c>
      <c r="BQ38" s="1059">
        <f>IF(BP38&gt;=0.95,2,IF(BP38&gt;=0.9,1,0))</f>
        <v>2</v>
      </c>
      <c r="BR38" s="1272">
        <f>IF(BR40=0,"",BR39/BR40)</f>
        <v>0.97717842323651449</v>
      </c>
      <c r="BS38" s="1306">
        <f>IF(BR38&gt;=0.95,2,IF(BR38&gt;=0.9,1,0))</f>
        <v>2</v>
      </c>
      <c r="BT38" s="160">
        <f t="shared" si="9"/>
        <v>-8.3582513501790912E-3</v>
      </c>
      <c r="BU38" s="1063"/>
      <c r="BV38" s="1272">
        <v>0.98840381991814463</v>
      </c>
      <c r="BW38" s="1059">
        <f>IF(BV38&gt;=0.95,2,IF(BV38&gt;=0.9,1,0))</f>
        <v>2</v>
      </c>
      <c r="BX38" s="1272">
        <f>IF(BX40=0,"",BX39/BX40)</f>
        <v>0.98535080956052423</v>
      </c>
      <c r="BY38" s="1306">
        <f>IF(BX38&gt;=0.95,2,IF(BX38&gt;=0.9,1,0))</f>
        <v>2</v>
      </c>
      <c r="BZ38" s="160">
        <f t="shared" si="10"/>
        <v>-3.0888289746525688E-3</v>
      </c>
      <c r="CA38" s="1039"/>
      <c r="CC38" s="1036"/>
      <c r="CD38" s="1036"/>
      <c r="CE38" s="1036"/>
      <c r="CF38" s="1036"/>
      <c r="CG38" s="1036"/>
      <c r="CH38" s="1036"/>
      <c r="CI38" s="1036"/>
      <c r="CJ38" s="1036"/>
      <c r="CK38" s="1036"/>
    </row>
    <row r="39" spans="1:89" s="957" customFormat="1" ht="14.25">
      <c r="A39" s="1638"/>
      <c r="B39" s="1638"/>
      <c r="C39" s="984">
        <v>18.100000000000001</v>
      </c>
      <c r="D39" s="1302" t="s">
        <v>2200</v>
      </c>
      <c r="E39" s="1066" t="s">
        <v>1120</v>
      </c>
      <c r="F39" s="1064" t="s">
        <v>1136</v>
      </c>
      <c r="G39" s="1073"/>
      <c r="H39" s="1062"/>
      <c r="I39" s="1059"/>
      <c r="J39" s="1062">
        <f t="shared" si="19"/>
        <v>2207</v>
      </c>
      <c r="K39" s="1403"/>
      <c r="L39" s="1062">
        <f t="shared" si="20"/>
        <v>1960.5</v>
      </c>
      <c r="M39" s="1403"/>
      <c r="N39" s="1403">
        <f t="shared" si="13"/>
        <v>0</v>
      </c>
      <c r="O39" s="1350">
        <f t="shared" si="21"/>
        <v>0</v>
      </c>
      <c r="P39" s="1350">
        <f t="shared" si="14"/>
        <v>0</v>
      </c>
      <c r="Q39" s="1350">
        <f t="shared" si="15"/>
        <v>0</v>
      </c>
      <c r="R39" s="1350">
        <f t="shared" si="16"/>
        <v>0</v>
      </c>
      <c r="S39" s="1063"/>
      <c r="T39" s="1060">
        <v>521</v>
      </c>
      <c r="U39" s="1275"/>
      <c r="V39" s="1060">
        <v>471</v>
      </c>
      <c r="W39" s="1275"/>
      <c r="X39" s="160">
        <f t="shared" si="1"/>
        <v>-9.5969289827255277E-2</v>
      </c>
      <c r="Y39" s="1063"/>
      <c r="Z39" s="1060">
        <v>2441</v>
      </c>
      <c r="AA39" s="1059"/>
      <c r="AB39" s="1060">
        <v>2226</v>
      </c>
      <c r="AC39" s="1306"/>
      <c r="AD39" s="160">
        <f t="shared" si="2"/>
        <v>-8.8078656288406387E-2</v>
      </c>
      <c r="AE39" s="1063"/>
      <c r="AF39" s="984">
        <v>4111</v>
      </c>
      <c r="AG39" s="1059"/>
      <c r="AH39" s="984">
        <v>3609</v>
      </c>
      <c r="AI39" s="1306"/>
      <c r="AJ39" s="160">
        <f t="shared" si="3"/>
        <v>-0.12211140841644363</v>
      </c>
      <c r="AK39" s="1063"/>
      <c r="AL39" s="984">
        <v>1046</v>
      </c>
      <c r="AM39" s="1059"/>
      <c r="AN39" s="984">
        <v>702</v>
      </c>
      <c r="AO39" s="1306"/>
      <c r="AP39" s="160">
        <f t="shared" si="4"/>
        <v>-0.32887189292543018</v>
      </c>
      <c r="AQ39" s="1063"/>
      <c r="AR39" s="984">
        <v>3653</v>
      </c>
      <c r="AS39" s="1059"/>
      <c r="AT39" s="984">
        <v>3806</v>
      </c>
      <c r="AU39" s="1306"/>
      <c r="AV39" s="160">
        <f t="shared" si="5"/>
        <v>4.1883383520394224E-2</v>
      </c>
      <c r="AW39" s="1063"/>
      <c r="AX39" s="984">
        <v>3854</v>
      </c>
      <c r="AY39" s="1059"/>
      <c r="AZ39" s="984">
        <v>3522</v>
      </c>
      <c r="BA39" s="1306"/>
      <c r="BB39" s="160">
        <f t="shared" si="6"/>
        <v>-8.6144265697976175E-2</v>
      </c>
      <c r="BC39" s="1063"/>
      <c r="BD39" s="984">
        <v>640</v>
      </c>
      <c r="BE39" s="1059"/>
      <c r="BF39" s="984">
        <v>783</v>
      </c>
      <c r="BG39" s="1306"/>
      <c r="BH39" s="160">
        <f t="shared" si="7"/>
        <v>0.22343749999999996</v>
      </c>
      <c r="BI39" s="1063"/>
      <c r="BJ39" s="984">
        <v>3274</v>
      </c>
      <c r="BK39" s="1059"/>
      <c r="BL39" s="984">
        <v>2266</v>
      </c>
      <c r="BM39" s="1306"/>
      <c r="BN39" s="160">
        <f t="shared" si="8"/>
        <v>-0.30788026878436159</v>
      </c>
      <c r="BO39" s="1063"/>
      <c r="BP39" s="984">
        <v>1081</v>
      </c>
      <c r="BQ39" s="1059"/>
      <c r="BR39" s="984">
        <v>942</v>
      </c>
      <c r="BS39" s="1306"/>
      <c r="BT39" s="160">
        <f t="shared" si="9"/>
        <v>-0.1285846438482886</v>
      </c>
      <c r="BU39" s="1063"/>
      <c r="BV39" s="984">
        <v>1449</v>
      </c>
      <c r="BW39" s="1059"/>
      <c r="BX39" s="984">
        <v>1278</v>
      </c>
      <c r="BY39" s="1306"/>
      <c r="BZ39" s="160">
        <f t="shared" si="10"/>
        <v>-0.11801242236024845</v>
      </c>
      <c r="CA39" s="1039"/>
      <c r="CC39" s="1036"/>
      <c r="CD39" s="1036"/>
      <c r="CE39" s="1036"/>
      <c r="CF39" s="1036"/>
      <c r="CG39" s="1036"/>
      <c r="CH39" s="1036"/>
      <c r="CI39" s="1036"/>
      <c r="CJ39" s="1036"/>
      <c r="CK39" s="1036"/>
    </row>
    <row r="40" spans="1:89" s="957" customFormat="1" ht="14.25">
      <c r="A40" s="1638"/>
      <c r="B40" s="1638"/>
      <c r="C40" s="984">
        <v>18.2</v>
      </c>
      <c r="D40" s="1302" t="s">
        <v>2216</v>
      </c>
      <c r="E40" s="1066" t="s">
        <v>1120</v>
      </c>
      <c r="F40" s="1064" t="s">
        <v>1136</v>
      </c>
      <c r="G40" s="1073"/>
      <c r="H40" s="1062"/>
      <c r="I40" s="1059"/>
      <c r="J40" s="1062">
        <f t="shared" si="19"/>
        <v>2229</v>
      </c>
      <c r="K40" s="1403"/>
      <c r="L40" s="1062">
        <f t="shared" si="20"/>
        <v>1990.1</v>
      </c>
      <c r="M40" s="1403"/>
      <c r="N40" s="1403">
        <f t="shared" si="13"/>
        <v>0</v>
      </c>
      <c r="O40" s="1350">
        <f t="shared" si="21"/>
        <v>0</v>
      </c>
      <c r="P40" s="1350">
        <f t="shared" si="14"/>
        <v>0</v>
      </c>
      <c r="Q40" s="1350">
        <f t="shared" si="15"/>
        <v>0</v>
      </c>
      <c r="R40" s="1350">
        <f t="shared" si="16"/>
        <v>0</v>
      </c>
      <c r="S40" s="1063"/>
      <c r="T40" s="1060">
        <v>539</v>
      </c>
      <c r="U40" s="1275"/>
      <c r="V40" s="1060">
        <v>478</v>
      </c>
      <c r="W40" s="1275"/>
      <c r="X40" s="160">
        <f t="shared" si="1"/>
        <v>-0.11317254174397029</v>
      </c>
      <c r="Y40" s="1063"/>
      <c r="Z40" s="1060">
        <v>2449</v>
      </c>
      <c r="AA40" s="1059"/>
      <c r="AB40" s="1060">
        <v>2254</v>
      </c>
      <c r="AC40" s="1306"/>
      <c r="AD40" s="160">
        <f t="shared" si="2"/>
        <v>-7.9624336463862799E-2</v>
      </c>
      <c r="AE40" s="1063"/>
      <c r="AF40" s="984">
        <v>4161</v>
      </c>
      <c r="AG40" s="1059"/>
      <c r="AH40" s="984">
        <v>3642</v>
      </c>
      <c r="AI40" s="1306"/>
      <c r="AJ40" s="160">
        <f t="shared" si="3"/>
        <v>-0.12472963229992795</v>
      </c>
      <c r="AK40" s="1063"/>
      <c r="AL40" s="984">
        <v>1064</v>
      </c>
      <c r="AM40" s="1059"/>
      <c r="AN40" s="984">
        <v>722</v>
      </c>
      <c r="AO40" s="1306"/>
      <c r="AP40" s="160">
        <f t="shared" si="4"/>
        <v>-0.3214285714285714</v>
      </c>
      <c r="AQ40" s="1063"/>
      <c r="AR40" s="984">
        <v>3701</v>
      </c>
      <c r="AS40" s="1059"/>
      <c r="AT40" s="984">
        <v>3857</v>
      </c>
      <c r="AU40" s="1306"/>
      <c r="AV40" s="160">
        <f t="shared" si="5"/>
        <v>4.2150770062145293E-2</v>
      </c>
      <c r="AW40" s="1063"/>
      <c r="AX40" s="984">
        <v>3871</v>
      </c>
      <c r="AY40" s="1059"/>
      <c r="AZ40" s="984">
        <v>3570</v>
      </c>
      <c r="BA40" s="1306"/>
      <c r="BB40" s="160">
        <f t="shared" si="6"/>
        <v>-7.7757685352622063E-2</v>
      </c>
      <c r="BC40" s="1063"/>
      <c r="BD40" s="984">
        <v>645</v>
      </c>
      <c r="BE40" s="1059"/>
      <c r="BF40" s="984">
        <v>791</v>
      </c>
      <c r="BG40" s="1306"/>
      <c r="BH40" s="160">
        <f t="shared" si="7"/>
        <v>0.22635658914728674</v>
      </c>
      <c r="BI40" s="1063"/>
      <c r="BJ40" s="984">
        <v>3297</v>
      </c>
      <c r="BK40" s="1059"/>
      <c r="BL40" s="984">
        <v>2326</v>
      </c>
      <c r="BM40" s="1306"/>
      <c r="BN40" s="160">
        <f t="shared" si="8"/>
        <v>-0.29451016075219894</v>
      </c>
      <c r="BO40" s="1063"/>
      <c r="BP40" s="984">
        <v>1097</v>
      </c>
      <c r="BQ40" s="1059"/>
      <c r="BR40" s="984">
        <v>964</v>
      </c>
      <c r="BS40" s="1306"/>
      <c r="BT40" s="160">
        <f t="shared" si="9"/>
        <v>-0.12123974475843213</v>
      </c>
      <c r="BU40" s="1063"/>
      <c r="BV40" s="984">
        <v>1466</v>
      </c>
      <c r="BW40" s="1059"/>
      <c r="BX40" s="984">
        <v>1297</v>
      </c>
      <c r="BY40" s="1306"/>
      <c r="BZ40" s="160">
        <f t="shared" si="10"/>
        <v>-0.11527967257844474</v>
      </c>
      <c r="CA40" s="1039"/>
      <c r="CC40" s="1036"/>
      <c r="CD40" s="1036"/>
      <c r="CE40" s="1036"/>
      <c r="CF40" s="1036"/>
      <c r="CG40" s="1036"/>
      <c r="CH40" s="1036"/>
      <c r="CI40" s="1036"/>
      <c r="CJ40" s="1036"/>
      <c r="CK40" s="1036"/>
    </row>
    <row r="41" spans="1:89" s="957" customFormat="1" ht="14.25">
      <c r="A41" s="1637" t="s">
        <v>2018</v>
      </c>
      <c r="B41" s="1637" t="s">
        <v>1138</v>
      </c>
      <c r="C41" s="970">
        <v>19</v>
      </c>
      <c r="D41" s="1057" t="s">
        <v>1137</v>
      </c>
      <c r="E41" s="1066" t="s">
        <v>204</v>
      </c>
      <c r="F41" s="1064"/>
      <c r="G41" s="1073" t="s">
        <v>403</v>
      </c>
      <c r="H41" s="1062" t="s">
        <v>230</v>
      </c>
      <c r="I41" s="1647">
        <v>4</v>
      </c>
      <c r="J41" s="1062">
        <f t="shared" si="19"/>
        <v>0</v>
      </c>
      <c r="K41" s="1403">
        <f>AVERAGE(BW41,BQ41,BK41,BE41,AY41,AS41,AM41,AG41,AA41,U41)</f>
        <v>4</v>
      </c>
      <c r="L41" s="1062">
        <f t="shared" si="20"/>
        <v>0</v>
      </c>
      <c r="M41" s="1402">
        <f>AVERAGE(BY41,BS41,BM41,BG41,BA41,AU41,AO41,AI41,AC41,W41)</f>
        <v>3.9</v>
      </c>
      <c r="N41" s="1403">
        <f t="shared" si="13"/>
        <v>-0.10000000000000009</v>
      </c>
      <c r="O41" s="1350">
        <f t="shared" si="21"/>
        <v>0.10000000000000009</v>
      </c>
      <c r="P41" s="1350">
        <f t="shared" si="14"/>
        <v>7.0000000000000062E-2</v>
      </c>
      <c r="Q41" s="1350">
        <f t="shared" si="15"/>
        <v>7.7777777777777845E-3</v>
      </c>
      <c r="R41" s="1350">
        <f t="shared" si="16"/>
        <v>3.8888888888888922E-3</v>
      </c>
      <c r="S41" s="1063"/>
      <c r="T41" s="1060">
        <v>0</v>
      </c>
      <c r="U41" s="1649">
        <f>4-T41*2-T42*1</f>
        <v>4</v>
      </c>
      <c r="V41" s="1060">
        <v>0</v>
      </c>
      <c r="W41" s="1649">
        <f>4-V41*2-V42*1</f>
        <v>4</v>
      </c>
      <c r="X41" s="160">
        <f t="shared" si="1"/>
        <v>0</v>
      </c>
      <c r="Y41" s="1063"/>
      <c r="Z41" s="1060">
        <v>0</v>
      </c>
      <c r="AA41" s="1626">
        <f>4-Z41*2-Z42*1</f>
        <v>4</v>
      </c>
      <c r="AB41" s="1060">
        <v>0</v>
      </c>
      <c r="AC41" s="1625">
        <f>4-AB41*2-AB42*1</f>
        <v>4</v>
      </c>
      <c r="AD41" s="160">
        <f t="shared" si="2"/>
        <v>0</v>
      </c>
      <c r="AE41" s="1063"/>
      <c r="AF41" s="1060">
        <v>0</v>
      </c>
      <c r="AG41" s="1626">
        <f>4-AF41*2-AF42*1</f>
        <v>4</v>
      </c>
      <c r="AH41" s="1060">
        <v>0</v>
      </c>
      <c r="AI41" s="1625">
        <f>4-AH41*2-AH42*1</f>
        <v>4</v>
      </c>
      <c r="AJ41" s="160">
        <f t="shared" si="3"/>
        <v>0</v>
      </c>
      <c r="AK41" s="1063"/>
      <c r="AL41" s="1060">
        <v>0</v>
      </c>
      <c r="AM41" s="1626">
        <f>4-AL41*2-AL42*1</f>
        <v>4</v>
      </c>
      <c r="AN41" s="1060">
        <v>0</v>
      </c>
      <c r="AO41" s="1625">
        <f>4-AN41*2-AN42*1</f>
        <v>4</v>
      </c>
      <c r="AP41" s="160">
        <f t="shared" si="4"/>
        <v>0</v>
      </c>
      <c r="AQ41" s="1063"/>
      <c r="AR41" s="1060">
        <v>0</v>
      </c>
      <c r="AS41" s="1626">
        <f>4-AR41*2-AR42*1</f>
        <v>4</v>
      </c>
      <c r="AT41" s="1060">
        <v>0</v>
      </c>
      <c r="AU41" s="1625">
        <f>4-AT41*2-AT42*1</f>
        <v>4</v>
      </c>
      <c r="AV41" s="160">
        <f t="shared" si="5"/>
        <v>0</v>
      </c>
      <c r="AW41" s="1063"/>
      <c r="AX41" s="1060">
        <v>0</v>
      </c>
      <c r="AY41" s="1626">
        <f>4-AX41*2-AX42*1</f>
        <v>4</v>
      </c>
      <c r="AZ41" s="1060">
        <v>0</v>
      </c>
      <c r="BA41" s="1625">
        <f>4-AZ41*2-AZ42*1</f>
        <v>4</v>
      </c>
      <c r="BB41" s="160">
        <f t="shared" si="6"/>
        <v>0</v>
      </c>
      <c r="BC41" s="1063"/>
      <c r="BD41" s="1060">
        <v>0</v>
      </c>
      <c r="BE41" s="1626">
        <f>4-BD41*2-BD42*1</f>
        <v>4</v>
      </c>
      <c r="BF41" s="1060">
        <v>0</v>
      </c>
      <c r="BG41" s="1625">
        <f>4-BF41*2-BF42*1</f>
        <v>4</v>
      </c>
      <c r="BH41" s="160">
        <f t="shared" si="7"/>
        <v>0</v>
      </c>
      <c r="BI41" s="1063"/>
      <c r="BJ41" s="1060">
        <v>0</v>
      </c>
      <c r="BK41" s="1626">
        <f>4-BJ41*2-BJ42*1</f>
        <v>4</v>
      </c>
      <c r="BL41" s="1060">
        <v>0</v>
      </c>
      <c r="BM41" s="1625">
        <f>4-BL41*2-BL42*1</f>
        <v>4</v>
      </c>
      <c r="BN41" s="160">
        <f t="shared" si="8"/>
        <v>0</v>
      </c>
      <c r="BO41" s="1063"/>
      <c r="BP41" s="1060">
        <v>0</v>
      </c>
      <c r="BQ41" s="1626">
        <f>4-BP41*2-BP42*1</f>
        <v>4</v>
      </c>
      <c r="BR41" s="1060">
        <v>0</v>
      </c>
      <c r="BS41" s="1625">
        <f>4-BR41*2-BR42*1</f>
        <v>4</v>
      </c>
      <c r="BT41" s="160">
        <f t="shared" si="9"/>
        <v>0</v>
      </c>
      <c r="BU41" s="1063"/>
      <c r="BV41" s="1060">
        <v>0</v>
      </c>
      <c r="BW41" s="1626">
        <f>4-BV41*2-BV42*1</f>
        <v>4</v>
      </c>
      <c r="BX41" s="1060">
        <v>0</v>
      </c>
      <c r="BY41" s="1625">
        <f>4-BX41*2-BX42*1</f>
        <v>3</v>
      </c>
      <c r="BZ41" s="160">
        <f t="shared" si="10"/>
        <v>0</v>
      </c>
      <c r="CA41" s="1039"/>
      <c r="CC41" s="1036"/>
      <c r="CD41" s="1036"/>
      <c r="CE41" s="1036"/>
      <c r="CF41" s="1036"/>
      <c r="CG41" s="1036"/>
      <c r="CH41" s="1036"/>
      <c r="CI41" s="1036"/>
      <c r="CJ41" s="1036"/>
      <c r="CK41" s="1036"/>
    </row>
    <row r="42" spans="1:89" s="957" customFormat="1" ht="14.25">
      <c r="A42" s="1637"/>
      <c r="B42" s="1637"/>
      <c r="C42" s="970">
        <v>20</v>
      </c>
      <c r="D42" s="1411" t="s">
        <v>1693</v>
      </c>
      <c r="E42" s="1066" t="s">
        <v>204</v>
      </c>
      <c r="F42" s="1064"/>
      <c r="G42" s="1073" t="s">
        <v>402</v>
      </c>
      <c r="H42" s="1062" t="s">
        <v>230</v>
      </c>
      <c r="I42" s="1647"/>
      <c r="J42" s="1062">
        <f t="shared" si="19"/>
        <v>0</v>
      </c>
      <c r="K42" s="1403">
        <v>0</v>
      </c>
      <c r="L42" s="1062">
        <f t="shared" si="20"/>
        <v>0.1</v>
      </c>
      <c r="M42" s="1403"/>
      <c r="N42" s="1403">
        <f t="shared" si="13"/>
        <v>0</v>
      </c>
      <c r="O42" s="1350">
        <f t="shared" si="21"/>
        <v>0</v>
      </c>
      <c r="P42" s="1350">
        <f t="shared" si="14"/>
        <v>0</v>
      </c>
      <c r="Q42" s="1350">
        <f t="shared" si="15"/>
        <v>0</v>
      </c>
      <c r="R42" s="1350">
        <f t="shared" si="16"/>
        <v>0</v>
      </c>
      <c r="S42" s="1063"/>
      <c r="T42" s="1060">
        <v>0</v>
      </c>
      <c r="U42" s="1649"/>
      <c r="V42" s="1060">
        <v>0</v>
      </c>
      <c r="W42" s="1649"/>
      <c r="X42" s="160">
        <f t="shared" si="1"/>
        <v>0</v>
      </c>
      <c r="Y42" s="1063"/>
      <c r="Z42" s="1060">
        <v>0</v>
      </c>
      <c r="AA42" s="1626"/>
      <c r="AB42" s="1060">
        <v>0</v>
      </c>
      <c r="AC42" s="1625"/>
      <c r="AD42" s="160">
        <f t="shared" si="2"/>
        <v>0</v>
      </c>
      <c r="AE42" s="1063"/>
      <c r="AF42" s="1060">
        <v>0</v>
      </c>
      <c r="AG42" s="1626"/>
      <c r="AH42" s="1060">
        <v>0</v>
      </c>
      <c r="AI42" s="1625"/>
      <c r="AJ42" s="160">
        <f t="shared" si="3"/>
        <v>0</v>
      </c>
      <c r="AK42" s="1063"/>
      <c r="AL42" s="1060">
        <v>0</v>
      </c>
      <c r="AM42" s="1626"/>
      <c r="AN42" s="1060">
        <v>0</v>
      </c>
      <c r="AO42" s="1625"/>
      <c r="AP42" s="160">
        <f t="shared" si="4"/>
        <v>0</v>
      </c>
      <c r="AQ42" s="1063"/>
      <c r="AR42" s="1060">
        <v>0</v>
      </c>
      <c r="AS42" s="1626"/>
      <c r="AT42" s="1060">
        <v>0</v>
      </c>
      <c r="AU42" s="1625"/>
      <c r="AV42" s="160">
        <f t="shared" si="5"/>
        <v>0</v>
      </c>
      <c r="AW42" s="1063"/>
      <c r="AX42" s="1060">
        <v>0</v>
      </c>
      <c r="AY42" s="1626"/>
      <c r="AZ42" s="1060">
        <v>0</v>
      </c>
      <c r="BA42" s="1625"/>
      <c r="BB42" s="160">
        <f t="shared" si="6"/>
        <v>0</v>
      </c>
      <c r="BC42" s="1063"/>
      <c r="BD42" s="1060">
        <v>0</v>
      </c>
      <c r="BE42" s="1626"/>
      <c r="BF42" s="1060">
        <v>0</v>
      </c>
      <c r="BG42" s="1625"/>
      <c r="BH42" s="160">
        <f t="shared" si="7"/>
        <v>0</v>
      </c>
      <c r="BI42" s="1063"/>
      <c r="BJ42" s="1060">
        <v>0</v>
      </c>
      <c r="BK42" s="1626"/>
      <c r="BL42" s="1060">
        <v>0</v>
      </c>
      <c r="BM42" s="1625"/>
      <c r="BN42" s="160">
        <f t="shared" si="8"/>
        <v>0</v>
      </c>
      <c r="BO42" s="1063"/>
      <c r="BP42" s="1060">
        <v>0</v>
      </c>
      <c r="BQ42" s="1626"/>
      <c r="BR42" s="1060">
        <v>0</v>
      </c>
      <c r="BS42" s="1625"/>
      <c r="BT42" s="160">
        <f t="shared" si="9"/>
        <v>0</v>
      </c>
      <c r="BU42" s="1063"/>
      <c r="BV42" s="1060">
        <v>0</v>
      </c>
      <c r="BW42" s="1626"/>
      <c r="BX42" s="1060">
        <v>1</v>
      </c>
      <c r="BY42" s="1625"/>
      <c r="BZ42" s="160">
        <f t="shared" si="10"/>
        <v>1</v>
      </c>
      <c r="CA42" s="1039"/>
      <c r="CC42" s="1036"/>
      <c r="CD42" s="1036"/>
      <c r="CE42" s="1036"/>
      <c r="CF42" s="1036"/>
      <c r="CG42" s="1036"/>
      <c r="CH42" s="1036"/>
      <c r="CI42" s="1036"/>
      <c r="CJ42" s="1036"/>
      <c r="CK42" s="1036"/>
    </row>
    <row r="43" spans="1:89" s="957" customFormat="1" ht="14.25">
      <c r="A43" s="1637" t="s">
        <v>2019</v>
      </c>
      <c r="B43" s="1637" t="s">
        <v>1139</v>
      </c>
      <c r="C43" s="970">
        <v>21</v>
      </c>
      <c r="D43" s="1057" t="s">
        <v>1694</v>
      </c>
      <c r="E43" s="1066" t="s">
        <v>1106</v>
      </c>
      <c r="F43" s="1064" t="s">
        <v>1501</v>
      </c>
      <c r="G43" s="1073" t="s">
        <v>1502</v>
      </c>
      <c r="H43" s="1062" t="s">
        <v>230</v>
      </c>
      <c r="I43" s="1647">
        <v>6</v>
      </c>
      <c r="J43" s="1062">
        <f t="shared" si="19"/>
        <v>0</v>
      </c>
      <c r="K43" s="1403">
        <f>AVERAGE(BW43,BQ43,BK43,BE43,AY43,AS43,AM43,AG43,AA43,U43)</f>
        <v>6</v>
      </c>
      <c r="L43" s="1062">
        <f t="shared" si="20"/>
        <v>0</v>
      </c>
      <c r="M43" s="1403">
        <f>AVERAGE(BY43,BS43,BM43,BG43,BA43,AU43,AO43,AI43,AC43,W43)</f>
        <v>6</v>
      </c>
      <c r="N43" s="1403">
        <f t="shared" si="13"/>
        <v>0</v>
      </c>
      <c r="O43" s="1350">
        <f t="shared" si="21"/>
        <v>0</v>
      </c>
      <c r="P43" s="1350">
        <f t="shared" si="14"/>
        <v>0</v>
      </c>
      <c r="Q43" s="1350">
        <f t="shared" si="15"/>
        <v>0</v>
      </c>
      <c r="R43" s="1350">
        <f t="shared" si="16"/>
        <v>0</v>
      </c>
      <c r="S43" s="1063"/>
      <c r="T43" s="1060">
        <v>0</v>
      </c>
      <c r="U43" s="1649">
        <f>6-T43*0.5-T44*3</f>
        <v>6</v>
      </c>
      <c r="V43" s="1060">
        <v>0</v>
      </c>
      <c r="W43" s="1649">
        <f>6-V43*0.5-V44*3</f>
        <v>6</v>
      </c>
      <c r="X43" s="160">
        <f t="shared" si="1"/>
        <v>0</v>
      </c>
      <c r="Y43" s="1063"/>
      <c r="Z43" s="1060">
        <v>0</v>
      </c>
      <c r="AA43" s="1626">
        <f>6-Z43*0.5-Z44*3</f>
        <v>6</v>
      </c>
      <c r="AB43" s="1060">
        <v>0</v>
      </c>
      <c r="AC43" s="1625">
        <f>6-AB43*0.5-AB44*3</f>
        <v>6</v>
      </c>
      <c r="AD43" s="160">
        <f t="shared" si="2"/>
        <v>0</v>
      </c>
      <c r="AE43" s="1063"/>
      <c r="AF43" s="1060">
        <v>0</v>
      </c>
      <c r="AG43" s="1626">
        <f>6-AF43*0.5-AF44*3</f>
        <v>6</v>
      </c>
      <c r="AH43" s="1060">
        <v>0</v>
      </c>
      <c r="AI43" s="1625">
        <f>6-AH43*0.5-AH44*3</f>
        <v>6</v>
      </c>
      <c r="AJ43" s="160">
        <f t="shared" si="3"/>
        <v>0</v>
      </c>
      <c r="AK43" s="1063"/>
      <c r="AL43" s="1060">
        <v>0</v>
      </c>
      <c r="AM43" s="1626">
        <f>6-AL43*0.5-AL44*3</f>
        <v>6</v>
      </c>
      <c r="AN43" s="1060">
        <v>0</v>
      </c>
      <c r="AO43" s="1625">
        <f>6-AN43*0.5-AN44*3</f>
        <v>6</v>
      </c>
      <c r="AP43" s="160">
        <f t="shared" si="4"/>
        <v>0</v>
      </c>
      <c r="AQ43" s="1063"/>
      <c r="AR43" s="1060">
        <v>0</v>
      </c>
      <c r="AS43" s="1626">
        <f>6-AR43*0.5-AR44*3</f>
        <v>6</v>
      </c>
      <c r="AT43" s="1060">
        <v>0</v>
      </c>
      <c r="AU43" s="1625">
        <f>6-AT43*0.5-AT44*3</f>
        <v>6</v>
      </c>
      <c r="AV43" s="160">
        <f t="shared" si="5"/>
        <v>0</v>
      </c>
      <c r="AW43" s="1063"/>
      <c r="AX43" s="1060">
        <v>0</v>
      </c>
      <c r="AY43" s="1626">
        <f>6-AX43*0.5-AX44*3</f>
        <v>6</v>
      </c>
      <c r="AZ43" s="1060">
        <v>0</v>
      </c>
      <c r="BA43" s="1625">
        <f>6-AZ43*0.5-AZ44*3</f>
        <v>6</v>
      </c>
      <c r="BB43" s="160">
        <f t="shared" si="6"/>
        <v>0</v>
      </c>
      <c r="BC43" s="1063"/>
      <c r="BD43" s="1060">
        <v>0</v>
      </c>
      <c r="BE43" s="1626">
        <f>6-BD43*0.5-BD44*3</f>
        <v>6</v>
      </c>
      <c r="BF43" s="1060">
        <v>0</v>
      </c>
      <c r="BG43" s="1625">
        <f>6-BF43*0.5-BF44*3</f>
        <v>6</v>
      </c>
      <c r="BH43" s="160">
        <f t="shared" si="7"/>
        <v>0</v>
      </c>
      <c r="BI43" s="1063"/>
      <c r="BJ43" s="1060">
        <v>0</v>
      </c>
      <c r="BK43" s="1626">
        <f>6-BJ43*0.5-BJ44*3</f>
        <v>6</v>
      </c>
      <c r="BL43" s="1060">
        <v>0</v>
      </c>
      <c r="BM43" s="1625">
        <f>6-BL43*0.5-BL44*3</f>
        <v>6</v>
      </c>
      <c r="BN43" s="160">
        <f t="shared" si="8"/>
        <v>0</v>
      </c>
      <c r="BO43" s="1063"/>
      <c r="BP43" s="1060">
        <v>0</v>
      </c>
      <c r="BQ43" s="1626">
        <f>6-BP43*0.5-BP44*3</f>
        <v>6</v>
      </c>
      <c r="BR43" s="1060">
        <v>0</v>
      </c>
      <c r="BS43" s="1625">
        <f>6-BR43*0.5-BR44*3</f>
        <v>6</v>
      </c>
      <c r="BT43" s="160">
        <f t="shared" si="9"/>
        <v>0</v>
      </c>
      <c r="BU43" s="1063"/>
      <c r="BV43" s="1060">
        <v>0</v>
      </c>
      <c r="BW43" s="1626">
        <f>6-BV43*0.5-BV44*3</f>
        <v>6</v>
      </c>
      <c r="BX43" s="1060">
        <v>0</v>
      </c>
      <c r="BY43" s="1625">
        <f>6-BX43*0.5-BX44*3</f>
        <v>6</v>
      </c>
      <c r="BZ43" s="160">
        <f t="shared" si="10"/>
        <v>0</v>
      </c>
      <c r="CA43" s="1039"/>
      <c r="CC43" s="1036"/>
      <c r="CD43" s="1036"/>
      <c r="CE43" s="1036"/>
      <c r="CF43" s="1036"/>
      <c r="CG43" s="1036"/>
      <c r="CH43" s="1036"/>
      <c r="CI43" s="1036"/>
      <c r="CJ43" s="1036"/>
      <c r="CK43" s="1036"/>
    </row>
    <row r="44" spans="1:89" s="957" customFormat="1" ht="27.75" customHeight="1">
      <c r="A44" s="1637"/>
      <c r="B44" s="1637"/>
      <c r="C44" s="970">
        <v>22</v>
      </c>
      <c r="D44" s="1057" t="s">
        <v>1140</v>
      </c>
      <c r="E44" s="1066" t="s">
        <v>1106</v>
      </c>
      <c r="F44" s="1064" t="s">
        <v>1501</v>
      </c>
      <c r="G44" s="1073" t="s">
        <v>402</v>
      </c>
      <c r="H44" s="1062" t="s">
        <v>230</v>
      </c>
      <c r="I44" s="1647"/>
      <c r="J44" s="1062">
        <f t="shared" si="19"/>
        <v>0</v>
      </c>
      <c r="K44" s="1403">
        <v>0</v>
      </c>
      <c r="L44" s="1062">
        <f t="shared" si="20"/>
        <v>0</v>
      </c>
      <c r="M44" s="1403"/>
      <c r="N44" s="1403">
        <f t="shared" si="13"/>
        <v>0</v>
      </c>
      <c r="O44" s="1350">
        <f t="shared" si="21"/>
        <v>0</v>
      </c>
      <c r="P44" s="1350">
        <f t="shared" si="14"/>
        <v>0</v>
      </c>
      <c r="Q44" s="1350">
        <f t="shared" si="15"/>
        <v>0</v>
      </c>
      <c r="R44" s="1350">
        <f t="shared" si="16"/>
        <v>0</v>
      </c>
      <c r="S44" s="1063"/>
      <c r="T44" s="1060">
        <v>0</v>
      </c>
      <c r="U44" s="1649"/>
      <c r="V44" s="1060">
        <v>0</v>
      </c>
      <c r="W44" s="1649"/>
      <c r="X44" s="160">
        <f t="shared" si="1"/>
        <v>0</v>
      </c>
      <c r="Y44" s="1063"/>
      <c r="Z44" s="1060">
        <v>0</v>
      </c>
      <c r="AA44" s="1626"/>
      <c r="AB44" s="1060">
        <v>0</v>
      </c>
      <c r="AC44" s="1625"/>
      <c r="AD44" s="160">
        <f t="shared" si="2"/>
        <v>0</v>
      </c>
      <c r="AE44" s="1063"/>
      <c r="AF44" s="1060">
        <v>0</v>
      </c>
      <c r="AG44" s="1626"/>
      <c r="AH44" s="1060">
        <v>0</v>
      </c>
      <c r="AI44" s="1625"/>
      <c r="AJ44" s="160">
        <f t="shared" si="3"/>
        <v>0</v>
      </c>
      <c r="AK44" s="1063"/>
      <c r="AL44" s="1060">
        <v>0</v>
      </c>
      <c r="AM44" s="1626"/>
      <c r="AN44" s="1060">
        <v>0</v>
      </c>
      <c r="AO44" s="1625"/>
      <c r="AP44" s="160">
        <f t="shared" si="4"/>
        <v>0</v>
      </c>
      <c r="AQ44" s="1063"/>
      <c r="AR44" s="1060">
        <v>0</v>
      </c>
      <c r="AS44" s="1626"/>
      <c r="AT44" s="1060">
        <v>0</v>
      </c>
      <c r="AU44" s="1625"/>
      <c r="AV44" s="160">
        <f t="shared" si="5"/>
        <v>0</v>
      </c>
      <c r="AW44" s="1063"/>
      <c r="AX44" s="1060">
        <v>0</v>
      </c>
      <c r="AY44" s="1626"/>
      <c r="AZ44" s="1060">
        <v>0</v>
      </c>
      <c r="BA44" s="1625"/>
      <c r="BB44" s="160">
        <f t="shared" si="6"/>
        <v>0</v>
      </c>
      <c r="BC44" s="1063"/>
      <c r="BD44" s="1060">
        <v>0</v>
      </c>
      <c r="BE44" s="1626"/>
      <c r="BF44" s="1060">
        <v>0</v>
      </c>
      <c r="BG44" s="1625"/>
      <c r="BH44" s="160">
        <f t="shared" si="7"/>
        <v>0</v>
      </c>
      <c r="BI44" s="1063"/>
      <c r="BJ44" s="1060">
        <v>0</v>
      </c>
      <c r="BK44" s="1626"/>
      <c r="BL44" s="1060">
        <v>0</v>
      </c>
      <c r="BM44" s="1625"/>
      <c r="BN44" s="160">
        <f t="shared" si="8"/>
        <v>0</v>
      </c>
      <c r="BO44" s="1063"/>
      <c r="BP44" s="1060">
        <v>0</v>
      </c>
      <c r="BQ44" s="1626"/>
      <c r="BR44" s="1060">
        <v>0</v>
      </c>
      <c r="BS44" s="1625"/>
      <c r="BT44" s="160">
        <f t="shared" si="9"/>
        <v>0</v>
      </c>
      <c r="BU44" s="1063"/>
      <c r="BV44" s="1060">
        <v>0</v>
      </c>
      <c r="BW44" s="1626"/>
      <c r="BX44" s="1060">
        <v>0</v>
      </c>
      <c r="BY44" s="1625"/>
      <c r="BZ44" s="160">
        <f t="shared" si="10"/>
        <v>0</v>
      </c>
      <c r="CA44" s="1039"/>
      <c r="CC44" s="1036"/>
      <c r="CD44" s="1036"/>
      <c r="CE44" s="1036"/>
      <c r="CF44" s="1036"/>
      <c r="CG44" s="1036"/>
      <c r="CH44" s="1036"/>
      <c r="CI44" s="1036"/>
      <c r="CJ44" s="1036"/>
      <c r="CK44" s="1036"/>
    </row>
    <row r="45" spans="1:89" s="957" customFormat="1" ht="14.25">
      <c r="A45" s="1637" t="s">
        <v>1141</v>
      </c>
      <c r="B45" s="1637" t="s">
        <v>1912</v>
      </c>
      <c r="C45" s="970">
        <v>23</v>
      </c>
      <c r="D45" s="1411" t="s">
        <v>1728</v>
      </c>
      <c r="E45" s="1066"/>
      <c r="F45" s="1059"/>
      <c r="G45" s="1059" t="s">
        <v>397</v>
      </c>
      <c r="H45" s="1060" t="s">
        <v>230</v>
      </c>
      <c r="I45" s="1061">
        <v>3</v>
      </c>
      <c r="J45" s="1304">
        <f t="shared" si="19"/>
        <v>0.92838513281903678</v>
      </c>
      <c r="K45" s="1405">
        <f>AVERAGE(BW45,BQ45,BK45,BE45,AY45,AS45,AM45,AG45,AA45,U45)</f>
        <v>3</v>
      </c>
      <c r="L45" s="1304">
        <f t="shared" si="20"/>
        <v>0.94047697128683827</v>
      </c>
      <c r="M45" s="1402">
        <f>AVERAGE(BY45,BS45,BM45,BG45,BA45,AU45,AO45,AI45,AC45,W45)</f>
        <v>2.85</v>
      </c>
      <c r="N45" s="1403">
        <f t="shared" si="13"/>
        <v>-0.14999999999999991</v>
      </c>
      <c r="O45" s="1350">
        <f t="shared" si="21"/>
        <v>0.14999999999999991</v>
      </c>
      <c r="P45" s="1350">
        <f t="shared" si="14"/>
        <v>0.10499999999999993</v>
      </c>
      <c r="Q45" s="1350">
        <f t="shared" si="15"/>
        <v>1.1666666666666659E-2</v>
      </c>
      <c r="R45" s="1350">
        <f t="shared" si="16"/>
        <v>5.8333333333333293E-3</v>
      </c>
      <c r="S45" s="1063"/>
      <c r="T45" s="1272">
        <v>0.97818747632140479</v>
      </c>
      <c r="U45" s="1275">
        <f>IF(T45&gt;=0.9,3,IF(T45&gt;=0.8,1.5,0))</f>
        <v>3</v>
      </c>
      <c r="V45" s="1272">
        <f>IF(V47=0,"",V46/V47)</f>
        <v>0.96689461986831438</v>
      </c>
      <c r="W45" s="1275">
        <f>IF(V45&gt;=0.9,3,IF(V45&gt;=0.8,1.5,0))</f>
        <v>3</v>
      </c>
      <c r="X45" s="160">
        <f t="shared" si="1"/>
        <v>-1.1544674948772204E-2</v>
      </c>
      <c r="Y45" s="1063"/>
      <c r="Z45" s="1272">
        <v>0.94368190929287465</v>
      </c>
      <c r="AA45" s="1303">
        <f>IF(Z45&gt;=0.9,3,IF(Z45&gt;=0.8,1.5,0))</f>
        <v>3</v>
      </c>
      <c r="AB45" s="1272">
        <f>IF(AB47=0,"",AB46/AB47)</f>
        <v>0.95012201016475151</v>
      </c>
      <c r="AC45" s="1306">
        <f>IF(AB45&gt;=0.9,3,IF(AB45&gt;=0.8,1.5,0))</f>
        <v>3</v>
      </c>
      <c r="AD45" s="160">
        <f t="shared" si="2"/>
        <v>6.8244403208943538E-3</v>
      </c>
      <c r="AE45" s="1063"/>
      <c r="AF45" s="1272">
        <v>0.92409880476043005</v>
      </c>
      <c r="AG45" s="1306">
        <f>IF(AF45&gt;=0.9,3,IF(AF45&gt;=0.8,1.5,0))</f>
        <v>3</v>
      </c>
      <c r="AH45" s="1272">
        <f>IF(AH47=0,"",AH46/AH47)</f>
        <v>0.93960924247305555</v>
      </c>
      <c r="AI45" s="1306">
        <f>IF(AH45&gt;=0.9,3,IF(AH45&gt;=0.8,1.5,0))</f>
        <v>3</v>
      </c>
      <c r="AJ45" s="160">
        <f t="shared" si="3"/>
        <v>1.6784393219344773E-2</v>
      </c>
      <c r="AK45" s="1063"/>
      <c r="AL45" s="1272">
        <v>0.92173732409647569</v>
      </c>
      <c r="AM45" s="1306">
        <f>IF(AL45&gt;=0.9,3,IF(AL45&gt;=0.8,1.5,0))</f>
        <v>3</v>
      </c>
      <c r="AN45" s="1272">
        <f>IF(AN47=0,"",AN46/AN47)</f>
        <v>0.94828107013240748</v>
      </c>
      <c r="AO45" s="1306">
        <f>IF(AN45&gt;=0.9,3,IF(AN45&gt;=0.8,1.5,0))</f>
        <v>3</v>
      </c>
      <c r="AP45" s="160">
        <f t="shared" si="4"/>
        <v>2.8797516756686736E-2</v>
      </c>
      <c r="AQ45" s="1063"/>
      <c r="AR45" s="1272">
        <v>0.93138799833859109</v>
      </c>
      <c r="AS45" s="1303">
        <f>IF(AR45&gt;=0.9,3,IF(AR45&gt;=0.8,1.5,0))</f>
        <v>3</v>
      </c>
      <c r="AT45" s="1272">
        <f>IF(AT47=0,"",AT46/AT47)</f>
        <v>0.95240086561620496</v>
      </c>
      <c r="AU45" s="1306">
        <f>IF(AT45&gt;=0.9,3,IF(AT45&gt;=0.8,1.5,0))</f>
        <v>3</v>
      </c>
      <c r="AV45" s="160">
        <f t="shared" si="5"/>
        <v>2.256080958214679E-2</v>
      </c>
      <c r="AW45" s="1063"/>
      <c r="AX45" s="1272">
        <v>0.91552438300076422</v>
      </c>
      <c r="AY45" s="1059">
        <f>IF(AX45&gt;=0.9,3,IF(AX45&gt;=0.8,1.5,0))</f>
        <v>3</v>
      </c>
      <c r="AZ45" s="1272">
        <f>IF(AZ47=0,"",AZ46/AZ47)</f>
        <v>0.92791493060099861</v>
      </c>
      <c r="BA45" s="1306">
        <f>IF(AZ45&gt;=0.9,3,IF(AZ45&gt;=0.8,1.5,0))</f>
        <v>3</v>
      </c>
      <c r="BB45" s="160">
        <f t="shared" si="6"/>
        <v>1.35338258928972E-2</v>
      </c>
      <c r="BC45" s="1063"/>
      <c r="BD45" s="1272">
        <v>0.90294004678033046</v>
      </c>
      <c r="BE45" s="1303">
        <f>IF(BD45&gt;=0.9,3,IF(BD45&gt;=0.8,1.5,0))</f>
        <v>3</v>
      </c>
      <c r="BF45" s="1272">
        <f>IF(BF47=0,"",BF46/BF47)</f>
        <v>0.9563136713476319</v>
      </c>
      <c r="BG45" s="1306">
        <f>IF(BF45&gt;=0.9,3,IF(BF45&gt;=0.8,1.5,0))</f>
        <v>3</v>
      </c>
      <c r="BH45" s="160">
        <f t="shared" si="7"/>
        <v>5.9110928524677808E-2</v>
      </c>
      <c r="BI45" s="1063"/>
      <c r="BJ45" s="1272">
        <v>0.92848671337123856</v>
      </c>
      <c r="BK45" s="1306">
        <f>IF(BJ45&gt;=0.9,3,IF(BJ45&gt;=0.8,1.5,0))</f>
        <v>3</v>
      </c>
      <c r="BL45" s="1272">
        <f>IF(BL47=0,"",BL46/BL47)</f>
        <v>0.9359793558334315</v>
      </c>
      <c r="BM45" s="1306">
        <f>IF(BL45&gt;=0.9,3,IF(BL45&gt;=0.8,1.5,0))</f>
        <v>3</v>
      </c>
      <c r="BN45" s="160">
        <f t="shared" si="8"/>
        <v>8.0697357908201539E-3</v>
      </c>
      <c r="BO45" s="1063"/>
      <c r="BP45" s="1272">
        <v>0.90900780925350066</v>
      </c>
      <c r="BQ45" s="1306">
        <f>IF(BP45&gt;=0.9,3,IF(BP45&gt;=0.8,1.5,0))</f>
        <v>3</v>
      </c>
      <c r="BR45" s="1272">
        <f>IF(BR47=0,"",BR46/BR47)</f>
        <v>0.89223377081881861</v>
      </c>
      <c r="BS45" s="1306">
        <f>IF(BR45&gt;=0.9,3,IF(BR45&gt;=0.8,1.5,0))</f>
        <v>1.5</v>
      </c>
      <c r="BT45" s="160">
        <f t="shared" si="9"/>
        <v>-1.845312907537866E-2</v>
      </c>
      <c r="BU45" s="1063"/>
      <c r="BV45" s="1272">
        <v>0.92879886297475645</v>
      </c>
      <c r="BW45" s="1306">
        <f>IF(BV45&gt;=0.9,3,IF(BV45&gt;=0.8,1.5,0))</f>
        <v>3</v>
      </c>
      <c r="BX45" s="1272">
        <f>IF(BX47=0,"",BX46/BX47)</f>
        <v>0.93502017601276743</v>
      </c>
      <c r="BY45" s="1306">
        <f>IF(BX45&gt;=0.9,3,IF(BX45&gt;=0.8,1.5,0))</f>
        <v>3</v>
      </c>
      <c r="BZ45" s="160">
        <f t="shared" si="10"/>
        <v>6.6982349850055467E-3</v>
      </c>
      <c r="CA45" s="1039"/>
      <c r="CC45" s="1036"/>
      <c r="CD45" s="1036"/>
      <c r="CE45" s="1036"/>
      <c r="CF45" s="1036"/>
      <c r="CG45" s="1036"/>
      <c r="CH45" s="1036"/>
      <c r="CI45" s="1036"/>
      <c r="CJ45" s="1036"/>
      <c r="CK45" s="1036"/>
    </row>
    <row r="46" spans="1:89" s="957" customFormat="1" ht="14.25">
      <c r="A46" s="1638"/>
      <c r="B46" s="1638"/>
      <c r="C46" s="984">
        <v>23.1</v>
      </c>
      <c r="D46" s="1065" t="s">
        <v>2163</v>
      </c>
      <c r="E46" s="1066" t="s">
        <v>2157</v>
      </c>
      <c r="F46" s="1088" t="s">
        <v>1503</v>
      </c>
      <c r="G46" s="1073"/>
      <c r="H46" s="1062"/>
      <c r="I46" s="1059"/>
      <c r="J46" s="1062">
        <f t="shared" si="19"/>
        <v>61005180.399999999</v>
      </c>
      <c r="K46" s="1403"/>
      <c r="L46" s="1062">
        <f t="shared" si="20"/>
        <v>52874309.299999997</v>
      </c>
      <c r="M46" s="1403"/>
      <c r="N46" s="1403">
        <f t="shared" si="13"/>
        <v>0</v>
      </c>
      <c r="O46" s="1350">
        <f t="shared" si="21"/>
        <v>0</v>
      </c>
      <c r="P46" s="1350">
        <f t="shared" si="14"/>
        <v>0</v>
      </c>
      <c r="Q46" s="1350">
        <f t="shared" si="15"/>
        <v>0</v>
      </c>
      <c r="R46" s="1350">
        <f t="shared" si="16"/>
        <v>0</v>
      </c>
      <c r="S46" s="1063"/>
      <c r="T46" s="1060">
        <v>36418267</v>
      </c>
      <c r="U46" s="1275"/>
      <c r="V46" s="1060">
        <v>25510333</v>
      </c>
      <c r="W46" s="1275"/>
      <c r="X46" s="160">
        <f t="shared" si="1"/>
        <v>-0.29951820606949808</v>
      </c>
      <c r="Y46" s="1063"/>
      <c r="Z46" s="1060">
        <v>86382413</v>
      </c>
      <c r="AA46" s="1059"/>
      <c r="AB46" s="1060">
        <v>79742470</v>
      </c>
      <c r="AC46" s="1306"/>
      <c r="AD46" s="160">
        <f t="shared" si="2"/>
        <v>-7.6866838623736999E-2</v>
      </c>
      <c r="AE46" s="1063"/>
      <c r="AF46" s="1060">
        <v>127051029.00000001</v>
      </c>
      <c r="AG46" s="1059"/>
      <c r="AH46" s="1060">
        <v>101924106.00000001</v>
      </c>
      <c r="AI46" s="1306"/>
      <c r="AJ46" s="160">
        <f t="shared" si="3"/>
        <v>-0.19777032266303007</v>
      </c>
      <c r="AK46" s="1063"/>
      <c r="AL46" s="1060">
        <v>23872204</v>
      </c>
      <c r="AM46" s="1059"/>
      <c r="AN46" s="1060">
        <v>27509685.999999996</v>
      </c>
      <c r="AO46" s="1306"/>
      <c r="AP46" s="160">
        <f t="shared" si="4"/>
        <v>0.15237311142280774</v>
      </c>
      <c r="AQ46" s="1063"/>
      <c r="AR46" s="1060">
        <v>104884030</v>
      </c>
      <c r="AS46" s="1059"/>
      <c r="AT46" s="1060">
        <v>91853910.999999985</v>
      </c>
      <c r="AU46" s="1306"/>
      <c r="AV46" s="160">
        <f t="shared" si="5"/>
        <v>-0.12423358446467037</v>
      </c>
      <c r="AW46" s="1063"/>
      <c r="AX46" s="1060">
        <v>100453180.99999999</v>
      </c>
      <c r="AY46" s="1059"/>
      <c r="AZ46" s="1060">
        <v>91744831</v>
      </c>
      <c r="BA46" s="1306"/>
      <c r="BB46" s="160">
        <f t="shared" si="6"/>
        <v>-8.6690634515595777E-2</v>
      </c>
      <c r="BC46" s="1063"/>
      <c r="BD46" s="1060">
        <v>18190697.000000004</v>
      </c>
      <c r="BE46" s="1059"/>
      <c r="BF46" s="1060">
        <v>16046208</v>
      </c>
      <c r="BG46" s="1306"/>
      <c r="BH46" s="160">
        <f t="shared" si="7"/>
        <v>-0.11788932551622422</v>
      </c>
      <c r="BI46" s="1063"/>
      <c r="BJ46" s="1060">
        <v>72207460</v>
      </c>
      <c r="BK46" s="1059"/>
      <c r="BL46" s="1060">
        <v>61347230</v>
      </c>
      <c r="BM46" s="1306"/>
      <c r="BN46" s="160">
        <f t="shared" si="8"/>
        <v>-0.15040315779006763</v>
      </c>
      <c r="BO46" s="1063"/>
      <c r="BP46" s="1060">
        <v>18805689.000000004</v>
      </c>
      <c r="BQ46" s="1059"/>
      <c r="BR46" s="1060">
        <v>11862785.999999998</v>
      </c>
      <c r="BS46" s="1306"/>
      <c r="BT46" s="160">
        <f t="shared" si="9"/>
        <v>-0.36919163131965038</v>
      </c>
      <c r="BU46" s="1063"/>
      <c r="BV46" s="1060">
        <v>21786834</v>
      </c>
      <c r="BW46" s="1059"/>
      <c r="BX46" s="1060">
        <v>21201531.999999996</v>
      </c>
      <c r="BY46" s="1306"/>
      <c r="BZ46" s="160">
        <f t="shared" si="10"/>
        <v>-2.686494054161348E-2</v>
      </c>
      <c r="CA46" s="1039"/>
      <c r="CC46" s="1036"/>
      <c r="CD46" s="1036"/>
      <c r="CE46" s="1036"/>
      <c r="CF46" s="1036"/>
      <c r="CG46" s="1036"/>
      <c r="CH46" s="1036"/>
      <c r="CI46" s="1036"/>
      <c r="CJ46" s="1036"/>
      <c r="CK46" s="1036"/>
    </row>
    <row r="47" spans="1:89" s="957" customFormat="1" ht="14.25">
      <c r="A47" s="1638"/>
      <c r="B47" s="1638"/>
      <c r="C47" s="984">
        <v>23.2</v>
      </c>
      <c r="D47" s="1065" t="s">
        <v>2164</v>
      </c>
      <c r="E47" s="1066" t="s">
        <v>2157</v>
      </c>
      <c r="F47" s="1088" t="s">
        <v>1504</v>
      </c>
      <c r="G47" s="1073"/>
      <c r="H47" s="1062"/>
      <c r="I47" s="1059"/>
      <c r="J47" s="1062">
        <f t="shared" si="19"/>
        <v>65654621.700000003</v>
      </c>
      <c r="K47" s="1403"/>
      <c r="L47" s="1062">
        <f t="shared" si="20"/>
        <v>56140724.5</v>
      </c>
      <c r="M47" s="1403"/>
      <c r="N47" s="1403">
        <f t="shared" si="13"/>
        <v>0</v>
      </c>
      <c r="O47" s="1350">
        <f t="shared" si="21"/>
        <v>0</v>
      </c>
      <c r="P47" s="1350">
        <f t="shared" si="14"/>
        <v>0</v>
      </c>
      <c r="Q47" s="1350">
        <f t="shared" si="15"/>
        <v>0</v>
      </c>
      <c r="R47" s="1350">
        <f t="shared" si="16"/>
        <v>0</v>
      </c>
      <c r="S47" s="1063"/>
      <c r="T47" s="1060">
        <v>37230355.000000007</v>
      </c>
      <c r="U47" s="1275"/>
      <c r="V47" s="1060">
        <v>26383778.000000004</v>
      </c>
      <c r="W47" s="1275"/>
      <c r="X47" s="160">
        <f t="shared" si="1"/>
        <v>-0.29133692117628218</v>
      </c>
      <c r="Y47" s="1063"/>
      <c r="Z47" s="1060">
        <v>91537638</v>
      </c>
      <c r="AA47" s="1059"/>
      <c r="AB47" s="1060">
        <v>83928663</v>
      </c>
      <c r="AC47" s="1306"/>
      <c r="AD47" s="160">
        <f t="shared" si="2"/>
        <v>-8.3124004139149887E-2</v>
      </c>
      <c r="AE47" s="1063"/>
      <c r="AF47" s="1060">
        <v>137486411.99999997</v>
      </c>
      <c r="AG47" s="1059"/>
      <c r="AH47" s="1060">
        <v>108474993.00000001</v>
      </c>
      <c r="AI47" s="1306"/>
      <c r="AJ47" s="160">
        <f t="shared" si="3"/>
        <v>-0.21101299086923553</v>
      </c>
      <c r="AK47" s="1063"/>
      <c r="AL47" s="1060">
        <v>25899140.000000004</v>
      </c>
      <c r="AM47" s="1059"/>
      <c r="AN47" s="1060">
        <v>29010054.999999996</v>
      </c>
      <c r="AO47" s="1306"/>
      <c r="AP47" s="160">
        <f t="shared" si="4"/>
        <v>0.12011653668809052</v>
      </c>
      <c r="AQ47" s="1063"/>
      <c r="AR47" s="1060">
        <v>112610459.00000001</v>
      </c>
      <c r="AS47" s="1059"/>
      <c r="AT47" s="1060">
        <v>96444590</v>
      </c>
      <c r="AU47" s="1306"/>
      <c r="AV47" s="160">
        <f t="shared" si="5"/>
        <v>-0.1435556620899664</v>
      </c>
      <c r="AW47" s="1063"/>
      <c r="AX47" s="1060">
        <v>109722016</v>
      </c>
      <c r="AY47" s="1059"/>
      <c r="AZ47" s="1060">
        <v>98872028.000000015</v>
      </c>
      <c r="BA47" s="1306"/>
      <c r="BB47" s="160">
        <f t="shared" si="6"/>
        <v>-9.8886152438176E-2</v>
      </c>
      <c r="BC47" s="1063"/>
      <c r="BD47" s="1060">
        <v>20146074.000000004</v>
      </c>
      <c r="BE47" s="1059"/>
      <c r="BF47" s="1060">
        <v>16779231.000000004</v>
      </c>
      <c r="BG47" s="1306"/>
      <c r="BH47" s="160">
        <f t="shared" si="7"/>
        <v>-0.16712154437633853</v>
      </c>
      <c r="BI47" s="1063"/>
      <c r="BJ47" s="1060">
        <v>77768974.999999985</v>
      </c>
      <c r="BK47" s="1059"/>
      <c r="BL47" s="1060">
        <v>65543358.000000007</v>
      </c>
      <c r="BM47" s="1306"/>
      <c r="BN47" s="160">
        <f t="shared" si="8"/>
        <v>-0.15720429644340794</v>
      </c>
      <c r="BO47" s="1063"/>
      <c r="BP47" s="1060">
        <v>20688149.000000004</v>
      </c>
      <c r="BQ47" s="1059"/>
      <c r="BR47" s="1060">
        <v>13295603.000000002</v>
      </c>
      <c r="BS47" s="1306"/>
      <c r="BT47" s="160">
        <f t="shared" si="9"/>
        <v>-0.35733240320339921</v>
      </c>
      <c r="BU47" s="1063"/>
      <c r="BV47" s="1060">
        <v>23456999</v>
      </c>
      <c r="BW47" s="1059"/>
      <c r="BX47" s="1060">
        <v>22674946</v>
      </c>
      <c r="BY47" s="1306"/>
      <c r="BZ47" s="160">
        <f t="shared" si="10"/>
        <v>-3.3339857327870481E-2</v>
      </c>
      <c r="CA47" s="1039"/>
      <c r="CC47" s="1036"/>
      <c r="CD47" s="1036"/>
      <c r="CE47" s="1036"/>
      <c r="CF47" s="1036"/>
      <c r="CG47" s="1036"/>
      <c r="CH47" s="1036"/>
      <c r="CI47" s="1036"/>
      <c r="CJ47" s="1036"/>
      <c r="CK47" s="1036"/>
    </row>
    <row r="48" spans="1:89" s="957" customFormat="1" ht="15" customHeight="1">
      <c r="A48" s="1637" t="s">
        <v>1143</v>
      </c>
      <c r="B48" s="1637" t="s">
        <v>1144</v>
      </c>
      <c r="C48" s="970">
        <v>24</v>
      </c>
      <c r="D48" s="1057" t="s">
        <v>1142</v>
      </c>
      <c r="E48" s="1089"/>
      <c r="F48" s="1059"/>
      <c r="G48" s="1059" t="s">
        <v>397</v>
      </c>
      <c r="H48" s="1062" t="s">
        <v>230</v>
      </c>
      <c r="I48" s="1061">
        <v>2</v>
      </c>
      <c r="J48" s="1304">
        <f t="shared" si="19"/>
        <v>0.99916149726259107</v>
      </c>
      <c r="K48" s="1403">
        <f>AVERAGE(BW48,BQ48,BK48,BE48,AY48,AS48,AM48,AG48,AA48,U48)</f>
        <v>2</v>
      </c>
      <c r="L48" s="1304">
        <f t="shared" si="20"/>
        <v>0.99677093384207627</v>
      </c>
      <c r="M48" s="1403">
        <f>AVERAGE(BY48,BS48,BM48,BG48,BA48,AU48,AO48,AI48,AC48,W48)</f>
        <v>2</v>
      </c>
      <c r="N48" s="1403">
        <f t="shared" si="13"/>
        <v>0</v>
      </c>
      <c r="O48" s="1350">
        <f t="shared" si="21"/>
        <v>0</v>
      </c>
      <c r="P48" s="1350">
        <f t="shared" si="14"/>
        <v>0</v>
      </c>
      <c r="Q48" s="1350">
        <f t="shared" si="15"/>
        <v>0</v>
      </c>
      <c r="R48" s="1350">
        <f t="shared" si="16"/>
        <v>0</v>
      </c>
      <c r="S48" s="1063"/>
      <c r="T48" s="1272">
        <v>1</v>
      </c>
      <c r="U48" s="1275">
        <f>IF(T48&gt;=0.95,2,IF(T48&gt;=0.9,1,0))</f>
        <v>2</v>
      </c>
      <c r="V48" s="1272">
        <f>IF(SUM(V50:V51)=0,"",V49/SUM(V50:V51))</f>
        <v>0.99737532808398954</v>
      </c>
      <c r="W48" s="1275">
        <f>IF(V48&gt;=0.95,2,IF(V48&gt;=0.9,1,0))</f>
        <v>2</v>
      </c>
      <c r="X48" s="160">
        <f t="shared" si="1"/>
        <v>-2.624671916010457E-3</v>
      </c>
      <c r="Y48" s="1063"/>
      <c r="Z48" s="1272">
        <v>0.99842470069313172</v>
      </c>
      <c r="AA48" s="1059">
        <f>IF(Z48&gt;=0.95,2,IF(Z48&gt;=0.9,1,0))</f>
        <v>2</v>
      </c>
      <c r="AB48" s="1272">
        <f>IF(SUM(AB50:AB51)=0,"",AB49/SUM(AB50:AB51))</f>
        <v>0.99687304565353341</v>
      </c>
      <c r="AC48" s="1306">
        <f>IF(AB48&gt;=0.95,2,IF(AB48&gt;=0.9,1,0))</f>
        <v>2</v>
      </c>
      <c r="AD48" s="160">
        <f t="shared" si="2"/>
        <v>-1.5541032173193026E-3</v>
      </c>
      <c r="AE48" s="1063"/>
      <c r="AF48" s="1272">
        <v>0.99979419633669475</v>
      </c>
      <c r="AG48" s="1059">
        <f>IF(AF48&gt;=0.95,2,IF(AF48&gt;=0.9,1,0))</f>
        <v>2</v>
      </c>
      <c r="AH48" s="1272">
        <f>IF(SUM(AH50:AH51)=0,"",AH49/SUM(AH50:AH51))</f>
        <v>0.99560693641618492</v>
      </c>
      <c r="AI48" s="1306">
        <f>IF(AH48&gt;=0.95,2,IF(AH48&gt;=0.9,1,0))</f>
        <v>2</v>
      </c>
      <c r="AJ48" s="160">
        <f t="shared" si="3"/>
        <v>-4.1881218513292184E-3</v>
      </c>
      <c r="AK48" s="1063"/>
      <c r="AL48" s="1272">
        <v>0.99924414210128498</v>
      </c>
      <c r="AM48" s="1059">
        <f>IF(AL48&gt;=0.95,2,IF(AL48&gt;=0.9,1,0))</f>
        <v>2</v>
      </c>
      <c r="AN48" s="1272">
        <f>IF(SUM(AN50:AN51)=0,"",AN49/SUM(AN50:AN51))</f>
        <v>1</v>
      </c>
      <c r="AO48" s="1306">
        <f>IF(AN48&gt;=0.95,2,IF(AN48&gt;=0.9,1,0))</f>
        <v>2</v>
      </c>
      <c r="AP48" s="160">
        <f t="shared" si="4"/>
        <v>7.5642965204236745E-4</v>
      </c>
      <c r="AQ48" s="1063"/>
      <c r="AR48" s="1272">
        <v>0.99977846699158179</v>
      </c>
      <c r="AS48" s="1059">
        <f>IF(AR48&gt;=0.95,2,IF(AR48&gt;=0.9,1,0))</f>
        <v>2</v>
      </c>
      <c r="AT48" s="1272">
        <f>IF(SUM(AT50:AT51)=0,"",AT49/SUM(AT50:AT51))</f>
        <v>0.99405531144998704</v>
      </c>
      <c r="AU48" s="1306">
        <f>IF(AT48&gt;=0.95,2,IF(AT48&gt;=0.9,1,0))</f>
        <v>2</v>
      </c>
      <c r="AV48" s="160">
        <f t="shared" si="5"/>
        <v>-5.7244236903963852E-3</v>
      </c>
      <c r="AW48" s="1063"/>
      <c r="AX48" s="1272">
        <v>0.99975579975579976</v>
      </c>
      <c r="AY48" s="1059">
        <f>IF(AX48&gt;=0.95,2,IF(AX48&gt;=0.9,1,0))</f>
        <v>2</v>
      </c>
      <c r="AZ48" s="1272">
        <f>IF(SUM(AZ50:AZ51)=0,"",AZ49/SUM(AZ50:AZ51))</f>
        <v>0.99669966996699666</v>
      </c>
      <c r="BA48" s="1306">
        <f>IF(AZ48&gt;=0.95,2,IF(AZ48&gt;=0.9,1,0))</f>
        <v>2</v>
      </c>
      <c r="BB48" s="160">
        <f t="shared" si="6"/>
        <v>-3.0568762787368531E-3</v>
      </c>
      <c r="BC48" s="1063"/>
      <c r="BD48" s="1272">
        <v>0.99735449735449733</v>
      </c>
      <c r="BE48" s="1059">
        <f>IF(BD48&gt;=0.95,2,IF(BD48&gt;=0.9,1,0))</f>
        <v>2</v>
      </c>
      <c r="BF48" s="1272">
        <f>IF(SUM(BF50:BF51)=0,"",BF49/SUM(BF50:BF51))</f>
        <v>1</v>
      </c>
      <c r="BG48" s="1306">
        <f>IF(BF48&gt;=0.95,2,IF(BF48&gt;=0.9,1,0))</f>
        <v>2</v>
      </c>
      <c r="BH48" s="160">
        <f t="shared" si="7"/>
        <v>2.6525198938991412E-3</v>
      </c>
      <c r="BI48" s="1063"/>
      <c r="BJ48" s="1272">
        <v>0.99942179820757449</v>
      </c>
      <c r="BK48" s="1059">
        <f>IF(BJ48&gt;=0.95,2,IF(BJ48&gt;=0.9,1,0))</f>
        <v>2</v>
      </c>
      <c r="BL48" s="1272">
        <f>IF(SUM(BL50:BL51)=0,"",BL49/SUM(BL50:BL51))</f>
        <v>0.99477886977886976</v>
      </c>
      <c r="BM48" s="1306">
        <f>IF(BL48&gt;=0.95,2,IF(BL48&gt;=0.9,1,0))</f>
        <v>2</v>
      </c>
      <c r="BN48" s="160">
        <f t="shared" si="8"/>
        <v>-4.6456145313537034E-3</v>
      </c>
      <c r="BO48" s="1063"/>
      <c r="BP48" s="1272">
        <v>0.99863945578231295</v>
      </c>
      <c r="BQ48" s="1059">
        <f>IF(BP48&gt;=0.95,2,IF(BP48&gt;=0.9,1,0))</f>
        <v>2</v>
      </c>
      <c r="BR48" s="1272">
        <f>IF(SUM(BR50:BR51)=0,"",BR49/SUM(BR50:BR51))</f>
        <v>0.99875621890547261</v>
      </c>
      <c r="BS48" s="1306">
        <f>IF(BR48&gt;=0.95,2,IF(BR48&gt;=0.9,1,0))</f>
        <v>2</v>
      </c>
      <c r="BT48" s="160">
        <f t="shared" si="9"/>
        <v>1.169222009840265E-4</v>
      </c>
      <c r="BU48" s="1063"/>
      <c r="BV48" s="1272">
        <v>0.99920191540303271</v>
      </c>
      <c r="BW48" s="1059">
        <f>IF(BV48&gt;=0.95,2,IF(BV48&gt;=0.9,1,0))</f>
        <v>2</v>
      </c>
      <c r="BX48" s="1272">
        <f>IF(SUM(BX50:BX51)=0,"",BX49/SUM(BX50:BX51))</f>
        <v>0.99356395816572807</v>
      </c>
      <c r="BY48" s="1306">
        <f>IF(BX48&gt;=0.95,2,IF(BX48&gt;=0.9,1,0))</f>
        <v>2</v>
      </c>
      <c r="BZ48" s="160">
        <f t="shared" si="10"/>
        <v>-5.6424603980372856E-3</v>
      </c>
      <c r="CA48" s="1039"/>
      <c r="CC48" s="1036"/>
      <c r="CD48" s="1036"/>
      <c r="CE48" s="1036"/>
      <c r="CF48" s="1036"/>
      <c r="CG48" s="1036"/>
      <c r="CH48" s="1036"/>
      <c r="CI48" s="1036"/>
      <c r="CJ48" s="1036"/>
      <c r="CK48" s="1036"/>
    </row>
    <row r="49" spans="1:89" s="957" customFormat="1" ht="14.25">
      <c r="A49" s="1637"/>
      <c r="B49" s="1638"/>
      <c r="C49" s="984">
        <v>24.1</v>
      </c>
      <c r="D49" s="1302" t="s">
        <v>2201</v>
      </c>
      <c r="E49" s="1066" t="s">
        <v>1120</v>
      </c>
      <c r="F49" s="1090" t="s">
        <v>1145</v>
      </c>
      <c r="G49" s="1073"/>
      <c r="H49" s="1062"/>
      <c r="I49" s="1073"/>
      <c r="J49" s="1062">
        <f t="shared" si="19"/>
        <v>2492.1999999999998</v>
      </c>
      <c r="K49" s="1403"/>
      <c r="L49" s="1062">
        <f t="shared" si="20"/>
        <v>2327.6999999999998</v>
      </c>
      <c r="M49" s="1403"/>
      <c r="N49" s="1403">
        <f t="shared" si="13"/>
        <v>0</v>
      </c>
      <c r="O49" s="1350">
        <f t="shared" si="21"/>
        <v>0</v>
      </c>
      <c r="P49" s="1350">
        <f t="shared" si="14"/>
        <v>0</v>
      </c>
      <c r="Q49" s="1350">
        <f t="shared" si="15"/>
        <v>0</v>
      </c>
      <c r="R49" s="1350">
        <f t="shared" si="16"/>
        <v>0</v>
      </c>
      <c r="S49" s="1063"/>
      <c r="T49" s="1060">
        <v>769</v>
      </c>
      <c r="U49" s="1275"/>
      <c r="V49" s="1060">
        <v>760</v>
      </c>
      <c r="W49" s="1275"/>
      <c r="X49" s="160">
        <f t="shared" si="1"/>
        <v>-1.1703511053316018E-2</v>
      </c>
      <c r="Y49" s="1063"/>
      <c r="Z49" s="1060">
        <v>3169</v>
      </c>
      <c r="AA49" s="1059"/>
      <c r="AB49" s="1060">
        <v>3188</v>
      </c>
      <c r="AC49" s="1306"/>
      <c r="AD49" s="160">
        <f t="shared" si="2"/>
        <v>5.9955822025876682E-3</v>
      </c>
      <c r="AE49" s="1063"/>
      <c r="AF49" s="984">
        <v>4858</v>
      </c>
      <c r="AG49" s="1059"/>
      <c r="AH49" s="984">
        <v>4306</v>
      </c>
      <c r="AI49" s="1306"/>
      <c r="AJ49" s="160">
        <f t="shared" si="3"/>
        <v>-0.11362700699876493</v>
      </c>
      <c r="AK49" s="1063"/>
      <c r="AL49" s="984">
        <v>1322</v>
      </c>
      <c r="AM49" s="1059"/>
      <c r="AN49" s="984">
        <v>1182</v>
      </c>
      <c r="AO49" s="1306"/>
      <c r="AP49" s="160">
        <f t="shared" si="4"/>
        <v>-0.10590015128593044</v>
      </c>
      <c r="AQ49" s="1063"/>
      <c r="AR49" s="1060">
        <v>4513</v>
      </c>
      <c r="AS49" s="1059"/>
      <c r="AT49" s="1060">
        <v>3846</v>
      </c>
      <c r="AU49" s="1306"/>
      <c r="AV49" s="160">
        <f t="shared" si="5"/>
        <v>-0.14779525814314198</v>
      </c>
      <c r="AW49" s="1063"/>
      <c r="AX49" s="984">
        <v>4094</v>
      </c>
      <c r="AY49" s="1059"/>
      <c r="AZ49" s="984">
        <v>3926</v>
      </c>
      <c r="BA49" s="1306"/>
      <c r="BB49" s="160">
        <f t="shared" si="6"/>
        <v>-4.1035661944308743E-2</v>
      </c>
      <c r="BC49" s="1063"/>
      <c r="BD49" s="984">
        <v>754</v>
      </c>
      <c r="BE49" s="1059"/>
      <c r="BF49" s="984">
        <v>792</v>
      </c>
      <c r="BG49" s="1306"/>
      <c r="BH49" s="160">
        <f t="shared" si="7"/>
        <v>5.0397877984084793E-2</v>
      </c>
      <c r="BI49" s="1063"/>
      <c r="BJ49" s="984">
        <v>3457</v>
      </c>
      <c r="BK49" s="1059"/>
      <c r="BL49" s="984">
        <v>3239</v>
      </c>
      <c r="BM49" s="1306"/>
      <c r="BN49" s="160">
        <f t="shared" si="8"/>
        <v>-6.3060457043679463E-2</v>
      </c>
      <c r="BO49" s="1063"/>
      <c r="BP49" s="984">
        <v>734</v>
      </c>
      <c r="BQ49" s="1059"/>
      <c r="BR49" s="984">
        <v>803</v>
      </c>
      <c r="BS49" s="1306"/>
      <c r="BT49" s="160">
        <f t="shared" si="9"/>
        <v>9.4005449591280543E-2</v>
      </c>
      <c r="BU49" s="1063"/>
      <c r="BV49" s="984">
        <v>1252</v>
      </c>
      <c r="BW49" s="1059"/>
      <c r="BX49" s="984">
        <v>1235</v>
      </c>
      <c r="BY49" s="1306"/>
      <c r="BZ49" s="160">
        <f t="shared" si="10"/>
        <v>-1.3578274760383424E-2</v>
      </c>
      <c r="CA49" s="1039"/>
      <c r="CC49" s="1036"/>
      <c r="CD49" s="1036"/>
      <c r="CE49" s="1036"/>
      <c r="CF49" s="1036"/>
      <c r="CG49" s="1036"/>
      <c r="CH49" s="1036"/>
      <c r="CI49" s="1036"/>
      <c r="CJ49" s="1036"/>
      <c r="CK49" s="1036"/>
    </row>
    <row r="50" spans="1:89" s="957" customFormat="1" ht="14.25">
      <c r="A50" s="1637"/>
      <c r="B50" s="1638"/>
      <c r="C50" s="984">
        <v>24.2</v>
      </c>
      <c r="D50" s="1302" t="s">
        <v>2176</v>
      </c>
      <c r="E50" s="1066" t="s">
        <v>1120</v>
      </c>
      <c r="F50" s="1090" t="s">
        <v>1145</v>
      </c>
      <c r="G50" s="1073"/>
      <c r="H50" s="1062"/>
      <c r="I50" s="1073"/>
      <c r="J50" s="1062">
        <f t="shared" si="19"/>
        <v>1.9</v>
      </c>
      <c r="K50" s="1403"/>
      <c r="L50" s="1062">
        <f t="shared" si="20"/>
        <v>2.9</v>
      </c>
      <c r="M50" s="1403"/>
      <c r="N50" s="1403">
        <f t="shared" si="13"/>
        <v>0</v>
      </c>
      <c r="O50" s="1350">
        <f t="shared" si="21"/>
        <v>0</v>
      </c>
      <c r="P50" s="1350">
        <f t="shared" si="14"/>
        <v>0</v>
      </c>
      <c r="Q50" s="1350">
        <f t="shared" si="15"/>
        <v>0</v>
      </c>
      <c r="R50" s="1350">
        <f t="shared" si="16"/>
        <v>0</v>
      </c>
      <c r="S50" s="1063"/>
      <c r="T50" s="1060">
        <v>0</v>
      </c>
      <c r="U50" s="1275"/>
      <c r="V50" s="1060">
        <v>0</v>
      </c>
      <c r="W50" s="1275"/>
      <c r="X50" s="160">
        <f t="shared" si="1"/>
        <v>0</v>
      </c>
      <c r="Y50" s="1063"/>
      <c r="Z50" s="1060">
        <v>5</v>
      </c>
      <c r="AA50" s="1059"/>
      <c r="AB50" s="1060">
        <v>5</v>
      </c>
      <c r="AC50" s="1306"/>
      <c r="AD50" s="160">
        <f t="shared" si="2"/>
        <v>0</v>
      </c>
      <c r="AE50" s="1063"/>
      <c r="AF50" s="984">
        <v>1</v>
      </c>
      <c r="AG50" s="1059"/>
      <c r="AH50" s="984">
        <v>3</v>
      </c>
      <c r="AI50" s="1306"/>
      <c r="AJ50" s="160">
        <f t="shared" si="3"/>
        <v>2</v>
      </c>
      <c r="AK50" s="1063"/>
      <c r="AL50" s="984">
        <v>2</v>
      </c>
      <c r="AM50" s="1059"/>
      <c r="AN50" s="984">
        <v>2</v>
      </c>
      <c r="AO50" s="1306"/>
      <c r="AP50" s="160">
        <f t="shared" si="4"/>
        <v>0</v>
      </c>
      <c r="AQ50" s="1063"/>
      <c r="AR50" s="1060">
        <v>0</v>
      </c>
      <c r="AS50" s="1059"/>
      <c r="AT50" s="1060">
        <v>3</v>
      </c>
      <c r="AU50" s="1306"/>
      <c r="AV50" s="160">
        <f t="shared" si="5"/>
        <v>1</v>
      </c>
      <c r="AW50" s="1063"/>
      <c r="AX50" s="984">
        <v>3</v>
      </c>
      <c r="AY50" s="1059"/>
      <c r="AZ50" s="984">
        <v>4</v>
      </c>
      <c r="BA50" s="1306"/>
      <c r="BB50" s="160">
        <f t="shared" si="6"/>
        <v>0.33333333333333326</v>
      </c>
      <c r="BC50" s="1063"/>
      <c r="BD50" s="984">
        <v>2</v>
      </c>
      <c r="BE50" s="1059"/>
      <c r="BF50" s="984">
        <v>3</v>
      </c>
      <c r="BG50" s="1306"/>
      <c r="BH50" s="160">
        <f t="shared" si="7"/>
        <v>0.5</v>
      </c>
      <c r="BI50" s="1063"/>
      <c r="BJ50" s="984">
        <v>2</v>
      </c>
      <c r="BK50" s="1059"/>
      <c r="BL50" s="984">
        <v>5</v>
      </c>
      <c r="BM50" s="1306"/>
      <c r="BN50" s="160">
        <f t="shared" si="8"/>
        <v>1.5</v>
      </c>
      <c r="BO50" s="1063"/>
      <c r="BP50" s="984">
        <v>3</v>
      </c>
      <c r="BQ50" s="1059"/>
      <c r="BR50" s="984">
        <v>2</v>
      </c>
      <c r="BS50" s="1306"/>
      <c r="BT50" s="160">
        <f t="shared" si="9"/>
        <v>-0.33333333333333337</v>
      </c>
      <c r="BU50" s="1063"/>
      <c r="BV50" s="984">
        <v>1</v>
      </c>
      <c r="BW50" s="1059"/>
      <c r="BX50" s="984">
        <v>2</v>
      </c>
      <c r="BY50" s="1306"/>
      <c r="BZ50" s="160">
        <f t="shared" si="10"/>
        <v>1</v>
      </c>
      <c r="CA50" s="1039"/>
      <c r="CC50" s="1036"/>
      <c r="CD50" s="1036"/>
      <c r="CE50" s="1036"/>
      <c r="CF50" s="1036"/>
      <c r="CG50" s="1036"/>
      <c r="CH50" s="1036"/>
      <c r="CI50" s="1036"/>
      <c r="CJ50" s="1036"/>
      <c r="CK50" s="1036"/>
    </row>
    <row r="51" spans="1:89" s="957" customFormat="1" ht="14.25">
      <c r="A51" s="1637"/>
      <c r="B51" s="1638"/>
      <c r="C51" s="984">
        <v>24.3</v>
      </c>
      <c r="D51" s="1302" t="s">
        <v>2202</v>
      </c>
      <c r="E51" s="1066" t="s">
        <v>1120</v>
      </c>
      <c r="F51" s="1090" t="s">
        <v>1145</v>
      </c>
      <c r="G51" s="1073"/>
      <c r="H51" s="1062"/>
      <c r="I51" s="1073"/>
      <c r="J51" s="1062">
        <f t="shared" si="19"/>
        <v>2491.8000000000002</v>
      </c>
      <c r="K51" s="1403"/>
      <c r="L51" s="1062">
        <f t="shared" si="20"/>
        <v>2334.1</v>
      </c>
      <c r="M51" s="1403"/>
      <c r="N51" s="1403">
        <f t="shared" si="13"/>
        <v>0</v>
      </c>
      <c r="O51" s="1350">
        <f t="shared" si="21"/>
        <v>0</v>
      </c>
      <c r="P51" s="1350">
        <f t="shared" si="14"/>
        <v>0</v>
      </c>
      <c r="Q51" s="1350">
        <f t="shared" si="15"/>
        <v>0</v>
      </c>
      <c r="R51" s="1350">
        <f t="shared" si="16"/>
        <v>0</v>
      </c>
      <c r="S51" s="1063"/>
      <c r="T51" s="1060">
        <v>769</v>
      </c>
      <c r="U51" s="1275"/>
      <c r="V51" s="1060">
        <v>762</v>
      </c>
      <c r="W51" s="1275"/>
      <c r="X51" s="160">
        <f t="shared" si="1"/>
        <v>-9.1027308192457301E-3</v>
      </c>
      <c r="Y51" s="1063"/>
      <c r="Z51" s="1060">
        <v>3169</v>
      </c>
      <c r="AA51" s="1059"/>
      <c r="AB51" s="1060">
        <v>3193</v>
      </c>
      <c r="AC51" s="1306"/>
      <c r="AD51" s="160">
        <f t="shared" si="2"/>
        <v>7.5733669927422476E-3</v>
      </c>
      <c r="AE51" s="1063"/>
      <c r="AF51" s="984">
        <v>4858</v>
      </c>
      <c r="AG51" s="1059"/>
      <c r="AH51" s="984">
        <v>4322</v>
      </c>
      <c r="AI51" s="1306"/>
      <c r="AJ51" s="160">
        <f t="shared" si="3"/>
        <v>-0.1103334705640181</v>
      </c>
      <c r="AK51" s="1063"/>
      <c r="AL51" s="984">
        <v>1321</v>
      </c>
      <c r="AM51" s="1059"/>
      <c r="AN51" s="984">
        <v>1180</v>
      </c>
      <c r="AO51" s="1306"/>
      <c r="AP51" s="160">
        <f t="shared" si="4"/>
        <v>-0.10673732021196058</v>
      </c>
      <c r="AQ51" s="1063"/>
      <c r="AR51" s="1060">
        <v>4514</v>
      </c>
      <c r="AS51" s="1059"/>
      <c r="AT51" s="1060">
        <v>3866</v>
      </c>
      <c r="AU51" s="1306"/>
      <c r="AV51" s="160">
        <f t="shared" si="5"/>
        <v>-0.14355338945502882</v>
      </c>
      <c r="AW51" s="1063"/>
      <c r="AX51" s="984">
        <v>4092</v>
      </c>
      <c r="AY51" s="1059"/>
      <c r="AZ51" s="984">
        <v>3935</v>
      </c>
      <c r="BA51" s="1306"/>
      <c r="BB51" s="160">
        <f t="shared" si="6"/>
        <v>-3.8367546432062527E-2</v>
      </c>
      <c r="BC51" s="1063"/>
      <c r="BD51" s="984">
        <v>754</v>
      </c>
      <c r="BE51" s="1059"/>
      <c r="BF51" s="984">
        <v>789</v>
      </c>
      <c r="BG51" s="1306"/>
      <c r="BH51" s="160">
        <f t="shared" si="7"/>
        <v>4.6419098143235971E-2</v>
      </c>
      <c r="BI51" s="1063"/>
      <c r="BJ51" s="984">
        <v>3457</v>
      </c>
      <c r="BK51" s="1059"/>
      <c r="BL51" s="984">
        <v>3251</v>
      </c>
      <c r="BM51" s="1306"/>
      <c r="BN51" s="160">
        <f t="shared" si="8"/>
        <v>-5.9589239224761337E-2</v>
      </c>
      <c r="BO51" s="1063"/>
      <c r="BP51" s="984">
        <v>732</v>
      </c>
      <c r="BQ51" s="1059"/>
      <c r="BR51" s="984">
        <v>802</v>
      </c>
      <c r="BS51" s="1306"/>
      <c r="BT51" s="160">
        <f t="shared" si="9"/>
        <v>9.5628415300546443E-2</v>
      </c>
      <c r="BU51" s="1063"/>
      <c r="BV51" s="984">
        <v>1252</v>
      </c>
      <c r="BW51" s="1059"/>
      <c r="BX51" s="984">
        <v>1241</v>
      </c>
      <c r="BY51" s="1306"/>
      <c r="BZ51" s="160">
        <f t="shared" si="10"/>
        <v>-8.7859424920128104E-3</v>
      </c>
      <c r="CA51" s="1039"/>
      <c r="CC51" s="1036"/>
      <c r="CD51" s="1036"/>
      <c r="CE51" s="1036"/>
      <c r="CF51" s="1036"/>
      <c r="CG51" s="1036"/>
      <c r="CH51" s="1036"/>
      <c r="CI51" s="1036"/>
      <c r="CJ51" s="1036"/>
      <c r="CK51" s="1036"/>
    </row>
    <row r="52" spans="1:89" s="957" customFormat="1" ht="14.25">
      <c r="A52" s="1637" t="s">
        <v>1146</v>
      </c>
      <c r="B52" s="1637" t="s">
        <v>2489</v>
      </c>
      <c r="C52" s="970">
        <v>25</v>
      </c>
      <c r="D52" s="1104" t="s">
        <v>1729</v>
      </c>
      <c r="E52" s="1089"/>
      <c r="F52" s="1064"/>
      <c r="G52" s="1059" t="s">
        <v>397</v>
      </c>
      <c r="H52" s="1062" t="s">
        <v>230</v>
      </c>
      <c r="I52" s="1061">
        <v>3</v>
      </c>
      <c r="J52" s="1304">
        <f t="shared" si="19"/>
        <v>4.980712566176819E-2</v>
      </c>
      <c r="K52" s="1402">
        <f>AVERAGE(BW52,BQ52,BK52,BE52,AY52,AS52,AM52,AG52,AA52,U52)</f>
        <v>2.4</v>
      </c>
      <c r="L52" s="1304">
        <f>AVERAGE(BX52,BR52,BL52,BF52,AZ52,AT52,AN52,AH52,AB52,V52)</f>
        <v>4.6788749594102799E-2</v>
      </c>
      <c r="M52" s="1402">
        <f>AVERAGE(BY52,BS52,BM52,BG52,BA52,AU52,AO52,AI52,AC52,W52)</f>
        <v>2.5499999999999998</v>
      </c>
      <c r="N52" s="1413">
        <f>M52-K52</f>
        <v>0.14999999999999991</v>
      </c>
      <c r="O52" s="1350">
        <f t="shared" si="21"/>
        <v>0.45000000000000018</v>
      </c>
      <c r="P52" s="1350">
        <f t="shared" si="14"/>
        <v>0.31500000000000011</v>
      </c>
      <c r="Q52" s="1350">
        <f t="shared" si="15"/>
        <v>3.500000000000001E-2</v>
      </c>
      <c r="R52" s="1350">
        <f t="shared" si="16"/>
        <v>1.7500000000000005E-2</v>
      </c>
      <c r="S52" s="1063"/>
      <c r="T52" s="1272">
        <v>1.7978523110469814E-2</v>
      </c>
      <c r="U52" s="1275">
        <f>IF(T52&lt;=0.05,3,IF(T52&lt;=0.1,1.5,0))</f>
        <v>3</v>
      </c>
      <c r="V52" s="1272">
        <f>IF(SUM(V55:V56)=0,"",SUM(V53:V54)/SUM(V55:V56))</f>
        <v>3.5763893413306547E-2</v>
      </c>
      <c r="W52" s="1275">
        <f>IF(V52&lt;=0.05,3,IF(V52&lt;=0.1,1.5,0))</f>
        <v>3</v>
      </c>
      <c r="X52" s="160">
        <f t="shared" si="1"/>
        <v>0.9892564697085382</v>
      </c>
      <c r="Y52" s="1063"/>
      <c r="Z52" s="1272">
        <v>3.1875215990425365E-2</v>
      </c>
      <c r="AA52" s="1059">
        <f>IF(Z52&lt;=0.05,3,IF(Z52&lt;=0.1,1.5,0))</f>
        <v>3</v>
      </c>
      <c r="AB52" s="1272">
        <f>IF(SUM(AB55:AB56)=0,"",SUM(AB53:AB54)/SUM(AB55:AB56))</f>
        <v>4.8879695494657975E-2</v>
      </c>
      <c r="AC52" s="1306">
        <f>IF(AB52&lt;=0.05,3,IF(AB52&lt;=0.1,1.5,0))</f>
        <v>3</v>
      </c>
      <c r="AD52" s="160">
        <f t="shared" si="2"/>
        <v>0.5334702519142267</v>
      </c>
      <c r="AE52" s="1063"/>
      <c r="AF52" s="1272">
        <v>0.10547391524650392</v>
      </c>
      <c r="AG52" s="1059">
        <f>IF(AF52&lt;=0.05,3,IF(AF52&lt;=0.1,1.5,0))</f>
        <v>0</v>
      </c>
      <c r="AH52" s="1272">
        <f>IF(SUM(AH55:AH56)=0,"",SUM(AH53:AH54)/SUM(AH55:AH56))</f>
        <v>4.7079193824027477E-2</v>
      </c>
      <c r="AI52" s="1306">
        <f>IF(AH52&lt;=0.05,3,IF(AH52&lt;=0.1,1.5,0))</f>
        <v>3</v>
      </c>
      <c r="AJ52" s="160">
        <f>IF(AND(AF52=0,AH52&lt;&gt;0),1,IF(AND(AF52=0,AH52=0),0,AH52/AF52-1))</f>
        <v>-0.55364135564704964</v>
      </c>
      <c r="AK52" s="1063"/>
      <c r="AL52" s="1272">
        <v>8.0480325328334282E-2</v>
      </c>
      <c r="AM52" s="1059">
        <f>IF(AL52&lt;=0.05,3,IF(AL52&lt;=0.1,1.5,0))</f>
        <v>1.5</v>
      </c>
      <c r="AN52" s="1272">
        <f>IF(SUM(AN55:AN56)=0,"",SUM(AN53:AN54)/SUM(AN55:AN56))</f>
        <v>7.9048459104635455E-2</v>
      </c>
      <c r="AO52" s="1306">
        <f>IF(AN52&lt;=0.05,3,IF(AN52&lt;=0.1,1.5,0))</f>
        <v>1.5</v>
      </c>
      <c r="AP52" s="160">
        <f t="shared" si="4"/>
        <v>-1.77915064067804E-2</v>
      </c>
      <c r="AQ52" s="1063"/>
      <c r="AR52" s="1272">
        <v>2.888453286745658E-2</v>
      </c>
      <c r="AS52" s="1059">
        <f>IF(AR52&lt;=0.05,3,IF(AR52&lt;=0.1,1.5,0))</f>
        <v>3</v>
      </c>
      <c r="AT52" s="1272">
        <f>IF(SUM(AT55:AT56)=0,"",SUM(AT53:AT54)/SUM(AT55:AT56))</f>
        <v>3.3693247213814295E-2</v>
      </c>
      <c r="AU52" s="1306">
        <f>IF(AT52&lt;=0.05,3,IF(AT52&lt;=0.1,1.5,0))</f>
        <v>3</v>
      </c>
      <c r="AV52" s="160">
        <f t="shared" si="5"/>
        <v>0.16648059944135585</v>
      </c>
      <c r="AW52" s="1063"/>
      <c r="AX52" s="1272">
        <v>4.8782095857624184E-2</v>
      </c>
      <c r="AY52" s="1059">
        <f>IF(AX52&lt;=0.05,3,IF(AX52&lt;=0.1,1.5,0))</f>
        <v>3</v>
      </c>
      <c r="AZ52" s="1272">
        <f>IF(SUM(AZ55:AZ56)=0,"",SUM(AZ53:AZ54)/SUM(AZ55:AZ56))</f>
        <v>4.1464816920186526E-2</v>
      </c>
      <c r="BA52" s="1306">
        <f>IF(AZ52&lt;=0.05,3,IF(AZ52&lt;=0.1,1.5,0))</f>
        <v>3</v>
      </c>
      <c r="BB52" s="160">
        <f t="shared" si="6"/>
        <v>-0.14999927347922748</v>
      </c>
      <c r="BC52" s="1063"/>
      <c r="BD52" s="1272">
        <v>4.7199964821860473E-2</v>
      </c>
      <c r="BE52" s="1059">
        <f>IF(BD52&lt;=0.05,3,IF(BD52&lt;=0.1,1.5,0))</f>
        <v>3</v>
      </c>
      <c r="BF52" s="1272">
        <f>IF(SUM(BF55:BF56)=0,"",SUM(BF53:BF54)/SUM(BF55:BF56))</f>
        <v>2.8312449581565022E-2</v>
      </c>
      <c r="BG52" s="1306">
        <f>IF(BF52&lt;=0.05,3,IF(BF52&lt;=0.1,1.5,0))</f>
        <v>3</v>
      </c>
      <c r="BH52" s="160">
        <f t="shared" si="7"/>
        <v>-0.40015951943141648</v>
      </c>
      <c r="BI52" s="1063"/>
      <c r="BJ52" s="1272">
        <v>4.035658998367056E-2</v>
      </c>
      <c r="BK52" s="1059">
        <f>IF(BJ52&lt;=0.05,3,IF(BJ52&lt;=0.1,1.5,0))</f>
        <v>3</v>
      </c>
      <c r="BL52" s="1272">
        <f>IF(SUM(BL55:BL56)=0,"",SUM(BL53:BL54)/SUM(BL55:BL56))</f>
        <v>5.017657873706443E-2</v>
      </c>
      <c r="BM52" s="1306">
        <f>IF(BL52&lt;=0.05,3,IF(BL52&lt;=0.1,1.5,0))</f>
        <v>1.5</v>
      </c>
      <c r="BN52" s="160">
        <f t="shared" si="8"/>
        <v>0.24333048846216498</v>
      </c>
      <c r="BO52" s="1063"/>
      <c r="BP52" s="1272">
        <v>5.008876150610328E-2</v>
      </c>
      <c r="BQ52" s="1059">
        <f>IF(BP52&lt;=0.05,3,IF(BP52&lt;=0.1,1.5,0))</f>
        <v>1.5</v>
      </c>
      <c r="BR52" s="1272">
        <f>IF(SUM(BR55:BR56)=0,"",SUM(BR53:BR54)/SUM(BR55:BR56))</f>
        <v>4.913458035960163E-2</v>
      </c>
      <c r="BS52" s="1306">
        <f>IF(BR52&lt;=0.05,3,IF(BR52&lt;=0.1,1.5,0))</f>
        <v>3</v>
      </c>
      <c r="BT52" s="160">
        <f t="shared" si="9"/>
        <v>-1.9049805142125176E-2</v>
      </c>
      <c r="BU52" s="1063"/>
      <c r="BV52" s="1272">
        <v>4.6951331905233408E-2</v>
      </c>
      <c r="BW52" s="1059">
        <f>IF(BV52&lt;=0.05,3,IF(BV52&lt;=0.1,1.5,0))</f>
        <v>3</v>
      </c>
      <c r="BX52" s="1272">
        <f>IF(SUM(BX55:BX56)=0,"",SUM(BX53:BX54)/SUM(BX55:BX56))</f>
        <v>5.4334581292168595E-2</v>
      </c>
      <c r="BY52" s="1306">
        <f>IF(BX52&lt;=0.05,3,IF(BX52&lt;=0.1,1.5,0))</f>
        <v>1.5</v>
      </c>
      <c r="BZ52" s="160">
        <f t="shared" si="10"/>
        <v>0.15725324686928022</v>
      </c>
      <c r="CA52" s="1039"/>
      <c r="CC52" s="1036"/>
      <c r="CD52" s="1036"/>
      <c r="CE52" s="1036"/>
      <c r="CF52" s="1036"/>
      <c r="CG52" s="1036"/>
      <c r="CH52" s="1036"/>
      <c r="CI52" s="1036"/>
      <c r="CJ52" s="1036"/>
      <c r="CK52" s="1036"/>
    </row>
    <row r="53" spans="1:89" s="957" customFormat="1" ht="16.5" customHeight="1">
      <c r="A53" s="1637"/>
      <c r="B53" s="1638"/>
      <c r="C53" s="984">
        <v>25.1</v>
      </c>
      <c r="D53" s="1065" t="s">
        <v>1147</v>
      </c>
      <c r="E53" s="1066" t="s">
        <v>206</v>
      </c>
      <c r="F53" s="1090" t="s">
        <v>2106</v>
      </c>
      <c r="G53" s="1073"/>
      <c r="H53" s="1062"/>
      <c r="I53" s="1059"/>
      <c r="J53" s="1062">
        <f t="shared" si="19"/>
        <v>3676493.3</v>
      </c>
      <c r="K53" s="1403"/>
      <c r="L53" s="1091">
        <f t="shared" si="20"/>
        <v>3117151.1</v>
      </c>
      <c r="M53" s="1403"/>
      <c r="N53" s="1403">
        <f t="shared" si="13"/>
        <v>0</v>
      </c>
      <c r="O53" s="1350">
        <f t="shared" si="21"/>
        <v>0</v>
      </c>
      <c r="P53" s="1350">
        <f t="shared" si="14"/>
        <v>0</v>
      </c>
      <c r="Q53" s="1350">
        <f t="shared" si="15"/>
        <v>0</v>
      </c>
      <c r="R53" s="1350">
        <f t="shared" si="16"/>
        <v>0</v>
      </c>
      <c r="S53" s="1063"/>
      <c r="T53" s="1060">
        <v>654600</v>
      </c>
      <c r="U53" s="1275"/>
      <c r="V53" s="1060">
        <v>1359987</v>
      </c>
      <c r="W53" s="1275"/>
      <c r="X53" s="160">
        <f t="shared" si="1"/>
        <v>1.0775847846012834</v>
      </c>
      <c r="Y53" s="1063"/>
      <c r="Z53" s="1092">
        <v>4713961</v>
      </c>
      <c r="AA53" s="1069"/>
      <c r="AB53" s="1092">
        <v>10864654</v>
      </c>
      <c r="AC53" s="1314"/>
      <c r="AD53" s="160">
        <f t="shared" si="2"/>
        <v>1.3047823263705407</v>
      </c>
      <c r="AE53" s="1063"/>
      <c r="AF53" s="1060">
        <v>2156036</v>
      </c>
      <c r="AG53" s="1059"/>
      <c r="AH53" s="1060">
        <v>1721106</v>
      </c>
      <c r="AI53" s="1306"/>
      <c r="AJ53" s="160">
        <f t="shared" si="3"/>
        <v>-0.20172668730948828</v>
      </c>
      <c r="AK53" s="1063"/>
      <c r="AL53" s="1092">
        <v>14873880</v>
      </c>
      <c r="AM53" s="1069"/>
      <c r="AN53" s="1092">
        <v>7447863</v>
      </c>
      <c r="AO53" s="1314"/>
      <c r="AP53" s="160">
        <f t="shared" si="4"/>
        <v>-0.49926562537817976</v>
      </c>
      <c r="AQ53" s="1063"/>
      <c r="AR53" s="1092">
        <v>1291170</v>
      </c>
      <c r="AS53" s="1059"/>
      <c r="AT53" s="1092">
        <v>939242</v>
      </c>
      <c r="AU53" s="1306"/>
      <c r="AV53" s="160">
        <f t="shared" si="5"/>
        <v>-0.27256519280962233</v>
      </c>
      <c r="AW53" s="1063"/>
      <c r="AX53" s="984">
        <v>6156128</v>
      </c>
      <c r="AY53" s="1069"/>
      <c r="AZ53" s="984">
        <v>3071831</v>
      </c>
      <c r="BA53" s="1314"/>
      <c r="BB53" s="160">
        <f t="shared" si="6"/>
        <v>-0.50101248706979451</v>
      </c>
      <c r="BC53" s="1063"/>
      <c r="BD53" s="984">
        <v>357490</v>
      </c>
      <c r="BE53" s="1059"/>
      <c r="BF53" s="984">
        <v>233767</v>
      </c>
      <c r="BG53" s="1306"/>
      <c r="BH53" s="160">
        <f t="shared" si="7"/>
        <v>-0.34608800246160731</v>
      </c>
      <c r="BI53" s="1063"/>
      <c r="BJ53" s="984">
        <v>4767689</v>
      </c>
      <c r="BK53" s="1069"/>
      <c r="BL53" s="984">
        <v>4353794</v>
      </c>
      <c r="BM53" s="1314"/>
      <c r="BN53" s="160">
        <f t="shared" si="8"/>
        <v>-8.6812499724709391E-2</v>
      </c>
      <c r="BO53" s="1063"/>
      <c r="BP53" s="984">
        <v>574091</v>
      </c>
      <c r="BQ53" s="1059"/>
      <c r="BR53" s="984">
        <v>358645</v>
      </c>
      <c r="BS53" s="1306"/>
      <c r="BT53" s="160">
        <f t="shared" si="9"/>
        <v>-0.37528196749295839</v>
      </c>
      <c r="BU53" s="1063"/>
      <c r="BV53" s="984">
        <v>1219888</v>
      </c>
      <c r="BW53" s="1069"/>
      <c r="BX53" s="984">
        <v>820622</v>
      </c>
      <c r="BY53" s="1314"/>
      <c r="BZ53" s="160">
        <f t="shared" si="10"/>
        <v>-0.32729726007633486</v>
      </c>
      <c r="CA53" s="1039"/>
      <c r="CC53" s="1036"/>
      <c r="CD53" s="1036"/>
      <c r="CE53" s="1036"/>
      <c r="CF53" s="1036"/>
      <c r="CG53" s="1036"/>
      <c r="CH53" s="1036"/>
      <c r="CI53" s="1036"/>
      <c r="CJ53" s="1036"/>
      <c r="CK53" s="1036"/>
    </row>
    <row r="54" spans="1:89" s="957" customFormat="1" ht="14.25">
      <c r="A54" s="1637"/>
      <c r="B54" s="1638"/>
      <c r="C54" s="984">
        <v>25.2</v>
      </c>
      <c r="D54" s="1065" t="s">
        <v>2125</v>
      </c>
      <c r="E54" s="1066" t="s">
        <v>206</v>
      </c>
      <c r="F54" s="1073"/>
      <c r="G54" s="1073"/>
      <c r="H54" s="1062"/>
      <c r="I54" s="1073"/>
      <c r="J54" s="1062">
        <f t="shared" si="19"/>
        <v>4928841.7610000009</v>
      </c>
      <c r="K54" s="1403"/>
      <c r="L54" s="1091">
        <f t="shared" si="20"/>
        <v>3167893.1609999998</v>
      </c>
      <c r="M54" s="1403"/>
      <c r="N54" s="1403">
        <f t="shared" si="13"/>
        <v>0</v>
      </c>
      <c r="O54" s="1350">
        <f t="shared" si="21"/>
        <v>0</v>
      </c>
      <c r="P54" s="1350">
        <f t="shared" si="14"/>
        <v>0</v>
      </c>
      <c r="Q54" s="1350">
        <f t="shared" si="15"/>
        <v>0</v>
      </c>
      <c r="R54" s="1350">
        <f t="shared" si="16"/>
        <v>0</v>
      </c>
      <c r="S54" s="1063"/>
      <c r="T54" s="1060">
        <v>922935.01</v>
      </c>
      <c r="U54" s="1275"/>
      <c r="V54" s="1060">
        <v>1179406.0900000001</v>
      </c>
      <c r="W54" s="1275"/>
      <c r="X54" s="160">
        <f t="shared" si="1"/>
        <v>0.27788639202233756</v>
      </c>
      <c r="Y54" s="1063"/>
      <c r="Z54" s="1092">
        <v>4935120.42</v>
      </c>
      <c r="AA54" s="1069"/>
      <c r="AB54" s="1092">
        <v>4836619.5199999996</v>
      </c>
      <c r="AC54" s="1314"/>
      <c r="AD54" s="160">
        <f t="shared" si="2"/>
        <v>-1.9959168493805524E-2</v>
      </c>
      <c r="AE54" s="1063"/>
      <c r="AF54" s="1060">
        <v>23420939.930000003</v>
      </c>
      <c r="AG54" s="1059"/>
      <c r="AH54" s="1060">
        <v>6650790.54</v>
      </c>
      <c r="AI54" s="1306"/>
      <c r="AJ54" s="160">
        <f t="shared" si="3"/>
        <v>-0.71603229589086781</v>
      </c>
      <c r="AK54" s="1063"/>
      <c r="AL54" s="1092">
        <v>1701090.29</v>
      </c>
      <c r="AM54" s="1069"/>
      <c r="AN54" s="1092">
        <v>2281995.04</v>
      </c>
      <c r="AO54" s="1314"/>
      <c r="AP54" s="160">
        <f t="shared" si="4"/>
        <v>0.34148966307955342</v>
      </c>
      <c r="AQ54" s="1063"/>
      <c r="AR54" s="1092">
        <v>4774226.1100000003</v>
      </c>
      <c r="AS54" s="1059"/>
      <c r="AT54" s="1092">
        <v>5126072.2500000009</v>
      </c>
      <c r="AU54" s="1306"/>
      <c r="AV54" s="160">
        <f t="shared" si="5"/>
        <v>7.3696999658862117E-2</v>
      </c>
      <c r="AW54" s="1063"/>
      <c r="AX54" s="984">
        <v>5090903.1099999994</v>
      </c>
      <c r="AY54" s="1069"/>
      <c r="AZ54" s="984">
        <v>4404333.84</v>
      </c>
      <c r="BA54" s="1314"/>
      <c r="BB54" s="160">
        <f t="shared" si="6"/>
        <v>-0.13486197933160027</v>
      </c>
      <c r="BC54" s="1063"/>
      <c r="BD54" s="984">
        <v>1248821.29</v>
      </c>
      <c r="BE54" s="1059"/>
      <c r="BF54" s="984">
        <v>665106.07000000007</v>
      </c>
      <c r="BG54" s="1306"/>
      <c r="BH54" s="160">
        <f t="shared" si="7"/>
        <v>-0.46741293143713136</v>
      </c>
      <c r="BI54" s="1063"/>
      <c r="BJ54" s="984">
        <v>3269164.6399999997</v>
      </c>
      <c r="BK54" s="1069"/>
      <c r="BL54" s="984">
        <v>2969753.1100000003</v>
      </c>
      <c r="BM54" s="1314"/>
      <c r="BN54" s="160">
        <f t="shared" si="8"/>
        <v>-9.1586555885420085E-2</v>
      </c>
      <c r="BO54" s="1063"/>
      <c r="BP54" s="984">
        <v>2148753.56</v>
      </c>
      <c r="BQ54" s="1059"/>
      <c r="BR54" s="984">
        <v>1454836.57</v>
      </c>
      <c r="BS54" s="1306"/>
      <c r="BT54" s="160">
        <f t="shared" si="9"/>
        <v>-0.32293930905692136</v>
      </c>
      <c r="BU54" s="1063"/>
      <c r="BV54" s="984">
        <v>1776463.2500000002</v>
      </c>
      <c r="BW54" s="1069"/>
      <c r="BX54" s="984">
        <v>2110018.58</v>
      </c>
      <c r="BY54" s="1314"/>
      <c r="BZ54" s="160">
        <f t="shared" si="10"/>
        <v>0.18776370971929746</v>
      </c>
      <c r="CA54" s="1039"/>
      <c r="CC54" s="1036"/>
      <c r="CD54" s="1036"/>
      <c r="CE54" s="1036"/>
      <c r="CF54" s="1036"/>
      <c r="CG54" s="1036"/>
      <c r="CH54" s="1036"/>
      <c r="CI54" s="1036"/>
      <c r="CJ54" s="1036"/>
      <c r="CK54" s="1036"/>
    </row>
    <row r="55" spans="1:89" s="957" customFormat="1" ht="14.25">
      <c r="A55" s="1637"/>
      <c r="B55" s="1638"/>
      <c r="C55" s="984">
        <v>25.3</v>
      </c>
      <c r="D55" s="1065" t="s">
        <v>2104</v>
      </c>
      <c r="E55" s="1066" t="s">
        <v>206</v>
      </c>
      <c r="F55" s="1073"/>
      <c r="G55" s="1073"/>
      <c r="H55" s="1062"/>
      <c r="I55" s="1073"/>
      <c r="J55" s="1062">
        <f t="shared" si="19"/>
        <v>114755311.08200002</v>
      </c>
      <c r="K55" s="1403"/>
      <c r="L55" s="1091">
        <f t="shared" si="20"/>
        <v>100956456.486</v>
      </c>
      <c r="M55" s="1403"/>
      <c r="N55" s="1403">
        <f t="shared" si="13"/>
        <v>0</v>
      </c>
      <c r="O55" s="1350">
        <f t="shared" si="21"/>
        <v>0</v>
      </c>
      <c r="P55" s="1350">
        <f t="shared" si="14"/>
        <v>0</v>
      </c>
      <c r="Q55" s="1350">
        <f t="shared" si="15"/>
        <v>0</v>
      </c>
      <c r="R55" s="1350">
        <f t="shared" si="16"/>
        <v>0</v>
      </c>
      <c r="S55" s="1063"/>
      <c r="T55" s="1060">
        <v>72027142.390000001</v>
      </c>
      <c r="U55" s="1275"/>
      <c r="V55" s="1060">
        <v>59644654.329999998</v>
      </c>
      <c r="W55" s="1275"/>
      <c r="X55" s="160">
        <f t="shared" si="1"/>
        <v>-0.1719141930267547</v>
      </c>
      <c r="Y55" s="1063"/>
      <c r="Z55" s="1092">
        <v>236313397.59999999</v>
      </c>
      <c r="AA55" s="1069"/>
      <c r="AB55" s="1092">
        <v>257051716.80000001</v>
      </c>
      <c r="AC55" s="1314"/>
      <c r="AD55" s="160">
        <f t="shared" si="2"/>
        <v>8.775769554590851E-2</v>
      </c>
      <c r="AE55" s="1063"/>
      <c r="AF55" s="1060">
        <v>180568512.59999999</v>
      </c>
      <c r="AG55" s="1059"/>
      <c r="AH55" s="1060">
        <v>137156498.23000002</v>
      </c>
      <c r="AI55" s="1306"/>
      <c r="AJ55" s="160">
        <f t="shared" si="3"/>
        <v>-0.24041851895943445</v>
      </c>
      <c r="AK55" s="1063"/>
      <c r="AL55" s="1092">
        <v>106875828.58</v>
      </c>
      <c r="AM55" s="1069"/>
      <c r="AN55" s="1092">
        <v>82783612.489999995</v>
      </c>
      <c r="AO55" s="1314"/>
      <c r="AP55" s="160">
        <f t="shared" si="4"/>
        <v>-0.22542249646248314</v>
      </c>
      <c r="AQ55" s="1063"/>
      <c r="AR55" s="1092">
        <v>151896417.26000005</v>
      </c>
      <c r="AS55" s="1059"/>
      <c r="AT55" s="1092">
        <v>140809911.77999997</v>
      </c>
      <c r="AU55" s="1306"/>
      <c r="AV55" s="160">
        <f t="shared" si="5"/>
        <v>-7.2987274354360698E-2</v>
      </c>
      <c r="AW55" s="1063"/>
      <c r="AX55" s="984">
        <v>167451569.44</v>
      </c>
      <c r="AY55" s="1069"/>
      <c r="AZ55" s="984">
        <v>135229266.19999999</v>
      </c>
      <c r="BA55" s="1314"/>
      <c r="BB55" s="160">
        <f t="shared" si="6"/>
        <v>-0.19242759770935236</v>
      </c>
      <c r="BC55" s="1063"/>
      <c r="BD55" s="984">
        <v>25503832.219999999</v>
      </c>
      <c r="BE55" s="1059"/>
      <c r="BF55" s="984">
        <v>23931880.739999998</v>
      </c>
      <c r="BG55" s="1306"/>
      <c r="BH55" s="160">
        <f t="shared" si="7"/>
        <v>-6.1635893243027318E-2</v>
      </c>
      <c r="BI55" s="1063"/>
      <c r="BJ55" s="984">
        <v>133236926.24000002</v>
      </c>
      <c r="BK55" s="1069"/>
      <c r="BL55" s="984">
        <v>108001824.48000002</v>
      </c>
      <c r="BM55" s="1314"/>
      <c r="BN55" s="160">
        <f t="shared" si="8"/>
        <v>-0.18940020962765192</v>
      </c>
      <c r="BO55" s="1063"/>
      <c r="BP55" s="984">
        <v>32997481</v>
      </c>
      <c r="BQ55" s="1059"/>
      <c r="BR55" s="984">
        <v>25634512.48</v>
      </c>
      <c r="BS55" s="1306"/>
      <c r="BT55" s="160">
        <f t="shared" si="9"/>
        <v>-0.22313729099503077</v>
      </c>
      <c r="BU55" s="1063"/>
      <c r="BV55" s="984">
        <v>40682003.490000002</v>
      </c>
      <c r="BW55" s="1069"/>
      <c r="BX55" s="984">
        <v>39320687.329999998</v>
      </c>
      <c r="BY55" s="1314"/>
      <c r="BZ55" s="160">
        <f t="shared" si="10"/>
        <v>-3.3462367710937024E-2</v>
      </c>
      <c r="CA55" s="1039"/>
      <c r="CC55" s="1036"/>
      <c r="CD55" s="1036"/>
      <c r="CE55" s="1036"/>
      <c r="CF55" s="1036"/>
      <c r="CG55" s="1036"/>
      <c r="CH55" s="1036"/>
      <c r="CI55" s="1036"/>
      <c r="CJ55" s="1036"/>
      <c r="CK55" s="1036"/>
    </row>
    <row r="56" spans="1:89" s="957" customFormat="1" ht="14.25">
      <c r="A56" s="1637"/>
      <c r="B56" s="1638"/>
      <c r="C56" s="984">
        <v>25.4</v>
      </c>
      <c r="D56" s="1065" t="s">
        <v>2105</v>
      </c>
      <c r="E56" s="1066" t="s">
        <v>206</v>
      </c>
      <c r="F56" s="1073"/>
      <c r="G56" s="1073"/>
      <c r="H56" s="1062"/>
      <c r="I56" s="1073"/>
      <c r="J56" s="1062">
        <f t="shared" si="19"/>
        <v>48325387.600000001</v>
      </c>
      <c r="K56" s="1403"/>
      <c r="L56" s="1091">
        <f t="shared" si="20"/>
        <v>31244205.800000001</v>
      </c>
      <c r="M56" s="1403"/>
      <c r="N56" s="1403">
        <f t="shared" si="13"/>
        <v>0</v>
      </c>
      <c r="O56" s="1350">
        <f t="shared" si="21"/>
        <v>0</v>
      </c>
      <c r="P56" s="1350">
        <f t="shared" si="14"/>
        <v>0</v>
      </c>
      <c r="Q56" s="1350">
        <f t="shared" si="15"/>
        <v>0</v>
      </c>
      <c r="R56" s="1350">
        <f t="shared" si="16"/>
        <v>0</v>
      </c>
      <c r="S56" s="1063"/>
      <c r="T56" s="1060">
        <v>15718386</v>
      </c>
      <c r="U56" s="1275"/>
      <c r="V56" s="1060">
        <v>11359726</v>
      </c>
      <c r="W56" s="1275"/>
      <c r="X56" s="160">
        <f t="shared" si="1"/>
        <v>-0.27729691839861925</v>
      </c>
      <c r="Y56" s="1063"/>
      <c r="Z56" s="1092">
        <v>66400831</v>
      </c>
      <c r="AA56" s="1069"/>
      <c r="AB56" s="1092">
        <v>64171101</v>
      </c>
      <c r="AC56" s="1314"/>
      <c r="AD56" s="160">
        <f t="shared" si="2"/>
        <v>-3.3579850830481317E-2</v>
      </c>
      <c r="AE56" s="1063"/>
      <c r="AF56" s="1060">
        <v>61927235</v>
      </c>
      <c r="AG56" s="1059"/>
      <c r="AH56" s="1060">
        <v>40669328</v>
      </c>
      <c r="AI56" s="1306"/>
      <c r="AJ56" s="160">
        <f t="shared" si="3"/>
        <v>-0.34327234212862889</v>
      </c>
      <c r="AK56" s="1063"/>
      <c r="AL56" s="1092">
        <v>99074759</v>
      </c>
      <c r="AM56" s="1069"/>
      <c r="AN56" s="1092">
        <v>40303645</v>
      </c>
      <c r="AO56" s="1314"/>
      <c r="AP56" s="160">
        <f t="shared" si="4"/>
        <v>-0.59319966652656708</v>
      </c>
      <c r="AQ56" s="1063"/>
      <c r="AR56" s="1092">
        <v>58091265</v>
      </c>
      <c r="AS56" s="1059"/>
      <c r="AT56" s="1092">
        <v>39205811</v>
      </c>
      <c r="AU56" s="1306"/>
      <c r="AV56" s="160">
        <f t="shared" si="5"/>
        <v>-0.32509972024193312</v>
      </c>
      <c r="AW56" s="1063"/>
      <c r="AX56" s="984">
        <v>63104968</v>
      </c>
      <c r="AY56" s="1069"/>
      <c r="AZ56" s="984">
        <v>45072141</v>
      </c>
      <c r="BA56" s="1314"/>
      <c r="BB56" s="160">
        <f t="shared" si="6"/>
        <v>-0.28575922897227357</v>
      </c>
      <c r="BC56" s="1063"/>
      <c r="BD56" s="984">
        <v>8528212</v>
      </c>
      <c r="BE56" s="1059"/>
      <c r="BF56" s="984">
        <v>7816452</v>
      </c>
      <c r="BG56" s="1306"/>
      <c r="BH56" s="160">
        <f t="shared" si="7"/>
        <v>-8.3459463718772442E-2</v>
      </c>
      <c r="BI56" s="1063"/>
      <c r="BJ56" s="984">
        <v>65909078</v>
      </c>
      <c r="BK56" s="1069"/>
      <c r="BL56" s="984">
        <v>37953665</v>
      </c>
      <c r="BM56" s="1314"/>
      <c r="BN56" s="160">
        <f t="shared" si="8"/>
        <v>-0.42415117686823045</v>
      </c>
      <c r="BO56" s="1063"/>
      <c r="BP56" s="984">
        <v>21362908</v>
      </c>
      <c r="BQ56" s="1059"/>
      <c r="BR56" s="984">
        <v>11273945</v>
      </c>
      <c r="BS56" s="1306"/>
      <c r="BT56" s="160">
        <f t="shared" si="9"/>
        <v>-0.47226543315170388</v>
      </c>
      <c r="BU56" s="1063"/>
      <c r="BV56" s="984">
        <v>23136234</v>
      </c>
      <c r="BW56" s="1069"/>
      <c r="BX56" s="984">
        <v>14616244</v>
      </c>
      <c r="BY56" s="1314"/>
      <c r="BZ56" s="160">
        <f t="shared" si="10"/>
        <v>-0.36825310463232697</v>
      </c>
      <c r="CA56" s="1039"/>
      <c r="CC56" s="1036"/>
      <c r="CD56" s="1036"/>
      <c r="CE56" s="1036"/>
      <c r="CF56" s="1036"/>
      <c r="CG56" s="1036"/>
      <c r="CH56" s="1036"/>
      <c r="CI56" s="1036"/>
      <c r="CJ56" s="1036"/>
      <c r="CK56" s="1036"/>
    </row>
    <row r="57" spans="1:89" s="957" customFormat="1" ht="14.25" customHeight="1">
      <c r="A57" s="1637" t="s">
        <v>1505</v>
      </c>
      <c r="B57" s="1637" t="s">
        <v>2184</v>
      </c>
      <c r="C57" s="970">
        <v>26</v>
      </c>
      <c r="D57" s="1057" t="s">
        <v>2183</v>
      </c>
      <c r="E57" s="1089"/>
      <c r="F57" s="1059"/>
      <c r="G57" s="1059" t="s">
        <v>397</v>
      </c>
      <c r="H57" s="1062" t="s">
        <v>230</v>
      </c>
      <c r="I57" s="1061">
        <v>3</v>
      </c>
      <c r="J57" s="1304">
        <f t="shared" si="19"/>
        <v>4.9112035420420235E-3</v>
      </c>
      <c r="K57" s="1405">
        <f>AVERAGE(BW57,BQ57,BK57,BE57,AY57,AS57,AM57,AG57,AA57,U57)</f>
        <v>3</v>
      </c>
      <c r="L57" s="1304">
        <f t="shared" si="20"/>
        <v>1.9760623176379938E-3</v>
      </c>
      <c r="M57" s="1405">
        <f>AVERAGE(BY57,BS57,BM57,BG57,BA57,AU57,AO57,AI57,AC57,W57)</f>
        <v>3</v>
      </c>
      <c r="N57" s="1403">
        <f t="shared" si="13"/>
        <v>0</v>
      </c>
      <c r="O57" s="1350">
        <f t="shared" si="21"/>
        <v>0</v>
      </c>
      <c r="P57" s="1350">
        <f t="shared" si="14"/>
        <v>0</v>
      </c>
      <c r="Q57" s="1350">
        <f t="shared" si="15"/>
        <v>0</v>
      </c>
      <c r="R57" s="1350">
        <f t="shared" si="16"/>
        <v>0</v>
      </c>
      <c r="S57" s="1063"/>
      <c r="T57" s="1272">
        <v>1.4891069837446316E-3</v>
      </c>
      <c r="U57" s="1275">
        <f>IF(T57&lt;=0.03,3,IF(T57&lt;=0.05,1.5,0))</f>
        <v>3</v>
      </c>
      <c r="V57" s="1272">
        <f>IF(V62=0,"",(SUM(V58:V59)-SUM(V60:V61))/V62)</f>
        <v>1.6262969011628416E-3</v>
      </c>
      <c r="W57" s="1275">
        <f>IF(V57&lt;=0.03,3,IF(V57&lt;=0.05,1.5,0))</f>
        <v>3</v>
      </c>
      <c r="X57" s="160">
        <f t="shared" si="1"/>
        <v>9.2128986644882227E-2</v>
      </c>
      <c r="Y57" s="1063"/>
      <c r="Z57" s="1272">
        <v>2.4309302865547222E-3</v>
      </c>
      <c r="AA57" s="1059">
        <f>IF(Z57&lt;=0.03,3,IF(Z57&lt;=0.05,1.5,0))</f>
        <v>3</v>
      </c>
      <c r="AB57" s="1272">
        <f>IF(AB62=0,"",(SUM(AB58:AB59)-SUM(AB60:AB61))/AB62)</f>
        <v>4.7672161634206098E-3</v>
      </c>
      <c r="AC57" s="1306">
        <f>IF(AB57&lt;=0.03,3,IF(AB57&lt;=0.05,1.5,0))</f>
        <v>3</v>
      </c>
      <c r="AD57" s="160">
        <f t="shared" si="2"/>
        <v>0.96106658828831693</v>
      </c>
      <c r="AE57" s="1063"/>
      <c r="AF57" s="1272">
        <v>4.2121777619226622E-3</v>
      </c>
      <c r="AG57" s="1059">
        <f>IF(AF57&lt;=0.03,3,IF(AF57&lt;=0.05,1.5,0))</f>
        <v>3</v>
      </c>
      <c r="AH57" s="1272">
        <f>IF(AH62=0,"",(SUM(AH58:AH59)-SUM(AH60:AH61))/AH62)</f>
        <v>2.6862934963915643E-3</v>
      </c>
      <c r="AI57" s="1306">
        <f>IF(AH57&lt;=0.03,3,IF(AH57&lt;=0.05,1.5,0))</f>
        <v>3</v>
      </c>
      <c r="AJ57" s="160">
        <f t="shared" si="3"/>
        <v>-0.3622554297980537</v>
      </c>
      <c r="AK57" s="1063"/>
      <c r="AL57" s="1272">
        <v>6.0153637977837654E-3</v>
      </c>
      <c r="AM57" s="1059">
        <f>IF(AL57&lt;=0.03,3,IF(AL57&lt;=0.05,1.5,0))</f>
        <v>3</v>
      </c>
      <c r="AN57" s="1272">
        <f>IF(AN62=0,"",(SUM(AN58:AN59)-SUM(AN60:AN61))/AN62)</f>
        <v>4.3376011569974064E-3</v>
      </c>
      <c r="AO57" s="1306">
        <f>IF(AN57&lt;=0.03,3,IF(AN57&lt;=0.05,1.5,0))</f>
        <v>3</v>
      </c>
      <c r="AP57" s="160">
        <f t="shared" si="4"/>
        <v>-0.27891291319811706</v>
      </c>
      <c r="AQ57" s="1063"/>
      <c r="AR57" s="1272">
        <v>4.8672086874965229E-3</v>
      </c>
      <c r="AS57" s="1059">
        <f>IF(AR57&lt;=0.03,3,IF(AR57&lt;=0.05,1.5,0))</f>
        <v>3</v>
      </c>
      <c r="AT57" s="1272">
        <f>IF(AT62=0,"",(SUM(AT58:AT59)-SUM(AT60:AT61))/AT62)</f>
        <v>2.5032391804520123E-3</v>
      </c>
      <c r="AU57" s="1306">
        <f>IF(AT57&lt;=0.03,3,IF(AT57&lt;=0.05,1.5,0))</f>
        <v>3</v>
      </c>
      <c r="AV57" s="160">
        <f t="shared" si="5"/>
        <v>-0.48569306533277745</v>
      </c>
      <c r="AW57" s="1063"/>
      <c r="AX57" s="1272">
        <v>4.1640878922898144E-3</v>
      </c>
      <c r="AY57" s="1059">
        <f>IF(AX57&lt;=0.03,3,IF(AX57&lt;=0.05,1.5,0))</f>
        <v>3</v>
      </c>
      <c r="AZ57" s="1272">
        <f>IF(AZ62=0,"",(SUM(AZ58:AZ59)-SUM(AZ60:AZ61))/AZ62)</f>
        <v>1.4798970302364566E-3</v>
      </c>
      <c r="BA57" s="1306">
        <f>IF(AZ57&lt;=0.03,3,IF(AZ57&lt;=0.05,1.5,0))</f>
        <v>3</v>
      </c>
      <c r="BB57" s="160">
        <f t="shared" si="6"/>
        <v>-0.64460475654785776</v>
      </c>
      <c r="BC57" s="1063"/>
      <c r="BD57" s="1272">
        <v>3.1972589854772733E-3</v>
      </c>
      <c r="BE57" s="1059">
        <f>IF(BD57&lt;=0.03,3,IF(BD57&lt;=0.05,1.5,0))</f>
        <v>3</v>
      </c>
      <c r="BF57" s="1272">
        <f>IF(BF62=0,"",(SUM(BF58:BF59)-SUM(BF60:BF61))/BF62)</f>
        <v>2.8672648940238229E-3</v>
      </c>
      <c r="BG57" s="1306">
        <f>IF(BF57&lt;=0.03,3,IF(BF57&lt;=0.05,1.5,0))</f>
        <v>3</v>
      </c>
      <c r="BH57" s="160">
        <f t="shared" si="7"/>
        <v>-0.10321156120050445</v>
      </c>
      <c r="BI57" s="1063"/>
      <c r="BJ57" s="1272">
        <v>3.0991064750243874E-3</v>
      </c>
      <c r="BK57" s="1059">
        <f>IF(BJ57&lt;=0.03,3,IF(BJ57&lt;=0.05,1.5,0))</f>
        <v>3</v>
      </c>
      <c r="BL57" s="1272">
        <f>IF(BL62=0,"",(SUM(BL58:BL59)-SUM(BL60:BL61))/BL62)</f>
        <v>1.8695411822902362E-3</v>
      </c>
      <c r="BM57" s="1306">
        <f>IF(BL57&lt;=0.03,3,IF(BL57&lt;=0.05,1.5,0))</f>
        <v>3</v>
      </c>
      <c r="BN57" s="160">
        <f t="shared" si="8"/>
        <v>-0.39674832169955554</v>
      </c>
      <c r="BO57" s="1063"/>
      <c r="BP57" s="1272">
        <v>3.8900668035769083E-3</v>
      </c>
      <c r="BQ57" s="1059">
        <f>IF(BP57&lt;=0.03,3,IF(BP57&lt;=0.05,1.5,0))</f>
        <v>3</v>
      </c>
      <c r="BR57" s="1272">
        <f>IF(BR62=0,"",(SUM(BR58:BR59)-SUM(BR60:BR61))/BR62)</f>
        <v>-3.3744858338411962E-3</v>
      </c>
      <c r="BS57" s="1306">
        <f>IF(BR57&lt;=0.03,3,IF(BR57&lt;=0.05,1.5,0))</f>
        <v>3</v>
      </c>
      <c r="BT57" s="160">
        <f t="shared" si="9"/>
        <v>-1.8674621810449024</v>
      </c>
      <c r="BU57" s="1063"/>
      <c r="BV57" s="1272">
        <v>1.5746727746549546E-2</v>
      </c>
      <c r="BW57" s="1059">
        <f>IF(BV57&lt;=0.03,3,IF(BV57&lt;=0.05,1.5,0))</f>
        <v>3</v>
      </c>
      <c r="BX57" s="1272">
        <f>IF(BX62=0,"",(SUM(BX58:BX59)-SUM(BX60:BX61))/BX62)</f>
        <v>9.9775900524618432E-4</v>
      </c>
      <c r="BY57" s="1306">
        <f>IF(BX57&lt;=0.03,3,IF(BX57&lt;=0.05,1.5,0))</f>
        <v>3</v>
      </c>
      <c r="BZ57" s="160">
        <f t="shared" si="10"/>
        <v>-0.93663705746961834</v>
      </c>
      <c r="CA57" s="1039"/>
      <c r="CC57" s="1036"/>
      <c r="CD57" s="1036"/>
      <c r="CE57" s="1036"/>
      <c r="CF57" s="1036"/>
      <c r="CG57" s="1036"/>
      <c r="CH57" s="1036"/>
      <c r="CI57" s="1036"/>
      <c r="CJ57" s="1036"/>
      <c r="CK57" s="1036"/>
    </row>
    <row r="58" spans="1:89" s="957" customFormat="1" ht="14.25">
      <c r="A58" s="1638"/>
      <c r="B58" s="1638"/>
      <c r="C58" s="984">
        <v>26.1</v>
      </c>
      <c r="D58" s="1065" t="s">
        <v>2217</v>
      </c>
      <c r="E58" s="1066" t="s">
        <v>2158</v>
      </c>
      <c r="F58" s="1089" t="s">
        <v>1148</v>
      </c>
      <c r="G58" s="1093"/>
      <c r="H58" s="1094"/>
      <c r="I58" s="1093"/>
      <c r="J58" s="1062">
        <f t="shared" si="19"/>
        <v>113071186.43699999</v>
      </c>
      <c r="K58" s="1403"/>
      <c r="L58" s="1062">
        <f t="shared" si="20"/>
        <v>103393247.698</v>
      </c>
      <c r="M58" s="1403"/>
      <c r="N58" s="1403">
        <f t="shared" si="13"/>
        <v>0</v>
      </c>
      <c r="O58" s="1350">
        <f t="shared" si="21"/>
        <v>0</v>
      </c>
      <c r="P58" s="1350">
        <f t="shared" si="14"/>
        <v>0</v>
      </c>
      <c r="Q58" s="1350">
        <f t="shared" si="15"/>
        <v>0</v>
      </c>
      <c r="R58" s="1350">
        <f t="shared" si="16"/>
        <v>0</v>
      </c>
      <c r="S58" s="1063"/>
      <c r="T58" s="1060">
        <v>35042889.25</v>
      </c>
      <c r="U58" s="1275"/>
      <c r="V58" s="1060">
        <v>42470881</v>
      </c>
      <c r="W58" s="1275"/>
      <c r="X58" s="160">
        <f t="shared" si="1"/>
        <v>0.21196858789262074</v>
      </c>
      <c r="Y58" s="1063"/>
      <c r="Z58" s="1060">
        <v>150861011.88999999</v>
      </c>
      <c r="AA58" s="1059"/>
      <c r="AB58" s="1060">
        <v>304877470.03999996</v>
      </c>
      <c r="AC58" s="1306"/>
      <c r="AD58" s="160">
        <f t="shared" si="2"/>
        <v>1.020916247481495</v>
      </c>
      <c r="AE58" s="1063"/>
      <c r="AF58" s="984">
        <v>158767443.43000001</v>
      </c>
      <c r="AG58" s="1059"/>
      <c r="AH58" s="984">
        <v>142772920.10000002</v>
      </c>
      <c r="AI58" s="1306"/>
      <c r="AJ58" s="160">
        <f t="shared" si="3"/>
        <v>-0.10074183336618325</v>
      </c>
      <c r="AK58" s="1063"/>
      <c r="AL58" s="984">
        <v>29931743.93</v>
      </c>
      <c r="AM58" s="1059"/>
      <c r="AN58" s="984">
        <v>27322929.420000002</v>
      </c>
      <c r="AO58" s="1306"/>
      <c r="AP58" s="160">
        <f t="shared" si="4"/>
        <v>-8.7158787543455962E-2</v>
      </c>
      <c r="AQ58" s="1063"/>
      <c r="AR58" s="984">
        <v>194838265.48000002</v>
      </c>
      <c r="AS58" s="1059"/>
      <c r="AT58" s="984">
        <v>148508022.82999998</v>
      </c>
      <c r="AU58" s="1306"/>
      <c r="AV58" s="160">
        <f t="shared" si="5"/>
        <v>-0.23778821134473604</v>
      </c>
      <c r="AW58" s="1063"/>
      <c r="AX58" s="984">
        <v>195639195.78999999</v>
      </c>
      <c r="AY58" s="1059"/>
      <c r="AZ58" s="984">
        <v>163043878.24000001</v>
      </c>
      <c r="BA58" s="1306"/>
      <c r="BB58" s="160">
        <f t="shared" si="6"/>
        <v>-0.16660934133560812</v>
      </c>
      <c r="BC58" s="1063"/>
      <c r="BD58" s="984">
        <v>43126876</v>
      </c>
      <c r="BE58" s="1059"/>
      <c r="BF58" s="984">
        <v>39496650.049999997</v>
      </c>
      <c r="BG58" s="1306"/>
      <c r="BH58" s="160">
        <f t="shared" si="7"/>
        <v>-8.4175490707928957E-2</v>
      </c>
      <c r="BI58" s="1063"/>
      <c r="BJ58" s="984">
        <v>97180293.109999999</v>
      </c>
      <c r="BK58" s="1059"/>
      <c r="BL58" s="984">
        <v>89126983.149999991</v>
      </c>
      <c r="BM58" s="1306"/>
      <c r="BN58" s="160">
        <f t="shared" si="8"/>
        <v>-8.2869784626851573E-2</v>
      </c>
      <c r="BO58" s="1063"/>
      <c r="BP58" s="984">
        <v>27532603.489999998</v>
      </c>
      <c r="BQ58" s="1059"/>
      <c r="BR58" s="984">
        <v>24301453</v>
      </c>
      <c r="BS58" s="1306"/>
      <c r="BT58" s="160">
        <f t="shared" si="9"/>
        <v>-0.11735724488145738</v>
      </c>
      <c r="BU58" s="1063"/>
      <c r="BV58" s="984">
        <v>197791542</v>
      </c>
      <c r="BW58" s="1059"/>
      <c r="BX58" s="984">
        <v>52011289.150000006</v>
      </c>
      <c r="BY58" s="1306"/>
      <c r="BZ58" s="160">
        <f t="shared" si="10"/>
        <v>-0.7370398722610696</v>
      </c>
      <c r="CA58" s="1039"/>
      <c r="CC58" s="1036"/>
      <c r="CD58" s="1036"/>
      <c r="CE58" s="1036"/>
      <c r="CF58" s="1036"/>
      <c r="CG58" s="1036"/>
      <c r="CH58" s="1036"/>
      <c r="CI58" s="1036"/>
      <c r="CJ58" s="1036"/>
      <c r="CK58" s="1036"/>
    </row>
    <row r="59" spans="1:89" s="957" customFormat="1" ht="14.25">
      <c r="A59" s="1638"/>
      <c r="B59" s="1638"/>
      <c r="C59" s="984">
        <v>26.2</v>
      </c>
      <c r="D59" s="1065" t="s">
        <v>2142</v>
      </c>
      <c r="E59" s="1066" t="s">
        <v>2158</v>
      </c>
      <c r="F59" s="1089" t="s">
        <v>1148</v>
      </c>
      <c r="G59" s="1093"/>
      <c r="H59" s="1094"/>
      <c r="I59" s="1093"/>
      <c r="J59" s="1062">
        <f t="shared" si="19"/>
        <v>1097463</v>
      </c>
      <c r="K59" s="1403"/>
      <c r="L59" s="1062">
        <f t="shared" si="20"/>
        <v>651544.80000000005</v>
      </c>
      <c r="M59" s="1403"/>
      <c r="N59" s="1403">
        <f t="shared" si="13"/>
        <v>0</v>
      </c>
      <c r="O59" s="1350">
        <f t="shared" si="21"/>
        <v>0</v>
      </c>
      <c r="P59" s="1350">
        <f t="shared" si="14"/>
        <v>0</v>
      </c>
      <c r="Q59" s="1350">
        <f t="shared" si="15"/>
        <v>0</v>
      </c>
      <c r="R59" s="1350">
        <f t="shared" si="16"/>
        <v>0</v>
      </c>
      <c r="S59" s="1063"/>
      <c r="T59" s="1060">
        <v>110000</v>
      </c>
      <c r="U59" s="1275"/>
      <c r="V59" s="1060">
        <v>0</v>
      </c>
      <c r="W59" s="1275"/>
      <c r="X59" s="160">
        <f t="shared" si="1"/>
        <v>-1</v>
      </c>
      <c r="Y59" s="1063"/>
      <c r="Z59" s="1060">
        <v>1925511</v>
      </c>
      <c r="AA59" s="1059"/>
      <c r="AB59" s="1060">
        <v>3221458</v>
      </c>
      <c r="AC59" s="1306"/>
      <c r="AD59" s="160">
        <f t="shared" si="2"/>
        <v>0.67304055910353155</v>
      </c>
      <c r="AE59" s="1063"/>
      <c r="AF59" s="984">
        <v>3823977</v>
      </c>
      <c r="AG59" s="1059"/>
      <c r="AH59" s="984">
        <v>585573</v>
      </c>
      <c r="AI59" s="1306"/>
      <c r="AJ59" s="160">
        <f t="shared" si="3"/>
        <v>-0.84686806432151651</v>
      </c>
      <c r="AK59" s="1063"/>
      <c r="AL59" s="984">
        <v>0</v>
      </c>
      <c r="AM59" s="1059"/>
      <c r="AN59" s="984">
        <v>0</v>
      </c>
      <c r="AO59" s="1306"/>
      <c r="AP59" s="160">
        <f t="shared" si="4"/>
        <v>0</v>
      </c>
      <c r="AQ59" s="1063"/>
      <c r="AR59" s="984">
        <v>2837225</v>
      </c>
      <c r="AS59" s="1059"/>
      <c r="AT59" s="984">
        <v>0</v>
      </c>
      <c r="AU59" s="1306"/>
      <c r="AV59" s="160">
        <f t="shared" si="5"/>
        <v>-1</v>
      </c>
      <c r="AW59" s="1063"/>
      <c r="AX59" s="984">
        <v>442382</v>
      </c>
      <c r="AY59" s="1059"/>
      <c r="AZ59" s="984">
        <v>293076</v>
      </c>
      <c r="BA59" s="1306"/>
      <c r="BB59" s="160">
        <f t="shared" si="6"/>
        <v>-0.33750469051634113</v>
      </c>
      <c r="BC59" s="1063"/>
      <c r="BD59" s="984">
        <v>990545</v>
      </c>
      <c r="BE59" s="1059"/>
      <c r="BF59" s="984">
        <v>161743</v>
      </c>
      <c r="BG59" s="1306"/>
      <c r="BH59" s="160">
        <f t="shared" si="7"/>
        <v>-0.8367131225739366</v>
      </c>
      <c r="BI59" s="1063"/>
      <c r="BJ59" s="984">
        <v>7560</v>
      </c>
      <c r="BK59" s="1059"/>
      <c r="BL59" s="984">
        <v>1645089</v>
      </c>
      <c r="BM59" s="1306"/>
      <c r="BN59" s="160">
        <f t="shared" si="8"/>
        <v>216.60436507936507</v>
      </c>
      <c r="BO59" s="1063"/>
      <c r="BP59" s="984">
        <v>837430</v>
      </c>
      <c r="BQ59" s="1059"/>
      <c r="BR59" s="984">
        <v>126799</v>
      </c>
      <c r="BS59" s="1306"/>
      <c r="BT59" s="160">
        <f t="shared" si="9"/>
        <v>-0.84858555341939024</v>
      </c>
      <c r="BU59" s="1063"/>
      <c r="BV59" s="984">
        <v>0</v>
      </c>
      <c r="BW59" s="1059"/>
      <c r="BX59" s="984">
        <v>481710</v>
      </c>
      <c r="BY59" s="1306"/>
      <c r="BZ59" s="160">
        <f t="shared" si="10"/>
        <v>1</v>
      </c>
      <c r="CA59" s="1039"/>
      <c r="CC59" s="1036"/>
      <c r="CD59" s="1036"/>
      <c r="CE59" s="1036"/>
      <c r="CF59" s="1036"/>
      <c r="CG59" s="1036"/>
      <c r="CH59" s="1036"/>
      <c r="CI59" s="1036"/>
      <c r="CJ59" s="1036"/>
      <c r="CK59" s="1036"/>
    </row>
    <row r="60" spans="1:89" s="957" customFormat="1" ht="14.25">
      <c r="A60" s="1638"/>
      <c r="B60" s="1638"/>
      <c r="C60" s="984">
        <v>26.3</v>
      </c>
      <c r="D60" s="1065" t="s">
        <v>2218</v>
      </c>
      <c r="E60" s="1066" t="s">
        <v>2158</v>
      </c>
      <c r="F60" s="1089" t="s">
        <v>1148</v>
      </c>
      <c r="G60" s="1093"/>
      <c r="H60" s="1094"/>
      <c r="I60" s="1093"/>
      <c r="J60" s="1062">
        <f t="shared" si="19"/>
        <v>11513459.606000001</v>
      </c>
      <c r="K60" s="1403"/>
      <c r="L60" s="1062">
        <f t="shared" si="20"/>
        <v>13189659.797</v>
      </c>
      <c r="M60" s="1403"/>
      <c r="N60" s="1403">
        <f t="shared" si="13"/>
        <v>0</v>
      </c>
      <c r="O60" s="1350">
        <f t="shared" si="21"/>
        <v>0</v>
      </c>
      <c r="P60" s="1350">
        <f t="shared" si="14"/>
        <v>0</v>
      </c>
      <c r="Q60" s="1350">
        <f t="shared" si="15"/>
        <v>0</v>
      </c>
      <c r="R60" s="1350">
        <f t="shared" si="16"/>
        <v>0</v>
      </c>
      <c r="S60" s="1063"/>
      <c r="T60" s="1060">
        <v>3617435</v>
      </c>
      <c r="U60" s="1275"/>
      <c r="V60" s="1060">
        <v>2234746.41</v>
      </c>
      <c r="W60" s="1275"/>
      <c r="X60" s="160">
        <f t="shared" si="1"/>
        <v>-0.38222900757028111</v>
      </c>
      <c r="Y60" s="1063"/>
      <c r="Z60" s="1060">
        <v>19088636</v>
      </c>
      <c r="AA60" s="1059"/>
      <c r="AB60" s="1060">
        <v>18669580.380000003</v>
      </c>
      <c r="AC60" s="1306"/>
      <c r="AD60" s="160">
        <f t="shared" si="2"/>
        <v>-2.19531463641508E-2</v>
      </c>
      <c r="AE60" s="1063"/>
      <c r="AF60" s="984">
        <v>15430793.48</v>
      </c>
      <c r="AG60" s="1059"/>
      <c r="AH60" s="984">
        <v>21954084.740000002</v>
      </c>
      <c r="AI60" s="1306"/>
      <c r="AJ60" s="160">
        <f t="shared" si="3"/>
        <v>0.4227450304778495</v>
      </c>
      <c r="AK60" s="1063"/>
      <c r="AL60" s="984">
        <v>3116326</v>
      </c>
      <c r="AM60" s="1059"/>
      <c r="AN60" s="984">
        <v>3806036</v>
      </c>
      <c r="AO60" s="1306"/>
      <c r="AP60" s="160">
        <f t="shared" si="4"/>
        <v>0.22132151771027808</v>
      </c>
      <c r="AQ60" s="1063"/>
      <c r="AR60" s="984">
        <v>14653483.91</v>
      </c>
      <c r="AS60" s="1059"/>
      <c r="AT60" s="984">
        <v>15676872.68</v>
      </c>
      <c r="AU60" s="1306"/>
      <c r="AV60" s="160">
        <f t="shared" si="5"/>
        <v>6.9839280288942485E-2</v>
      </c>
      <c r="AW60" s="1063"/>
      <c r="AX60" s="984">
        <v>20452163.780000001</v>
      </c>
      <c r="AY60" s="1059"/>
      <c r="AZ60" s="984">
        <v>30396880.760000002</v>
      </c>
      <c r="BA60" s="1306"/>
      <c r="BB60" s="160">
        <f t="shared" si="6"/>
        <v>0.4862427803225815</v>
      </c>
      <c r="BC60" s="1063"/>
      <c r="BD60" s="984">
        <v>8335890.8899999997</v>
      </c>
      <c r="BE60" s="1059"/>
      <c r="BF60" s="984">
        <v>5834266</v>
      </c>
      <c r="BG60" s="1306"/>
      <c r="BH60" s="160">
        <f t="shared" si="7"/>
        <v>-0.30010288318445111</v>
      </c>
      <c r="BI60" s="1063"/>
      <c r="BJ60" s="984">
        <v>20657272</v>
      </c>
      <c r="BK60" s="1059"/>
      <c r="BL60" s="984">
        <v>19732438</v>
      </c>
      <c r="BM60" s="1306"/>
      <c r="BN60" s="160">
        <f t="shared" si="8"/>
        <v>-4.4770384008111064E-2</v>
      </c>
      <c r="BO60" s="1063"/>
      <c r="BP60" s="984">
        <v>2892535</v>
      </c>
      <c r="BQ60" s="1059"/>
      <c r="BR60" s="984">
        <v>6391002</v>
      </c>
      <c r="BS60" s="1306"/>
      <c r="BT60" s="160">
        <f t="shared" si="9"/>
        <v>1.209481302732724</v>
      </c>
      <c r="BU60" s="1063"/>
      <c r="BV60" s="984">
        <v>6890060</v>
      </c>
      <c r="BW60" s="1059"/>
      <c r="BX60" s="984">
        <v>7200691</v>
      </c>
      <c r="BY60" s="1306"/>
      <c r="BZ60" s="160">
        <f t="shared" si="10"/>
        <v>4.5083932505667557E-2</v>
      </c>
      <c r="CA60" s="1039"/>
      <c r="CC60" s="1036"/>
      <c r="CD60" s="1036"/>
      <c r="CE60" s="1036"/>
      <c r="CF60" s="1036"/>
      <c r="CG60" s="1036"/>
      <c r="CH60" s="1036"/>
      <c r="CI60" s="1036"/>
      <c r="CJ60" s="1036"/>
      <c r="CK60" s="1036"/>
    </row>
    <row r="61" spans="1:89" s="957" customFormat="1" ht="14.25">
      <c r="A61" s="1638"/>
      <c r="B61" s="1638"/>
      <c r="C61" s="984">
        <v>26.4</v>
      </c>
      <c r="D61" s="1065" t="s">
        <v>2219</v>
      </c>
      <c r="E61" s="1066" t="s">
        <v>2158</v>
      </c>
      <c r="F61" s="1089" t="s">
        <v>1148</v>
      </c>
      <c r="G61" s="1093"/>
      <c r="H61" s="1094"/>
      <c r="I61" s="1093"/>
      <c r="J61" s="1062">
        <f t="shared" si="19"/>
        <v>22981586.5</v>
      </c>
      <c r="K61" s="1403"/>
      <c r="L61" s="1062">
        <f t="shared" si="20"/>
        <v>43944049.100000001</v>
      </c>
      <c r="M61" s="1403"/>
      <c r="N61" s="1403">
        <f t="shared" si="13"/>
        <v>0</v>
      </c>
      <c r="O61" s="1350">
        <f t="shared" si="21"/>
        <v>0</v>
      </c>
      <c r="P61" s="1350">
        <f t="shared" si="14"/>
        <v>0</v>
      </c>
      <c r="Q61" s="1350">
        <f t="shared" si="15"/>
        <v>0</v>
      </c>
      <c r="R61" s="1350">
        <f t="shared" si="16"/>
        <v>0</v>
      </c>
      <c r="S61" s="1063"/>
      <c r="T61" s="1060">
        <v>9556552</v>
      </c>
      <c r="U61" s="1275"/>
      <c r="V61" s="1060">
        <v>14840000</v>
      </c>
      <c r="W61" s="1275"/>
      <c r="X61" s="160">
        <f t="shared" si="1"/>
        <v>0.55286132487951711</v>
      </c>
      <c r="Y61" s="1063"/>
      <c r="Z61" s="1060">
        <v>52751280</v>
      </c>
      <c r="AA61" s="1059"/>
      <c r="AB61" s="1060">
        <v>123711652</v>
      </c>
      <c r="AC61" s="1306"/>
      <c r="AD61" s="160">
        <f t="shared" si="2"/>
        <v>1.3451876807539076</v>
      </c>
      <c r="AE61" s="1063"/>
      <c r="AF61" s="984">
        <v>50840716</v>
      </c>
      <c r="AG61" s="1059"/>
      <c r="AH61" s="984">
        <v>52453130</v>
      </c>
      <c r="AI61" s="1306"/>
      <c r="AJ61" s="160">
        <f t="shared" si="3"/>
        <v>3.1715013612318099E-2</v>
      </c>
      <c r="AK61" s="1063"/>
      <c r="AL61" s="984">
        <v>1205362</v>
      </c>
      <c r="AM61" s="1059"/>
      <c r="AN61" s="984">
        <v>3667100</v>
      </c>
      <c r="AO61" s="1306"/>
      <c r="AP61" s="160">
        <f t="shared" si="4"/>
        <v>2.0423225553817028</v>
      </c>
      <c r="AQ61" s="1063"/>
      <c r="AR61" s="984">
        <v>34998828</v>
      </c>
      <c r="AS61" s="1059"/>
      <c r="AT61" s="984">
        <v>51347715</v>
      </c>
      <c r="AU61" s="1306"/>
      <c r="AV61" s="160">
        <f t="shared" si="5"/>
        <v>0.46712669921404215</v>
      </c>
      <c r="AW61" s="1063"/>
      <c r="AX61" s="984">
        <v>44471889</v>
      </c>
      <c r="AY61" s="1059"/>
      <c r="AZ61" s="984">
        <v>81232759</v>
      </c>
      <c r="BA61" s="1306"/>
      <c r="BB61" s="160">
        <f t="shared" si="6"/>
        <v>0.82660914178842271</v>
      </c>
      <c r="BC61" s="1063"/>
      <c r="BD61" s="984">
        <v>9998954</v>
      </c>
      <c r="BE61" s="1059"/>
      <c r="BF61" s="984">
        <v>9652165</v>
      </c>
      <c r="BG61" s="1306"/>
      <c r="BH61" s="160">
        <f t="shared" si="7"/>
        <v>-3.4682527792407103E-2</v>
      </c>
      <c r="BI61" s="1063"/>
      <c r="BJ61" s="984">
        <v>15186952</v>
      </c>
      <c r="BK61" s="1059"/>
      <c r="BL61" s="984">
        <v>29325551</v>
      </c>
      <c r="BM61" s="1306"/>
      <c r="BN61" s="160">
        <f t="shared" si="8"/>
        <v>0.93097015121928339</v>
      </c>
      <c r="BO61" s="1063"/>
      <c r="BP61" s="984">
        <v>3686750</v>
      </c>
      <c r="BQ61" s="1059"/>
      <c r="BR61" s="984">
        <v>39878286</v>
      </c>
      <c r="BS61" s="1306"/>
      <c r="BT61" s="160">
        <f t="shared" si="9"/>
        <v>9.8166504373770938</v>
      </c>
      <c r="BU61" s="1063"/>
      <c r="BV61" s="984">
        <v>7118582</v>
      </c>
      <c r="BW61" s="1059"/>
      <c r="BX61" s="984">
        <v>33332133</v>
      </c>
      <c r="BY61" s="1306"/>
      <c r="BZ61" s="160">
        <f t="shared" si="10"/>
        <v>3.682411890457959</v>
      </c>
      <c r="CA61" s="1039"/>
      <c r="CC61" s="1036"/>
      <c r="CD61" s="1036"/>
      <c r="CE61" s="1036"/>
      <c r="CF61" s="1036"/>
      <c r="CG61" s="1036"/>
      <c r="CH61" s="1036"/>
      <c r="CI61" s="1036"/>
      <c r="CJ61" s="1036"/>
      <c r="CK61" s="1036"/>
    </row>
    <row r="62" spans="1:89" s="957" customFormat="1" ht="14.25">
      <c r="A62" s="1638"/>
      <c r="B62" s="1638"/>
      <c r="C62" s="984">
        <v>26.5</v>
      </c>
      <c r="D62" s="1065" t="s">
        <v>2197</v>
      </c>
      <c r="E62" s="1066" t="s">
        <v>2158</v>
      </c>
      <c r="F62" s="1089" t="s">
        <v>2439</v>
      </c>
      <c r="G62" s="1093"/>
      <c r="H62" s="1094"/>
      <c r="I62" s="1093"/>
      <c r="J62" s="1062">
        <f t="shared" si="19"/>
        <v>18222323961.927002</v>
      </c>
      <c r="K62" s="1403"/>
      <c r="L62" s="1062">
        <f t="shared" si="20"/>
        <v>19731513506.943001</v>
      </c>
      <c r="M62" s="1403"/>
      <c r="N62" s="1403">
        <f t="shared" si="13"/>
        <v>0</v>
      </c>
      <c r="O62" s="1350">
        <f t="shared" si="21"/>
        <v>0</v>
      </c>
      <c r="P62" s="1350">
        <f t="shared" si="14"/>
        <v>0</v>
      </c>
      <c r="Q62" s="1350">
        <f t="shared" si="15"/>
        <v>0</v>
      </c>
      <c r="R62" s="1350">
        <f t="shared" si="16"/>
        <v>0</v>
      </c>
      <c r="S62" s="1063"/>
      <c r="T62" s="1092">
        <v>14759787234.85</v>
      </c>
      <c r="U62" s="1278"/>
      <c r="V62" s="1092">
        <v>15615927554.09</v>
      </c>
      <c r="W62" s="1278"/>
      <c r="X62" s="160">
        <f t="shared" si="1"/>
        <v>5.800492280935643E-2</v>
      </c>
      <c r="Y62" s="1063"/>
      <c r="Z62" s="1060">
        <v>33298613019.760002</v>
      </c>
      <c r="AA62" s="1059"/>
      <c r="AB62" s="1060">
        <v>34761942815.089996</v>
      </c>
      <c r="AC62" s="1306"/>
      <c r="AD62" s="160">
        <f t="shared" si="2"/>
        <v>4.3945668081178946E-2</v>
      </c>
      <c r="AE62" s="1063"/>
      <c r="AF62" s="984">
        <v>22867009987.260002</v>
      </c>
      <c r="AG62" s="1059"/>
      <c r="AH62" s="984">
        <v>25667812713.920002</v>
      </c>
      <c r="AI62" s="1306"/>
      <c r="AJ62" s="160">
        <f t="shared" si="3"/>
        <v>0.12248224530537333</v>
      </c>
      <c r="AK62" s="1063"/>
      <c r="AL62" s="984">
        <v>4257440911.46</v>
      </c>
      <c r="AM62" s="1059"/>
      <c r="AN62" s="984">
        <v>4576214525.3900003</v>
      </c>
      <c r="AO62" s="1306"/>
      <c r="AP62" s="160">
        <f t="shared" si="4"/>
        <v>7.4874465802200252E-2</v>
      </c>
      <c r="AQ62" s="1063"/>
      <c r="AR62" s="984">
        <v>30412334476.279999</v>
      </c>
      <c r="AS62" s="1059"/>
      <c r="AT62" s="984">
        <v>32551198377.809998</v>
      </c>
      <c r="AU62" s="1306"/>
      <c r="AV62" s="160">
        <f t="shared" si="5"/>
        <v>7.0328830008041576E-2</v>
      </c>
      <c r="AW62" s="1063"/>
      <c r="AX62" s="984">
        <v>31497299865.560001</v>
      </c>
      <c r="AY62" s="1059"/>
      <c r="AZ62" s="984">
        <v>34939805556.43</v>
      </c>
      <c r="BA62" s="1306"/>
      <c r="BB62" s="160">
        <f t="shared" si="6"/>
        <v>0.10929526358016894</v>
      </c>
      <c r="BC62" s="1063"/>
      <c r="BD62" s="984">
        <v>8063962358.7300005</v>
      </c>
      <c r="BE62" s="1059"/>
      <c r="BF62" s="984">
        <v>8430320512.2000008</v>
      </c>
      <c r="BG62" s="1306"/>
      <c r="BH62" s="160">
        <f t="shared" si="7"/>
        <v>4.5431530700708489E-2</v>
      </c>
      <c r="BI62" s="1063"/>
      <c r="BJ62" s="984">
        <v>19793972748.07</v>
      </c>
      <c r="BK62" s="1059"/>
      <c r="BL62" s="984">
        <v>22312470859.239998</v>
      </c>
      <c r="BM62" s="1306"/>
      <c r="BN62" s="160">
        <f t="shared" si="8"/>
        <v>0.12723560566766778</v>
      </c>
      <c r="BO62" s="1063"/>
      <c r="BP62" s="984">
        <v>5601638632.5199995</v>
      </c>
      <c r="BQ62" s="1059"/>
      <c r="BR62" s="984">
        <v>6472404115.8999996</v>
      </c>
      <c r="BS62" s="1306"/>
      <c r="BT62" s="160">
        <f t="shared" si="9"/>
        <v>0.15544835011755676</v>
      </c>
      <c r="BU62" s="1063"/>
      <c r="BV62" s="984">
        <v>11671180384.779999</v>
      </c>
      <c r="BW62" s="1059"/>
      <c r="BX62" s="984">
        <v>11987038039.360001</v>
      </c>
      <c r="BY62" s="1306"/>
      <c r="BZ62" s="160">
        <f t="shared" si="10"/>
        <v>2.7063042825719696E-2</v>
      </c>
      <c r="CA62" s="1039"/>
      <c r="CC62" s="1036"/>
      <c r="CD62" s="1036"/>
      <c r="CE62" s="1036"/>
      <c r="CF62" s="1036"/>
      <c r="CG62" s="1036"/>
      <c r="CH62" s="1036"/>
      <c r="CI62" s="1036"/>
      <c r="CJ62" s="1036"/>
      <c r="CK62" s="1036"/>
    </row>
    <row r="63" spans="1:89" s="957" customFormat="1" ht="14.25" customHeight="1">
      <c r="A63" s="1638" t="s">
        <v>1150</v>
      </c>
      <c r="B63" s="1638" t="s">
        <v>2180</v>
      </c>
      <c r="C63" s="970">
        <v>27</v>
      </c>
      <c r="D63" s="1411" t="s">
        <v>2181</v>
      </c>
      <c r="E63" s="1089"/>
      <c r="F63" s="1064"/>
      <c r="G63" s="1059" t="s">
        <v>397</v>
      </c>
      <c r="H63" s="1062" t="s">
        <v>230</v>
      </c>
      <c r="I63" s="1061">
        <v>2</v>
      </c>
      <c r="J63" s="1304">
        <f t="shared" si="19"/>
        <v>2.6887193920587995E-3</v>
      </c>
      <c r="K63" s="1402">
        <f>AVERAGE(BW63,BQ63,BK63,BE63,AY63,AS63,AM63,AG63,AA63,U63)</f>
        <v>1.9</v>
      </c>
      <c r="L63" s="1304">
        <f t="shared" si="20"/>
        <v>3.6439212026949885E-3</v>
      </c>
      <c r="M63" s="1402">
        <f>AVERAGE(BY63,BS63,BM63,BG63,BA63,AU63,AO63,AI63,AC63,W63)</f>
        <v>1.8</v>
      </c>
      <c r="N63" s="1403">
        <f t="shared" si="13"/>
        <v>-9.9999999999999867E-2</v>
      </c>
      <c r="O63" s="1350">
        <f>I63-M63</f>
        <v>0.19999999999999996</v>
      </c>
      <c r="P63" s="1350">
        <f t="shared" si="14"/>
        <v>0.13999999999999996</v>
      </c>
      <c r="Q63" s="1350">
        <f t="shared" si="15"/>
        <v>1.5555555555555552E-2</v>
      </c>
      <c r="R63" s="1350">
        <f t="shared" si="16"/>
        <v>7.7777777777777758E-3</v>
      </c>
      <c r="S63" s="1063"/>
      <c r="T63" s="1272">
        <v>1.0403120936280884E-2</v>
      </c>
      <c r="U63" s="1275">
        <f>IF(T63&lt;=0.01,2,IF(T63&lt;=0.02,1,0))</f>
        <v>1</v>
      </c>
      <c r="V63" s="1272">
        <f>V64/V65</f>
        <v>1.5789473684210527E-2</v>
      </c>
      <c r="W63" s="1275">
        <f>IF(V63&lt;=0.01,2,IF(V63&lt;=0.02,1,0))</f>
        <v>1</v>
      </c>
      <c r="X63" s="160">
        <f t="shared" si="1"/>
        <v>0.51776315789473681</v>
      </c>
      <c r="Y63" s="1063"/>
      <c r="Z63" s="1272">
        <v>9.4667087409277379E-4</v>
      </c>
      <c r="AA63" s="1059">
        <f>IF(Z63&lt;=0.01,2,IF(Z63&lt;=0.02,1,0))</f>
        <v>2</v>
      </c>
      <c r="AB63" s="1272">
        <f>AB64/AB65</f>
        <v>3.1367628607277288E-4</v>
      </c>
      <c r="AC63" s="1306">
        <f>IF(AB63&lt;=0.01,2,IF(AB63&lt;=0.02,1,0))</f>
        <v>2</v>
      </c>
      <c r="AD63" s="160">
        <f t="shared" si="2"/>
        <v>-0.66865328314512762</v>
      </c>
      <c r="AE63" s="1063"/>
      <c r="AF63" s="1272">
        <v>2.0584602717167559E-4</v>
      </c>
      <c r="AG63" s="1059">
        <f>IF(AF63&lt;=0.01,2,IF(AF63&lt;=0.02,1,0))</f>
        <v>2</v>
      </c>
      <c r="AH63" s="1272">
        <f>AH64/AH65</f>
        <v>0</v>
      </c>
      <c r="AI63" s="1306">
        <f>IF(AH63&lt;=0.01,2,IF(AH63&lt;=0.02,1,0))</f>
        <v>2</v>
      </c>
      <c r="AJ63" s="160">
        <f t="shared" si="3"/>
        <v>-1</v>
      </c>
      <c r="AK63" s="1063"/>
      <c r="AL63" s="1272">
        <v>1.5128593040847202E-3</v>
      </c>
      <c r="AM63" s="1059">
        <f>IF(AL63&lt;=0.01,2,IF(AL63&lt;=0.02,1,0))</f>
        <v>2</v>
      </c>
      <c r="AN63" s="1272">
        <f>AN64/AN65</f>
        <v>2.5380710659898475E-3</v>
      </c>
      <c r="AO63" s="1306">
        <f>IF(AN63&lt;=0.01,2,IF(AN63&lt;=0.02,1,0))</f>
        <v>2</v>
      </c>
      <c r="AP63" s="160">
        <f>IF(AND(AL63=0,AN63&lt;&gt;0),1,IF(AND(AL63=0,AN63=0),0,AN63/AL63-1))</f>
        <v>0.6776649746192891</v>
      </c>
      <c r="AQ63" s="1063"/>
      <c r="AR63" s="1272">
        <v>1.5510746731664082E-3</v>
      </c>
      <c r="AS63" s="1059">
        <f>IF(AR63&lt;=0.01,2,IF(AR63&lt;=0.02,1,0))</f>
        <v>2</v>
      </c>
      <c r="AT63" s="1272">
        <f>AT64/AT65</f>
        <v>2.0800832033281333E-3</v>
      </c>
      <c r="AU63" s="1306">
        <f>IF(AT63&lt;=0.01,2,IF(AT63&lt;=0.02,1,0))</f>
        <v>2</v>
      </c>
      <c r="AV63" s="160">
        <f t="shared" si="5"/>
        <v>0.34105935665998088</v>
      </c>
      <c r="AW63" s="1063"/>
      <c r="AX63" s="1272">
        <v>9.7703957010258913E-4</v>
      </c>
      <c r="AY63" s="1059">
        <f>IF(AX63&lt;=0.01,2,IF(AX63&lt;=0.02,1,0))</f>
        <v>2</v>
      </c>
      <c r="AZ63" s="1272">
        <f>AZ64/AZ65</f>
        <v>5.0942435048395313E-4</v>
      </c>
      <c r="BA63" s="1306">
        <f>IF(AZ63&lt;=0.01,2,IF(AZ63&lt;=0.02,1,0))</f>
        <v>2</v>
      </c>
      <c r="BB63" s="160">
        <f t="shared" si="6"/>
        <v>-0.47860417727967397</v>
      </c>
      <c r="BC63" s="1063"/>
      <c r="BD63" s="1272">
        <v>3.9787798408488064E-3</v>
      </c>
      <c r="BE63" s="1059">
        <f>IF(BD63&lt;=0.01,2,IF(BD63&lt;=0.02,1,0))</f>
        <v>2</v>
      </c>
      <c r="BF63" s="1272">
        <f>BF64/BF65</f>
        <v>1.2626262626262627E-3</v>
      </c>
      <c r="BG63" s="1306">
        <f>IF(BF63&lt;=0.01,2,IF(BF63&lt;=0.02,1,0))</f>
        <v>2</v>
      </c>
      <c r="BH63" s="160">
        <f t="shared" si="7"/>
        <v>-0.68265993265993263</v>
      </c>
      <c r="BI63" s="1063"/>
      <c r="BJ63" s="1272">
        <v>1.1570726063060456E-3</v>
      </c>
      <c r="BK63" s="1059">
        <f>IF(BJ63&lt;=0.01,2,IF(BJ63&lt;=0.02,1,0))</f>
        <v>2</v>
      </c>
      <c r="BL63" s="1272">
        <f>BL64/BL65</f>
        <v>3.0873726458783575E-4</v>
      </c>
      <c r="BM63" s="1306">
        <f>IF(BL63&lt;=0.01,2,IF(BL63&lt;=0.02,1,0))</f>
        <v>2</v>
      </c>
      <c r="BN63" s="160">
        <f t="shared" si="8"/>
        <v>-0.73317381907996293</v>
      </c>
      <c r="BO63" s="1063"/>
      <c r="BP63" s="1272">
        <v>1.3623978201634877E-3</v>
      </c>
      <c r="BQ63" s="1059">
        <f>IF(BP63&lt;=0.01,2,IF(BP63&lt;=0.02,1,0))</f>
        <v>2</v>
      </c>
      <c r="BR63" s="1272">
        <f>BR64/BR65</f>
        <v>1.1207970112079701E-2</v>
      </c>
      <c r="BS63" s="1306">
        <f>IF(BR63&lt;=0.01,2,IF(BR63&lt;=0.02,1,0))</f>
        <v>1</v>
      </c>
      <c r="BT63" s="160">
        <f t="shared" si="9"/>
        <v>7.2266500622665006</v>
      </c>
      <c r="BU63" s="1063"/>
      <c r="BV63" s="1272">
        <v>4.7923322683706068E-3</v>
      </c>
      <c r="BW63" s="1059">
        <f>IF(BV63&lt;=0.01,2,IF(BV63&lt;=0.02,1,0))</f>
        <v>2</v>
      </c>
      <c r="BX63" s="1272">
        <f>BX64/BX65</f>
        <v>2.4291497975708503E-3</v>
      </c>
      <c r="BY63" s="1306">
        <f>IF(BX63&lt;=0.01,2,IF(BX63&lt;=0.02,1,0))</f>
        <v>2</v>
      </c>
      <c r="BZ63" s="160">
        <f t="shared" si="10"/>
        <v>-0.49311740890688249</v>
      </c>
      <c r="CA63" s="1039"/>
      <c r="CC63" s="1036"/>
      <c r="CD63" s="1036"/>
      <c r="CE63" s="1036"/>
      <c r="CF63" s="1036"/>
      <c r="CG63" s="1036"/>
      <c r="CH63" s="1036"/>
      <c r="CI63" s="1036"/>
      <c r="CJ63" s="1036"/>
      <c r="CK63" s="1036"/>
    </row>
    <row r="64" spans="1:89" s="957" customFormat="1" ht="14.25">
      <c r="A64" s="1638"/>
      <c r="B64" s="1638"/>
      <c r="C64" s="984">
        <v>27.1</v>
      </c>
      <c r="D64" s="1065" t="s">
        <v>2220</v>
      </c>
      <c r="E64" s="1066" t="s">
        <v>1120</v>
      </c>
      <c r="F64" s="1090" t="s">
        <v>1151</v>
      </c>
      <c r="G64" s="1073"/>
      <c r="H64" s="1062"/>
      <c r="I64" s="1095"/>
      <c r="J64" s="1062">
        <f t="shared" si="19"/>
        <v>3.9</v>
      </c>
      <c r="K64" s="1403"/>
      <c r="L64" s="1062">
        <f t="shared" si="20"/>
        <v>4</v>
      </c>
      <c r="M64" s="1403"/>
      <c r="N64" s="1403">
        <f t="shared" si="13"/>
        <v>0</v>
      </c>
      <c r="O64" s="1350">
        <f t="shared" si="21"/>
        <v>0</v>
      </c>
      <c r="P64" s="1350">
        <f t="shared" si="14"/>
        <v>0</v>
      </c>
      <c r="Q64" s="1350">
        <f t="shared" si="15"/>
        <v>0</v>
      </c>
      <c r="R64" s="1350">
        <f t="shared" si="16"/>
        <v>0</v>
      </c>
      <c r="S64" s="1063"/>
      <c r="T64" s="1060">
        <v>8</v>
      </c>
      <c r="U64" s="1275"/>
      <c r="V64" s="1060">
        <v>12</v>
      </c>
      <c r="W64" s="1275"/>
      <c r="X64" s="160">
        <f t="shared" si="1"/>
        <v>0.5</v>
      </c>
      <c r="Y64" s="1063"/>
      <c r="Z64" s="1060">
        <v>3</v>
      </c>
      <c r="AA64" s="1059"/>
      <c r="AB64" s="1060">
        <v>1</v>
      </c>
      <c r="AC64" s="1306"/>
      <c r="AD64" s="160">
        <f t="shared" si="2"/>
        <v>-0.66666666666666674</v>
      </c>
      <c r="AE64" s="1063"/>
      <c r="AF64" s="1060">
        <v>1</v>
      </c>
      <c r="AG64" s="1059"/>
      <c r="AH64" s="1060">
        <v>0</v>
      </c>
      <c r="AI64" s="1306"/>
      <c r="AJ64" s="160">
        <f t="shared" si="3"/>
        <v>-1</v>
      </c>
      <c r="AK64" s="1063"/>
      <c r="AL64" s="984">
        <v>2</v>
      </c>
      <c r="AM64" s="1059"/>
      <c r="AN64" s="984">
        <v>3</v>
      </c>
      <c r="AO64" s="1306"/>
      <c r="AP64" s="160">
        <f t="shared" si="4"/>
        <v>0.5</v>
      </c>
      <c r="AQ64" s="1063"/>
      <c r="AR64" s="984">
        <v>7</v>
      </c>
      <c r="AS64" s="1059"/>
      <c r="AT64" s="984">
        <v>8</v>
      </c>
      <c r="AU64" s="1306"/>
      <c r="AV64" s="160">
        <f t="shared" si="5"/>
        <v>0.14285714285714279</v>
      </c>
      <c r="AW64" s="1063"/>
      <c r="AX64" s="1297">
        <v>4</v>
      </c>
      <c r="AY64" s="1299"/>
      <c r="AZ64" s="984">
        <v>2</v>
      </c>
      <c r="BA64" s="1306"/>
      <c r="BB64" s="160">
        <f t="shared" si="6"/>
        <v>-0.5</v>
      </c>
      <c r="BC64" s="1063"/>
      <c r="BD64" s="984">
        <v>3</v>
      </c>
      <c r="BE64" s="1059"/>
      <c r="BF64" s="984">
        <v>1</v>
      </c>
      <c r="BG64" s="1306"/>
      <c r="BH64" s="160">
        <f t="shared" si="7"/>
        <v>-0.66666666666666674</v>
      </c>
      <c r="BI64" s="1063"/>
      <c r="BJ64" s="984">
        <v>4</v>
      </c>
      <c r="BK64" s="1059"/>
      <c r="BL64" s="984">
        <v>1</v>
      </c>
      <c r="BM64" s="1306"/>
      <c r="BN64" s="160">
        <f t="shared" si="8"/>
        <v>-0.75</v>
      </c>
      <c r="BO64" s="1063"/>
      <c r="BP64" s="984">
        <v>1</v>
      </c>
      <c r="BQ64" s="1059"/>
      <c r="BR64" s="984">
        <v>9</v>
      </c>
      <c r="BS64" s="1306"/>
      <c r="BT64" s="160">
        <f t="shared" si="9"/>
        <v>8</v>
      </c>
      <c r="BU64" s="1063"/>
      <c r="BV64" s="984">
        <v>6</v>
      </c>
      <c r="BW64" s="1059"/>
      <c r="BX64" s="984">
        <v>3</v>
      </c>
      <c r="BY64" s="1306"/>
      <c r="BZ64" s="160">
        <f t="shared" si="10"/>
        <v>-0.5</v>
      </c>
      <c r="CA64" s="1039"/>
      <c r="CC64" s="1036"/>
      <c r="CD64" s="1036"/>
      <c r="CE64" s="1036"/>
      <c r="CF64" s="1036"/>
      <c r="CG64" s="1036"/>
      <c r="CH64" s="1036"/>
      <c r="CI64" s="1036"/>
      <c r="CJ64" s="1036"/>
      <c r="CK64" s="1036"/>
    </row>
    <row r="65" spans="1:89" s="957" customFormat="1" ht="14.25">
      <c r="A65" s="1638"/>
      <c r="B65" s="1638"/>
      <c r="C65" s="984">
        <v>27.2</v>
      </c>
      <c r="D65" s="1302" t="s">
        <v>2203</v>
      </c>
      <c r="E65" s="1066" t="s">
        <v>1120</v>
      </c>
      <c r="F65" s="1090" t="s">
        <v>1145</v>
      </c>
      <c r="G65" s="1073"/>
      <c r="H65" s="1062"/>
      <c r="I65" s="1095"/>
      <c r="J65" s="1062">
        <f t="shared" si="19"/>
        <v>2492.1999999999998</v>
      </c>
      <c r="K65" s="1403"/>
      <c r="L65" s="1062">
        <f t="shared" si="20"/>
        <v>2327.6999999999998</v>
      </c>
      <c r="M65" s="1403"/>
      <c r="N65" s="1403">
        <f t="shared" si="13"/>
        <v>0</v>
      </c>
      <c r="O65" s="1350">
        <f t="shared" si="21"/>
        <v>0</v>
      </c>
      <c r="P65" s="1350">
        <f t="shared" si="14"/>
        <v>0</v>
      </c>
      <c r="Q65" s="1350">
        <f t="shared" si="15"/>
        <v>0</v>
      </c>
      <c r="R65" s="1350">
        <f t="shared" si="16"/>
        <v>0</v>
      </c>
      <c r="S65" s="1063"/>
      <c r="T65" s="1060">
        <v>769</v>
      </c>
      <c r="U65" s="1275"/>
      <c r="V65" s="1060">
        <v>760</v>
      </c>
      <c r="W65" s="1275"/>
      <c r="X65" s="160">
        <f t="shared" si="1"/>
        <v>-1.1703511053316018E-2</v>
      </c>
      <c r="Y65" s="1063"/>
      <c r="Z65" s="1060">
        <v>3169</v>
      </c>
      <c r="AA65" s="1059"/>
      <c r="AB65" s="1060">
        <v>3188</v>
      </c>
      <c r="AC65" s="1306"/>
      <c r="AD65" s="160">
        <f t="shared" si="2"/>
        <v>5.9955822025876682E-3</v>
      </c>
      <c r="AE65" s="1063"/>
      <c r="AF65" s="984">
        <v>4858</v>
      </c>
      <c r="AG65" s="1059"/>
      <c r="AH65" s="984">
        <v>4306</v>
      </c>
      <c r="AI65" s="1306"/>
      <c r="AJ65" s="160">
        <f t="shared" si="3"/>
        <v>-0.11362700699876493</v>
      </c>
      <c r="AK65" s="1063"/>
      <c r="AL65" s="984">
        <v>1322</v>
      </c>
      <c r="AM65" s="1059"/>
      <c r="AN65" s="984">
        <v>1182</v>
      </c>
      <c r="AO65" s="1306"/>
      <c r="AP65" s="160">
        <f t="shared" si="4"/>
        <v>-0.10590015128593044</v>
      </c>
      <c r="AQ65" s="1063"/>
      <c r="AR65" s="984">
        <v>4513</v>
      </c>
      <c r="AS65" s="1059"/>
      <c r="AT65" s="984">
        <v>3846</v>
      </c>
      <c r="AU65" s="1306"/>
      <c r="AV65" s="160">
        <f t="shared" si="5"/>
        <v>-0.14779525814314198</v>
      </c>
      <c r="AW65" s="1063"/>
      <c r="AX65" s="1297">
        <v>4094</v>
      </c>
      <c r="AY65" s="1299"/>
      <c r="AZ65" s="984">
        <v>3926</v>
      </c>
      <c r="BA65" s="1306"/>
      <c r="BB65" s="160">
        <f t="shared" si="6"/>
        <v>-4.1035661944308743E-2</v>
      </c>
      <c r="BC65" s="1063"/>
      <c r="BD65" s="984">
        <v>754</v>
      </c>
      <c r="BE65" s="1059"/>
      <c r="BF65" s="984">
        <v>792</v>
      </c>
      <c r="BG65" s="1306"/>
      <c r="BH65" s="160">
        <f t="shared" si="7"/>
        <v>5.0397877984084793E-2</v>
      </c>
      <c r="BI65" s="1063"/>
      <c r="BJ65" s="984">
        <v>3457</v>
      </c>
      <c r="BK65" s="1059"/>
      <c r="BL65" s="984">
        <v>3239</v>
      </c>
      <c r="BM65" s="1306"/>
      <c r="BN65" s="160">
        <f t="shared" si="8"/>
        <v>-6.3060457043679463E-2</v>
      </c>
      <c r="BO65" s="1063"/>
      <c r="BP65" s="984">
        <v>734</v>
      </c>
      <c r="BQ65" s="1059"/>
      <c r="BR65" s="984">
        <v>803</v>
      </c>
      <c r="BS65" s="1306"/>
      <c r="BT65" s="160">
        <f t="shared" si="9"/>
        <v>9.4005449591280543E-2</v>
      </c>
      <c r="BU65" s="1063"/>
      <c r="BV65" s="984">
        <v>1252</v>
      </c>
      <c r="BW65" s="1059"/>
      <c r="BX65" s="984">
        <v>1235</v>
      </c>
      <c r="BY65" s="1306"/>
      <c r="BZ65" s="160">
        <f t="shared" si="10"/>
        <v>-1.3578274760383424E-2</v>
      </c>
      <c r="CA65" s="1039"/>
      <c r="CC65" s="1036"/>
      <c r="CD65" s="1036"/>
      <c r="CE65" s="1036"/>
      <c r="CF65" s="1036"/>
      <c r="CG65" s="1036"/>
      <c r="CH65" s="1036"/>
      <c r="CI65" s="1036"/>
      <c r="CJ65" s="1036"/>
      <c r="CK65" s="1036"/>
    </row>
    <row r="66" spans="1:89" s="1078" customFormat="1" ht="28.5">
      <c r="A66" s="1096" t="s">
        <v>1153</v>
      </c>
      <c r="B66" s="1097" t="s">
        <v>1154</v>
      </c>
      <c r="C66" s="970">
        <v>28</v>
      </c>
      <c r="D66" s="1087" t="s">
        <v>2221</v>
      </c>
      <c r="E66" s="1066" t="s">
        <v>1120</v>
      </c>
      <c r="F66" s="1073"/>
      <c r="G66" s="1073" t="s">
        <v>1506</v>
      </c>
      <c r="H66" s="1062" t="s">
        <v>230</v>
      </c>
      <c r="I66" s="1061">
        <v>1</v>
      </c>
      <c r="J66" s="1098" t="s">
        <v>1156</v>
      </c>
      <c r="K66" s="1403">
        <f>AVERAGE(BW66,BQ66,BK66,BE66,AY66,AS66,AM66,AG66,AA66,U66)</f>
        <v>1</v>
      </c>
      <c r="L66" s="1098" t="s">
        <v>1156</v>
      </c>
      <c r="M66" s="1403">
        <f>AVERAGE(BY66,BS66,BM66,BG66,BA66,AU66,AO66,AI66,AC66,W66)</f>
        <v>1</v>
      </c>
      <c r="N66" s="1403">
        <f t="shared" si="13"/>
        <v>0</v>
      </c>
      <c r="O66" s="1350">
        <f t="shared" si="21"/>
        <v>0</v>
      </c>
      <c r="P66" s="1350">
        <f t="shared" si="14"/>
        <v>0</v>
      </c>
      <c r="Q66" s="1350">
        <f t="shared" si="15"/>
        <v>0</v>
      </c>
      <c r="R66" s="1350">
        <f t="shared" si="16"/>
        <v>0</v>
      </c>
      <c r="S66" s="1063" t="s">
        <v>1134</v>
      </c>
      <c r="T66" s="1060" t="s">
        <v>1156</v>
      </c>
      <c r="U66" s="1275">
        <v>1</v>
      </c>
      <c r="V66" s="1060" t="s">
        <v>1156</v>
      </c>
      <c r="W66" s="1275">
        <v>1</v>
      </c>
      <c r="X66" s="160">
        <f>IF((V66=T66)=TRUE,0,1)</f>
        <v>0</v>
      </c>
      <c r="Y66" s="1063"/>
      <c r="Z66" s="1060" t="s">
        <v>1156</v>
      </c>
      <c r="AA66" s="1059">
        <v>1</v>
      </c>
      <c r="AB66" s="1060" t="s">
        <v>1156</v>
      </c>
      <c r="AC66" s="1306">
        <v>1</v>
      </c>
      <c r="AD66" s="160">
        <f>IF((AB66=Z66)=TRUE,0,1)</f>
        <v>0</v>
      </c>
      <c r="AE66" s="1063"/>
      <c r="AF66" s="1060" t="s">
        <v>1156</v>
      </c>
      <c r="AG66" s="1059">
        <v>1</v>
      </c>
      <c r="AH66" s="1060" t="s">
        <v>1156</v>
      </c>
      <c r="AI66" s="1306">
        <v>1</v>
      </c>
      <c r="AJ66" s="160">
        <f>IF((AH66=AF66)=TRUE,0,1)</f>
        <v>0</v>
      </c>
      <c r="AK66" s="1063"/>
      <c r="AL66" s="1060" t="s">
        <v>1156</v>
      </c>
      <c r="AM66" s="1059">
        <v>1</v>
      </c>
      <c r="AN66" s="1060" t="s">
        <v>1156</v>
      </c>
      <c r="AO66" s="1306">
        <v>1</v>
      </c>
      <c r="AP66" s="160">
        <f>IF((AN66=AL66)=TRUE,0,1)</f>
        <v>0</v>
      </c>
      <c r="AQ66" s="1063"/>
      <c r="AR66" s="1060" t="s">
        <v>1156</v>
      </c>
      <c r="AS66" s="1059">
        <v>1</v>
      </c>
      <c r="AT66" s="1060" t="s">
        <v>1156</v>
      </c>
      <c r="AU66" s="1306">
        <v>1</v>
      </c>
      <c r="AV66" s="160">
        <f>IF((AT66=AR66)=TRUE,0,1)</f>
        <v>0</v>
      </c>
      <c r="AW66" s="1063"/>
      <c r="AX66" s="1272" t="s">
        <v>1156</v>
      </c>
      <c r="AY66" s="1299">
        <v>1</v>
      </c>
      <c r="AZ66" s="1272" t="s">
        <v>1156</v>
      </c>
      <c r="BA66" s="1306">
        <v>1</v>
      </c>
      <c r="BB66" s="160">
        <f>IF((AZ66=AX66)=TRUE,0,1)</f>
        <v>0</v>
      </c>
      <c r="BC66" s="1063"/>
      <c r="BD66" s="1060" t="s">
        <v>1156</v>
      </c>
      <c r="BE66" s="1059">
        <v>1</v>
      </c>
      <c r="BF66" s="1060" t="s">
        <v>1156</v>
      </c>
      <c r="BG66" s="1306">
        <v>1</v>
      </c>
      <c r="BH66" s="160">
        <f>IF((BF66=BD66)=TRUE,0,1)</f>
        <v>0</v>
      </c>
      <c r="BI66" s="1063"/>
      <c r="BJ66" s="1060" t="s">
        <v>1156</v>
      </c>
      <c r="BK66" s="1059">
        <v>1</v>
      </c>
      <c r="BL66" s="1060" t="s">
        <v>1156</v>
      </c>
      <c r="BM66" s="1306">
        <v>1</v>
      </c>
      <c r="BN66" s="160">
        <f>IF((BL66=BJ66)=TRUE,0,1)</f>
        <v>0</v>
      </c>
      <c r="BO66" s="1063"/>
      <c r="BP66" s="1060" t="s">
        <v>1156</v>
      </c>
      <c r="BQ66" s="1059">
        <v>1</v>
      </c>
      <c r="BR66" s="1060" t="s">
        <v>1156</v>
      </c>
      <c r="BS66" s="1306">
        <v>1</v>
      </c>
      <c r="BT66" s="160">
        <f>IF((BR66=BP66)=TRUE,0,1)</f>
        <v>0</v>
      </c>
      <c r="BU66" s="1063"/>
      <c r="BV66" s="984" t="s">
        <v>1156</v>
      </c>
      <c r="BW66" s="1059">
        <v>1</v>
      </c>
      <c r="BX66" s="984" t="s">
        <v>1156</v>
      </c>
      <c r="BY66" s="1306">
        <v>1</v>
      </c>
      <c r="BZ66" s="160">
        <f>IF((BX66=BV66)=TRUE,0,1)</f>
        <v>0</v>
      </c>
      <c r="CA66" s="1039"/>
      <c r="CC66" s="1036"/>
      <c r="CD66" s="1036"/>
      <c r="CE66" s="1036"/>
      <c r="CF66" s="1036"/>
      <c r="CG66" s="1036"/>
      <c r="CH66" s="1036"/>
      <c r="CI66" s="1036"/>
      <c r="CJ66" s="1036"/>
      <c r="CK66" s="1036"/>
    </row>
    <row r="67" spans="1:89" s="957" customFormat="1" ht="14.25">
      <c r="A67" s="1638" t="s">
        <v>2261</v>
      </c>
      <c r="B67" s="1638" t="s">
        <v>1157</v>
      </c>
      <c r="C67" s="970">
        <v>29</v>
      </c>
      <c r="D67" s="1057" t="s">
        <v>1695</v>
      </c>
      <c r="E67" s="1066" t="s">
        <v>1106</v>
      </c>
      <c r="F67" s="1090" t="s">
        <v>637</v>
      </c>
      <c r="G67" s="1073" t="s">
        <v>1507</v>
      </c>
      <c r="H67" s="1062" t="s">
        <v>230</v>
      </c>
      <c r="I67" s="1647">
        <v>6</v>
      </c>
      <c r="J67" s="1062">
        <f>AVERAGE(BV67,BP67,BJ67,BD67,AX67,AR67,AL67,AF67,Z67,T67)</f>
        <v>0</v>
      </c>
      <c r="K67" s="1403">
        <f>AVERAGE(BW67,BQ67,BK67,BE67,AY67,AS67,AM67,AG67,AA67,U67)</f>
        <v>6</v>
      </c>
      <c r="L67" s="1062">
        <f>AVERAGE(BX67,BR67,BL67,BF67,AZ67,AT67,AN67,AH67,AB67,V67)</f>
        <v>0</v>
      </c>
      <c r="M67" s="1403">
        <f>AVERAGE(BY67,BS67,BM67,BG67,BA67,AU67,AO67,AI67,AC67,W67)</f>
        <v>6</v>
      </c>
      <c r="N67" s="1403">
        <f t="shared" si="13"/>
        <v>0</v>
      </c>
      <c r="O67" s="1350">
        <f t="shared" si="21"/>
        <v>0</v>
      </c>
      <c r="P67" s="1350">
        <f t="shared" si="14"/>
        <v>0</v>
      </c>
      <c r="Q67" s="1350">
        <f t="shared" si="15"/>
        <v>0</v>
      </c>
      <c r="R67" s="1350">
        <f t="shared" si="16"/>
        <v>0</v>
      </c>
      <c r="S67" s="1063"/>
      <c r="T67" s="1060">
        <v>0</v>
      </c>
      <c r="U67" s="1649">
        <f>6-T67*0.5-T68*3</f>
        <v>6</v>
      </c>
      <c r="V67" s="1060">
        <v>0</v>
      </c>
      <c r="W67" s="1649">
        <f>6-V67*0.5-V68*3</f>
        <v>6</v>
      </c>
      <c r="X67" s="160">
        <f t="shared" si="1"/>
        <v>0</v>
      </c>
      <c r="Y67" s="1063"/>
      <c r="Z67" s="1060">
        <v>0</v>
      </c>
      <c r="AA67" s="1626">
        <f>6-Z67*0.5-Z68*3</f>
        <v>6</v>
      </c>
      <c r="AB67" s="1060">
        <v>0</v>
      </c>
      <c r="AC67" s="1625">
        <f>6-AB67*0.5-AB68*3</f>
        <v>6</v>
      </c>
      <c r="AD67" s="160">
        <f t="shared" si="2"/>
        <v>0</v>
      </c>
      <c r="AE67" s="1063"/>
      <c r="AF67" s="1060">
        <v>0</v>
      </c>
      <c r="AG67" s="1626">
        <f>6-AF67*0.5-AF68*3</f>
        <v>6</v>
      </c>
      <c r="AH67" s="1060">
        <v>0</v>
      </c>
      <c r="AI67" s="1625">
        <f>6-AH67*0.5-AH68*3</f>
        <v>6</v>
      </c>
      <c r="AJ67" s="160">
        <f t="shared" si="3"/>
        <v>0</v>
      </c>
      <c r="AK67" s="1063"/>
      <c r="AL67" s="1060">
        <v>0</v>
      </c>
      <c r="AM67" s="1626">
        <f>6-AL67*0.5-AL68*3</f>
        <v>6</v>
      </c>
      <c r="AN67" s="1060">
        <v>0</v>
      </c>
      <c r="AO67" s="1625">
        <f>6-AN67*0.5-AN68*3</f>
        <v>6</v>
      </c>
      <c r="AP67" s="160">
        <f t="shared" si="4"/>
        <v>0</v>
      </c>
      <c r="AQ67" s="1063"/>
      <c r="AR67" s="1060">
        <v>0</v>
      </c>
      <c r="AS67" s="1626">
        <f>6-AR67*0.5-AR68*3</f>
        <v>6</v>
      </c>
      <c r="AT67" s="1060">
        <v>0</v>
      </c>
      <c r="AU67" s="1625">
        <f>6-AT67*0.5-AT68*3</f>
        <v>6</v>
      </c>
      <c r="AV67" s="160">
        <f t="shared" si="5"/>
        <v>0</v>
      </c>
      <c r="AW67" s="1063"/>
      <c r="AX67" s="1272">
        <v>0</v>
      </c>
      <c r="AY67" s="1635">
        <f>6-AX67*0.5-AX68*3</f>
        <v>6</v>
      </c>
      <c r="AZ67" s="1272">
        <v>0</v>
      </c>
      <c r="BA67" s="1625">
        <f>6-AZ67*0.5-AZ68*3</f>
        <v>6</v>
      </c>
      <c r="BB67" s="160">
        <f t="shared" si="6"/>
        <v>0</v>
      </c>
      <c r="BC67" s="1063"/>
      <c r="BD67" s="1060">
        <v>0</v>
      </c>
      <c r="BE67" s="1626">
        <f>6-BD67*0.5-BD68*3</f>
        <v>6</v>
      </c>
      <c r="BF67" s="1060">
        <v>0</v>
      </c>
      <c r="BG67" s="1625">
        <f>6-BF67*0.5-BF68*3</f>
        <v>6</v>
      </c>
      <c r="BH67" s="160">
        <f t="shared" si="7"/>
        <v>0</v>
      </c>
      <c r="BI67" s="1063"/>
      <c r="BJ67" s="1060">
        <v>0</v>
      </c>
      <c r="BK67" s="1626">
        <f>6-BJ67*0.5-BJ68*3</f>
        <v>6</v>
      </c>
      <c r="BL67" s="1060">
        <v>0</v>
      </c>
      <c r="BM67" s="1625">
        <f>6-BL67*0.5-BL68*3</f>
        <v>6</v>
      </c>
      <c r="BN67" s="160">
        <f t="shared" si="8"/>
        <v>0</v>
      </c>
      <c r="BO67" s="1063"/>
      <c r="BP67" s="1060">
        <v>0</v>
      </c>
      <c r="BQ67" s="1626">
        <f>6-BP67*0.5-BP68*3</f>
        <v>6</v>
      </c>
      <c r="BR67" s="1060">
        <v>0</v>
      </c>
      <c r="BS67" s="1625">
        <f>6-BR67*0.5-BR68*3</f>
        <v>6</v>
      </c>
      <c r="BT67" s="160">
        <f t="shared" si="9"/>
        <v>0</v>
      </c>
      <c r="BU67" s="1063"/>
      <c r="BV67" s="1060">
        <v>0</v>
      </c>
      <c r="BW67" s="1626">
        <f>6-BV67*0.5-BV68*3</f>
        <v>6</v>
      </c>
      <c r="BX67" s="1060">
        <v>0</v>
      </c>
      <c r="BY67" s="1625">
        <f>6-BX67*0.5-BX68*3</f>
        <v>6</v>
      </c>
      <c r="BZ67" s="160">
        <f t="shared" si="10"/>
        <v>0</v>
      </c>
      <c r="CA67" s="1039"/>
      <c r="CC67" s="1036"/>
      <c r="CD67" s="1036"/>
      <c r="CE67" s="1036"/>
      <c r="CF67" s="1036"/>
      <c r="CG67" s="1036"/>
      <c r="CH67" s="1036"/>
      <c r="CI67" s="1036"/>
      <c r="CJ67" s="1036"/>
      <c r="CK67" s="1036"/>
    </row>
    <row r="68" spans="1:89" s="957" customFormat="1" ht="14.25">
      <c r="A68" s="1638"/>
      <c r="B68" s="1638"/>
      <c r="C68" s="970">
        <v>30</v>
      </c>
      <c r="D68" s="1057" t="s">
        <v>1158</v>
      </c>
      <c r="E68" s="1066" t="s">
        <v>1106</v>
      </c>
      <c r="F68" s="1090" t="s">
        <v>637</v>
      </c>
      <c r="G68" s="1073" t="s">
        <v>402</v>
      </c>
      <c r="H68" s="1062" t="s">
        <v>230</v>
      </c>
      <c r="I68" s="1647"/>
      <c r="J68" s="1062">
        <f>AVERAGE(BV68,BP68,BJ68,BD68,AX68,AR68,AL68,AF68,Z68,T68)</f>
        <v>0</v>
      </c>
      <c r="K68" s="1403">
        <v>0</v>
      </c>
      <c r="L68" s="1062">
        <f>AVERAGE(BX68,BR68,BL68,BF68,AZ68,AT68,AN68,AH68,AB68,V68)</f>
        <v>0</v>
      </c>
      <c r="M68" s="1403"/>
      <c r="N68" s="1403">
        <f t="shared" si="13"/>
        <v>0</v>
      </c>
      <c r="O68" s="1350">
        <f t="shared" si="21"/>
        <v>0</v>
      </c>
      <c r="P68" s="1350">
        <f t="shared" si="14"/>
        <v>0</v>
      </c>
      <c r="Q68" s="1350">
        <f t="shared" si="15"/>
        <v>0</v>
      </c>
      <c r="R68" s="1350">
        <f t="shared" si="16"/>
        <v>0</v>
      </c>
      <c r="S68" s="1063"/>
      <c r="T68" s="1060">
        <v>0</v>
      </c>
      <c r="U68" s="1649"/>
      <c r="V68" s="1060">
        <v>0</v>
      </c>
      <c r="W68" s="1649"/>
      <c r="X68" s="160">
        <f>IF(AND(T68=0,V68&lt;&gt;0),1,IF(AND(T68=0,V68=0),0,V68/T68-1))</f>
        <v>0</v>
      </c>
      <c r="Y68" s="1063"/>
      <c r="Z68" s="1060">
        <v>0</v>
      </c>
      <c r="AA68" s="1626"/>
      <c r="AB68" s="1060">
        <v>0</v>
      </c>
      <c r="AC68" s="1625"/>
      <c r="AD68" s="160">
        <f>IF(AND(Z68=0,AB68&lt;&gt;0),1,IF(AND(Z68=0,AB68=0),0,AB68/Z68-1))</f>
        <v>0</v>
      </c>
      <c r="AE68" s="1063"/>
      <c r="AF68" s="1060">
        <v>0</v>
      </c>
      <c r="AG68" s="1626"/>
      <c r="AH68" s="1060">
        <v>0</v>
      </c>
      <c r="AI68" s="1625"/>
      <c r="AJ68" s="160">
        <f>IF(AND(AF68=0,AH68&lt;&gt;0),1,IF(AND(AF68=0,AH68=0),0,AH68/AF68-1))</f>
        <v>0</v>
      </c>
      <c r="AK68" s="1063"/>
      <c r="AL68" s="1060">
        <v>0</v>
      </c>
      <c r="AM68" s="1626"/>
      <c r="AN68" s="1060">
        <v>0</v>
      </c>
      <c r="AO68" s="1625"/>
      <c r="AP68" s="160">
        <f>IF(AND(AL68=0,AN68&lt;&gt;0),1,IF(AND(AL68=0,AN68=0),0,AN68/AL68-1))</f>
        <v>0</v>
      </c>
      <c r="AQ68" s="1063"/>
      <c r="AR68" s="1060">
        <v>0</v>
      </c>
      <c r="AS68" s="1626"/>
      <c r="AT68" s="1060">
        <v>0</v>
      </c>
      <c r="AU68" s="1625"/>
      <c r="AV68" s="160">
        <f>IF(AND(AR68=0,AT68&lt;&gt;0),1,IF(AND(AR68=0,AT68=0),0,AT68/AR68-1))</f>
        <v>0</v>
      </c>
      <c r="AW68" s="1063"/>
      <c r="AX68" s="1272">
        <v>0</v>
      </c>
      <c r="AY68" s="1635"/>
      <c r="AZ68" s="1272">
        <v>0</v>
      </c>
      <c r="BA68" s="1625"/>
      <c r="BB68" s="160">
        <f>IF(AND(AX68=0,AZ68&lt;&gt;0),1,IF(AND(AX68=0,AZ68=0),0,AZ68/AX68-1))</f>
        <v>0</v>
      </c>
      <c r="BC68" s="1063"/>
      <c r="BD68" s="1060">
        <v>0</v>
      </c>
      <c r="BE68" s="1626"/>
      <c r="BF68" s="1060">
        <v>0</v>
      </c>
      <c r="BG68" s="1625"/>
      <c r="BH68" s="160">
        <f>IF(AND(BD68=0,BF68&lt;&gt;0),1,IF(AND(BD68=0,BF68=0),0,BF68/BD68-1))</f>
        <v>0</v>
      </c>
      <c r="BI68" s="1063"/>
      <c r="BJ68" s="1060">
        <v>0</v>
      </c>
      <c r="BK68" s="1626"/>
      <c r="BL68" s="1060">
        <v>0</v>
      </c>
      <c r="BM68" s="1625"/>
      <c r="BN68" s="160">
        <f>IF(AND(BJ68=0,BL68&lt;&gt;0),1,IF(AND(BJ68=0,BL68=0),0,BL68/BJ68-1))</f>
        <v>0</v>
      </c>
      <c r="BO68" s="1063"/>
      <c r="BP68" s="1060">
        <v>0</v>
      </c>
      <c r="BQ68" s="1626"/>
      <c r="BR68" s="1060">
        <v>0</v>
      </c>
      <c r="BS68" s="1625"/>
      <c r="BT68" s="160">
        <f>IF(AND(BP68=0,BR68&lt;&gt;0),1,IF(AND(BP68=0,BR68=0),0,BR68/BP68-1))</f>
        <v>0</v>
      </c>
      <c r="BU68" s="1063"/>
      <c r="BV68" s="1060">
        <v>0</v>
      </c>
      <c r="BW68" s="1626"/>
      <c r="BX68" s="1060">
        <v>0</v>
      </c>
      <c r="BY68" s="1625"/>
      <c r="BZ68" s="160">
        <f>IF(AND(BV68=0,BX68&lt;&gt;0),1,IF(AND(BV68=0,BX68=0),0,BX68/BV68-1))</f>
        <v>0</v>
      </c>
      <c r="CA68" s="1039"/>
      <c r="CC68" s="1036"/>
      <c r="CD68" s="1036"/>
      <c r="CE68" s="1036"/>
      <c r="CF68" s="1036"/>
      <c r="CG68" s="1036"/>
      <c r="CH68" s="1036"/>
      <c r="CI68" s="1036"/>
      <c r="CJ68" s="1036"/>
      <c r="CK68" s="1036"/>
    </row>
    <row r="69" spans="1:89" s="957" customFormat="1" ht="28.5">
      <c r="A69" s="1090" t="s">
        <v>1159</v>
      </c>
      <c r="B69" s="1099" t="s">
        <v>1160</v>
      </c>
      <c r="C69" s="970">
        <v>31</v>
      </c>
      <c r="D69" s="1057" t="s">
        <v>2040</v>
      </c>
      <c r="E69" s="1066" t="s">
        <v>1106</v>
      </c>
      <c r="F69" s="1090" t="s">
        <v>637</v>
      </c>
      <c r="G69" s="1073" t="s">
        <v>402</v>
      </c>
      <c r="H69" s="1062" t="s">
        <v>230</v>
      </c>
      <c r="I69" s="1061" t="s">
        <v>1508</v>
      </c>
      <c r="J69" s="1062">
        <f>AVERAGE(BV69,BP69,BJ69,BD69,AX69,AR69,AL69,AF69,Z69,T69)</f>
        <v>0</v>
      </c>
      <c r="K69" s="1406"/>
      <c r="L69" s="1062">
        <f>AVERAGE(BX69,BR69,BL69,BF69,AZ69,AT69,AN69,AH69,AB69,V69)</f>
        <v>0</v>
      </c>
      <c r="M69" s="1406"/>
      <c r="N69" s="1403">
        <f>M69-K69</f>
        <v>0</v>
      </c>
      <c r="O69" s="1351"/>
      <c r="P69" s="1351"/>
      <c r="Q69" s="1351"/>
      <c r="R69" s="1351"/>
      <c r="S69" s="1063"/>
      <c r="T69" s="1060">
        <v>0</v>
      </c>
      <c r="U69" s="1275" t="s">
        <v>1509</v>
      </c>
      <c r="V69" s="1060">
        <v>0</v>
      </c>
      <c r="W69" s="1275" t="s">
        <v>1509</v>
      </c>
      <c r="X69" s="160">
        <f>IF(AND(T69=0,V69&lt;&gt;0),1,IF(AND(T69=0,V69=0),0,V69/T69-1))</f>
        <v>0</v>
      </c>
      <c r="Y69" s="1063"/>
      <c r="Z69" s="1060">
        <v>0</v>
      </c>
      <c r="AA69" s="1059" t="s">
        <v>1078</v>
      </c>
      <c r="AB69" s="1060">
        <v>0</v>
      </c>
      <c r="AC69" s="1306" t="s">
        <v>1078</v>
      </c>
      <c r="AD69" s="160">
        <f>IF(AND(Z69=0,AB69&lt;&gt;0),1,IF(AND(Z69=0,AB69=0),0,AB69/Z69-1))</f>
        <v>0</v>
      </c>
      <c r="AE69" s="1063"/>
      <c r="AF69" s="1060">
        <v>0</v>
      </c>
      <c r="AG69" s="1059" t="s">
        <v>1078</v>
      </c>
      <c r="AH69" s="1060">
        <v>0</v>
      </c>
      <c r="AI69" s="1306" t="s">
        <v>1078</v>
      </c>
      <c r="AJ69" s="160">
        <f>IF(AND(AF69=0,AH69&lt;&gt;0),1,IF(AND(AF69=0,AH69=0),0,AH69/AF69-1))</f>
        <v>0</v>
      </c>
      <c r="AK69" s="1063"/>
      <c r="AL69" s="1060">
        <v>0</v>
      </c>
      <c r="AM69" s="1059" t="s">
        <v>1078</v>
      </c>
      <c r="AN69" s="1060">
        <v>0</v>
      </c>
      <c r="AO69" s="1306" t="s">
        <v>1078</v>
      </c>
      <c r="AP69" s="160">
        <f>IF(AND(AL69=0,AN69&lt;&gt;0),1,IF(AND(AL69=0,AN69=0),0,AN69/AL69-1))</f>
        <v>0</v>
      </c>
      <c r="AQ69" s="1063"/>
      <c r="AR69" s="1060">
        <v>0</v>
      </c>
      <c r="AS69" s="1059" t="s">
        <v>1078</v>
      </c>
      <c r="AT69" s="1060">
        <v>0</v>
      </c>
      <c r="AU69" s="1306" t="s">
        <v>1078</v>
      </c>
      <c r="AV69" s="160">
        <f>IF(AND(AR69=0,AT69&lt;&gt;0),1,IF(AND(AR69=0,AT69=0),0,AT69/AR69-1))</f>
        <v>0</v>
      </c>
      <c r="AW69" s="1063"/>
      <c r="AX69" s="1272">
        <v>0</v>
      </c>
      <c r="AY69" s="1299" t="s">
        <v>1078</v>
      </c>
      <c r="AZ69" s="1272">
        <v>0</v>
      </c>
      <c r="BA69" s="1306" t="s">
        <v>1078</v>
      </c>
      <c r="BB69" s="160">
        <f>IF(AND(AX69=0,AZ69&lt;&gt;0),1,IF(AND(AX69=0,AZ69=0),0,AZ69/AX69-1))</f>
        <v>0</v>
      </c>
      <c r="BC69" s="1063"/>
      <c r="BD69" s="1060">
        <v>0</v>
      </c>
      <c r="BE69" s="1059" t="s">
        <v>1078</v>
      </c>
      <c r="BF69" s="1060">
        <v>0</v>
      </c>
      <c r="BG69" s="1306" t="s">
        <v>1078</v>
      </c>
      <c r="BH69" s="160">
        <f>IF(AND(BD69=0,BF69&lt;&gt;0),1,IF(AND(BD69=0,BF69=0),0,BF69/BD69-1))</f>
        <v>0</v>
      </c>
      <c r="BI69" s="1063"/>
      <c r="BJ69" s="1060">
        <v>0</v>
      </c>
      <c r="BK69" s="1059" t="s">
        <v>1078</v>
      </c>
      <c r="BL69" s="1060">
        <v>0</v>
      </c>
      <c r="BM69" s="1306" t="s">
        <v>1078</v>
      </c>
      <c r="BN69" s="160">
        <f>IF(AND(BJ69=0,BL69&lt;&gt;0),1,IF(AND(BJ69=0,BL69=0),0,BL69/BJ69-1))</f>
        <v>0</v>
      </c>
      <c r="BO69" s="1063"/>
      <c r="BP69" s="1060">
        <v>0</v>
      </c>
      <c r="BQ69" s="1059" t="s">
        <v>1078</v>
      </c>
      <c r="BR69" s="1060">
        <v>0</v>
      </c>
      <c r="BS69" s="1306" t="s">
        <v>1078</v>
      </c>
      <c r="BT69" s="160">
        <f>IF(AND(BP69=0,BR69&lt;&gt;0),1,IF(AND(BP69=0,BR69=0),0,BR69/BP69-1))</f>
        <v>0</v>
      </c>
      <c r="BU69" s="1063"/>
      <c r="BV69" s="1060">
        <v>0</v>
      </c>
      <c r="BW69" s="1059" t="s">
        <v>1078</v>
      </c>
      <c r="BX69" s="1060">
        <v>0</v>
      </c>
      <c r="BY69" s="1306" t="s">
        <v>1078</v>
      </c>
      <c r="BZ69" s="160">
        <f>IF(AND(BV69=0,BX69&lt;&gt;0),1,IF(AND(BV69=0,BX69=0),0,BX69/BV69-1))</f>
        <v>0</v>
      </c>
      <c r="CA69" s="1039"/>
      <c r="CC69" s="1036"/>
      <c r="CD69" s="1036"/>
      <c r="CE69" s="1036"/>
      <c r="CF69" s="1036"/>
      <c r="CG69" s="1036"/>
      <c r="CH69" s="1036"/>
      <c r="CI69" s="1036"/>
      <c r="CJ69" s="1036"/>
      <c r="CK69" s="1036"/>
    </row>
    <row r="70" spans="1:89" s="957" customFormat="1" ht="14.25">
      <c r="A70" s="1638" t="s">
        <v>2260</v>
      </c>
      <c r="B70" s="1638" t="s">
        <v>1163</v>
      </c>
      <c r="C70" s="970">
        <v>32</v>
      </c>
      <c r="D70" s="1057" t="s">
        <v>2042</v>
      </c>
      <c r="E70" s="1066" t="s">
        <v>205</v>
      </c>
      <c r="F70" s="1073"/>
      <c r="G70" s="1073" t="s">
        <v>1510</v>
      </c>
      <c r="H70" s="1062" t="s">
        <v>230</v>
      </c>
      <c r="I70" s="1647">
        <v>3</v>
      </c>
      <c r="J70" s="1062">
        <f>AVERAGE(BV70,BP70,BJ70,BD70,AX70,AR70,AL70,AF70,Z70,T70)</f>
        <v>0</v>
      </c>
      <c r="K70" s="1403">
        <f>AVERAGE(BW70,BQ70,BK70,BE70,AY70,AS70,AM70,AG70,AA70,U70)</f>
        <v>3</v>
      </c>
      <c r="L70" s="1062">
        <f>AVERAGE(BX70,BR70,BL70,BF70,AZ70,AT70,AN70,AH70,AB70,V70)</f>
        <v>0</v>
      </c>
      <c r="M70" s="1403">
        <f>AVERAGE(BY70,BS70,BM70,BG70,BA70,AU70,AO70,AI70,AC70,W70)</f>
        <v>3</v>
      </c>
      <c r="N70" s="1403">
        <f>M70-K70</f>
        <v>0</v>
      </c>
      <c r="O70" s="1350">
        <f>I70-M70</f>
        <v>0</v>
      </c>
      <c r="P70" s="1350">
        <f>O70*0.7</f>
        <v>0</v>
      </c>
      <c r="Q70" s="1350">
        <f>P70/9</f>
        <v>0</v>
      </c>
      <c r="R70" s="1350">
        <f t="shared" ref="R70:R77" si="22">Q70/2</f>
        <v>0</v>
      </c>
      <c r="S70" s="1063"/>
      <c r="T70" s="1060">
        <v>0</v>
      </c>
      <c r="U70" s="1649">
        <f>3-T70*0.5-T71*1</f>
        <v>3</v>
      </c>
      <c r="V70" s="1060">
        <v>0</v>
      </c>
      <c r="W70" s="1649">
        <f>3-V70*0.5-V71*1</f>
        <v>3</v>
      </c>
      <c r="X70" s="160">
        <f>IF(AND(T70=0,V70&lt;&gt;0),1,IF(AND(T70=0,V70=0),0,V70/T70-1))</f>
        <v>0</v>
      </c>
      <c r="Y70" s="1063"/>
      <c r="Z70" s="1060">
        <v>0</v>
      </c>
      <c r="AA70" s="1626">
        <f>3-Z70*0.5-Z71*1</f>
        <v>3</v>
      </c>
      <c r="AB70" s="1060">
        <v>0</v>
      </c>
      <c r="AC70" s="1625">
        <f>3-AB70*0.5-AB71*1</f>
        <v>3</v>
      </c>
      <c r="AD70" s="160">
        <f>IF(AND(Z70=0,AB70&lt;&gt;0),1,IF(AND(Z70=0,AB70=0),0,AB70/Z70-1))</f>
        <v>0</v>
      </c>
      <c r="AE70" s="1063"/>
      <c r="AF70" s="1060">
        <v>0</v>
      </c>
      <c r="AG70" s="1626">
        <f>3-AF70*0.5-AF71*1</f>
        <v>3</v>
      </c>
      <c r="AH70" s="1060">
        <v>0</v>
      </c>
      <c r="AI70" s="1625">
        <f>3-AH70*0.5-AH71*1</f>
        <v>3</v>
      </c>
      <c r="AJ70" s="160">
        <f>IF(AND(AF70=0,AH70&lt;&gt;0),1,IF(AND(AF70=0,AH70=0),0,AH70/AF70-1))</f>
        <v>0</v>
      </c>
      <c r="AK70" s="1063"/>
      <c r="AL70" s="1060">
        <v>0</v>
      </c>
      <c r="AM70" s="1626">
        <f>3-AL70*0.5-AL71*1</f>
        <v>3</v>
      </c>
      <c r="AN70" s="1060">
        <v>0</v>
      </c>
      <c r="AO70" s="1625">
        <f>3-AN70*0.5-AN71*1</f>
        <v>3</v>
      </c>
      <c r="AP70" s="160">
        <f>IF(AND(AL70=0,AN70&lt;&gt;0),1,IF(AND(AL70=0,AN70=0),0,AN70/AL70-1))</f>
        <v>0</v>
      </c>
      <c r="AQ70" s="1063"/>
      <c r="AR70" s="1060">
        <v>0</v>
      </c>
      <c r="AS70" s="1626">
        <f>3-AR70*0.5-AR71*1</f>
        <v>3</v>
      </c>
      <c r="AT70" s="1060">
        <v>0</v>
      </c>
      <c r="AU70" s="1625">
        <f>3-AT70*0.5-AT71*1</f>
        <v>3</v>
      </c>
      <c r="AV70" s="160">
        <f>IF(AND(AR70=0,AT70&lt;&gt;0),1,IF(AND(AR70=0,AT70=0),0,AT70/AR70-1))</f>
        <v>0</v>
      </c>
      <c r="AW70" s="1063"/>
      <c r="AX70" s="1272">
        <v>0</v>
      </c>
      <c r="AY70" s="1635">
        <f>3-AX70*0.5-AX71*1</f>
        <v>3</v>
      </c>
      <c r="AZ70" s="1272">
        <v>0</v>
      </c>
      <c r="BA70" s="1625">
        <f>3-AZ70*0.5-AZ71*1</f>
        <v>3</v>
      </c>
      <c r="BB70" s="160">
        <f>IF(AND(AX70=0,AZ70&lt;&gt;0),1,IF(AND(AX70=0,AZ70=0),0,AZ70/AX70-1))</f>
        <v>0</v>
      </c>
      <c r="BC70" s="1063"/>
      <c r="BD70" s="1060">
        <v>0</v>
      </c>
      <c r="BE70" s="1626">
        <f>3-BD70*0.5-BD71*1</f>
        <v>3</v>
      </c>
      <c r="BF70" s="1060">
        <v>0</v>
      </c>
      <c r="BG70" s="1625">
        <f>3-BF70*0.5-BF71*1</f>
        <v>3</v>
      </c>
      <c r="BH70" s="160">
        <f>IF(AND(BD70=0,BF70&lt;&gt;0),1,IF(AND(BD70=0,BF70=0),0,BF70/BD70-1))</f>
        <v>0</v>
      </c>
      <c r="BI70" s="1063"/>
      <c r="BJ70" s="1060">
        <v>0</v>
      </c>
      <c r="BK70" s="1626">
        <f>3-BJ70*0.5-BJ71*1</f>
        <v>3</v>
      </c>
      <c r="BL70" s="1060">
        <v>0</v>
      </c>
      <c r="BM70" s="1625">
        <f>3-BL70*0.5-BL71*1</f>
        <v>3</v>
      </c>
      <c r="BN70" s="160">
        <f>IF(AND(BJ70=0,BL70&lt;&gt;0),1,IF(AND(BJ70=0,BL70=0),0,BL70/BJ70-1))</f>
        <v>0</v>
      </c>
      <c r="BO70" s="1063"/>
      <c r="BP70" s="1060">
        <v>0</v>
      </c>
      <c r="BQ70" s="1626">
        <f>3-BP70*0.5-BP71*1</f>
        <v>3</v>
      </c>
      <c r="BR70" s="1060">
        <v>0</v>
      </c>
      <c r="BS70" s="1625">
        <f>3-BR70*0.5-BR71*1</f>
        <v>3</v>
      </c>
      <c r="BT70" s="160">
        <f>IF(AND(BP70=0,BR70&lt;&gt;0),1,IF(AND(BP70=0,BR70=0),0,BR70/BP70-1))</f>
        <v>0</v>
      </c>
      <c r="BU70" s="1063"/>
      <c r="BV70" s="1060">
        <v>0</v>
      </c>
      <c r="BW70" s="1626">
        <f>3-BV70*0.5-BV71*1</f>
        <v>3</v>
      </c>
      <c r="BX70" s="1060">
        <v>0</v>
      </c>
      <c r="BY70" s="1625">
        <f>3-BX70*0.5-BX71*1</f>
        <v>3</v>
      </c>
      <c r="BZ70" s="160">
        <f>IF(AND(BV70=0,BX70&lt;&gt;0),1,IF(AND(BV70=0,BX70=0),0,BX70/BV70-1))</f>
        <v>0</v>
      </c>
      <c r="CA70" s="1039"/>
      <c r="CC70" s="1036"/>
      <c r="CD70" s="1036"/>
      <c r="CE70" s="1036"/>
      <c r="CF70" s="1036"/>
      <c r="CG70" s="1036"/>
      <c r="CH70" s="1036"/>
      <c r="CI70" s="1036"/>
      <c r="CJ70" s="1036"/>
      <c r="CK70" s="1036"/>
    </row>
    <row r="71" spans="1:89" s="957" customFormat="1" ht="14.25">
      <c r="A71" s="1638"/>
      <c r="B71" s="1638"/>
      <c r="C71" s="970">
        <v>33</v>
      </c>
      <c r="D71" s="1057" t="s">
        <v>1164</v>
      </c>
      <c r="E71" s="1066" t="s">
        <v>205</v>
      </c>
      <c r="F71" s="1073"/>
      <c r="G71" s="1073" t="s">
        <v>1510</v>
      </c>
      <c r="H71" s="1062" t="s">
        <v>230</v>
      </c>
      <c r="I71" s="1647"/>
      <c r="J71" s="1062">
        <f>AVERAGE(BV71,BP71,BJ71,BD71,AX71,AR71,AL71,AF71,Z71,T71)</f>
        <v>0</v>
      </c>
      <c r="K71" s="1403">
        <v>0</v>
      </c>
      <c r="L71" s="1062">
        <f>AVERAGE(BX71,BR71,BL71,BF71,AZ71,AT71,AN71,AH71,AB71,V71)</f>
        <v>0</v>
      </c>
      <c r="M71" s="1403"/>
      <c r="N71" s="1403">
        <f>M71-K71</f>
        <v>0</v>
      </c>
      <c r="O71" s="1350">
        <f>I71-M71</f>
        <v>0</v>
      </c>
      <c r="P71" s="1350">
        <f>O71*0.7</f>
        <v>0</v>
      </c>
      <c r="Q71" s="1350">
        <f>P71/9</f>
        <v>0</v>
      </c>
      <c r="R71" s="1350">
        <f t="shared" si="22"/>
        <v>0</v>
      </c>
      <c r="S71" s="1063"/>
      <c r="T71" s="1060">
        <v>0</v>
      </c>
      <c r="U71" s="1649"/>
      <c r="V71" s="1060">
        <v>0</v>
      </c>
      <c r="W71" s="1649"/>
      <c r="X71" s="160">
        <f>IF(AND(T71=0,V71&lt;&gt;0),1,IF(AND(T71=0,V71=0),0,V71/T71-1))</f>
        <v>0</v>
      </c>
      <c r="Y71" s="1063"/>
      <c r="Z71" s="1060">
        <v>0</v>
      </c>
      <c r="AA71" s="1626"/>
      <c r="AB71" s="1060">
        <v>0</v>
      </c>
      <c r="AC71" s="1625"/>
      <c r="AD71" s="160">
        <f>IF(AND(Z71=0,AB71&lt;&gt;0),1,IF(AND(Z71=0,AB71=0),0,AB71/Z71-1))</f>
        <v>0</v>
      </c>
      <c r="AE71" s="1063"/>
      <c r="AF71" s="1060">
        <v>0</v>
      </c>
      <c r="AG71" s="1626"/>
      <c r="AH71" s="1060">
        <v>0</v>
      </c>
      <c r="AI71" s="1625"/>
      <c r="AJ71" s="160">
        <f>IF(AND(AF71=0,AH71&lt;&gt;0),1,IF(AND(AF71=0,AH71=0),0,AH71/AF71-1))</f>
        <v>0</v>
      </c>
      <c r="AK71" s="1063"/>
      <c r="AL71" s="1060">
        <v>0</v>
      </c>
      <c r="AM71" s="1626"/>
      <c r="AN71" s="1060">
        <v>0</v>
      </c>
      <c r="AO71" s="1625"/>
      <c r="AP71" s="160">
        <f>IF(AND(AL71=0,AN71&lt;&gt;0),1,IF(AND(AL71=0,AN71=0),0,AN71/AL71-1))</f>
        <v>0</v>
      </c>
      <c r="AQ71" s="1063"/>
      <c r="AR71" s="1060">
        <v>0</v>
      </c>
      <c r="AS71" s="1626"/>
      <c r="AT71" s="1060">
        <v>0</v>
      </c>
      <c r="AU71" s="1625"/>
      <c r="AV71" s="160">
        <f>IF(AND(AR71=0,AT71&lt;&gt;0),1,IF(AND(AR71=0,AT71=0),0,AT71/AR71-1))</f>
        <v>0</v>
      </c>
      <c r="AW71" s="1063"/>
      <c r="AX71" s="1272">
        <v>0</v>
      </c>
      <c r="AY71" s="1635"/>
      <c r="AZ71" s="1272">
        <v>0</v>
      </c>
      <c r="BA71" s="1625"/>
      <c r="BB71" s="160">
        <f>IF(AND(AX71=0,AZ71&lt;&gt;0),1,IF(AND(AX71=0,AZ71=0),0,AZ71/AX71-1))</f>
        <v>0</v>
      </c>
      <c r="BC71" s="1063"/>
      <c r="BD71" s="1060">
        <v>0</v>
      </c>
      <c r="BE71" s="1626"/>
      <c r="BF71" s="1060">
        <v>0</v>
      </c>
      <c r="BG71" s="1625"/>
      <c r="BH71" s="160">
        <f>IF(AND(BD71=0,BF71&lt;&gt;0),1,IF(AND(BD71=0,BF71=0),0,BF71/BD71-1))</f>
        <v>0</v>
      </c>
      <c r="BI71" s="1063"/>
      <c r="BJ71" s="1060">
        <v>0</v>
      </c>
      <c r="BK71" s="1626"/>
      <c r="BL71" s="1060">
        <v>0</v>
      </c>
      <c r="BM71" s="1625"/>
      <c r="BN71" s="160">
        <f>IF(AND(BJ71=0,BL71&lt;&gt;0),1,IF(AND(BJ71=0,BL71=0),0,BL71/BJ71-1))</f>
        <v>0</v>
      </c>
      <c r="BO71" s="1063"/>
      <c r="BP71" s="1060">
        <v>0</v>
      </c>
      <c r="BQ71" s="1626"/>
      <c r="BR71" s="1060">
        <v>0</v>
      </c>
      <c r="BS71" s="1625"/>
      <c r="BT71" s="160">
        <f>IF(AND(BP71=0,BR71&lt;&gt;0),1,IF(AND(BP71=0,BR71=0),0,BR71/BP71-1))</f>
        <v>0</v>
      </c>
      <c r="BU71" s="1063"/>
      <c r="BV71" s="1060">
        <v>0</v>
      </c>
      <c r="BW71" s="1626"/>
      <c r="BX71" s="1060">
        <v>0</v>
      </c>
      <c r="BY71" s="1625"/>
      <c r="BZ71" s="160">
        <f>IF(AND(BV71=0,BX71&lt;&gt;0),1,IF(AND(BV71=0,BX71=0),0,BX71/BV71-1))</f>
        <v>0</v>
      </c>
      <c r="CA71" s="1039"/>
      <c r="CC71" s="1036"/>
      <c r="CD71" s="1036"/>
      <c r="CE71" s="1036"/>
      <c r="CF71" s="1036"/>
      <c r="CG71" s="1036"/>
      <c r="CH71" s="1036"/>
      <c r="CI71" s="1036"/>
      <c r="CJ71" s="1036"/>
      <c r="CK71" s="1036"/>
    </row>
    <row r="72" spans="1:89" s="957" customFormat="1" ht="17.25" customHeight="1">
      <c r="A72" s="1096" t="s">
        <v>1165</v>
      </c>
      <c r="B72" s="1097" t="s">
        <v>1166</v>
      </c>
      <c r="C72" s="970">
        <v>34</v>
      </c>
      <c r="D72" s="1057" t="s">
        <v>1876</v>
      </c>
      <c r="E72" s="1066" t="s">
        <v>206</v>
      </c>
      <c r="F72" s="1073"/>
      <c r="G72" s="1073" t="s">
        <v>1510</v>
      </c>
      <c r="H72" s="1062" t="s">
        <v>230</v>
      </c>
      <c r="I72" s="1061">
        <v>2</v>
      </c>
      <c r="J72" s="1098" t="s">
        <v>1167</v>
      </c>
      <c r="K72" s="1403">
        <f>AVERAGE(BW72,BQ72,BK72,BE72,AY72,AS72,AM72,AG72,AA72,U72)</f>
        <v>2</v>
      </c>
      <c r="L72" s="1098" t="s">
        <v>1167</v>
      </c>
      <c r="M72" s="1403">
        <f>AVERAGE(BY72,BS72,BM72,BG72,BA72,AU72,AO72,AI72,AC72,W72)</f>
        <v>2</v>
      </c>
      <c r="N72" s="1403">
        <f>M72-K72</f>
        <v>0</v>
      </c>
      <c r="O72" s="1350">
        <f>I72-M72</f>
        <v>0</v>
      </c>
      <c r="P72" s="1350">
        <f>O72*0.7</f>
        <v>0</v>
      </c>
      <c r="Q72" s="1350">
        <f>P72/9</f>
        <v>0</v>
      </c>
      <c r="R72" s="1350">
        <f t="shared" si="22"/>
        <v>0</v>
      </c>
      <c r="S72" s="1063" t="s">
        <v>1134</v>
      </c>
      <c r="T72" s="1060" t="s">
        <v>1167</v>
      </c>
      <c r="U72" s="1275">
        <v>2</v>
      </c>
      <c r="V72" s="1060" t="s">
        <v>1167</v>
      </c>
      <c r="W72" s="1275">
        <v>2</v>
      </c>
      <c r="X72" s="160">
        <f>IF((V72=T72)=TRUE,0,1)</f>
        <v>0</v>
      </c>
      <c r="Y72" s="1063"/>
      <c r="Z72" s="1060" t="s">
        <v>1167</v>
      </c>
      <c r="AA72" s="1059">
        <v>2</v>
      </c>
      <c r="AB72" s="1060" t="s">
        <v>1167</v>
      </c>
      <c r="AC72" s="1306">
        <v>2</v>
      </c>
      <c r="AD72" s="160">
        <f>IF((AB72=Z72)=TRUE,0,1)</f>
        <v>0</v>
      </c>
      <c r="AE72" s="1063"/>
      <c r="AF72" s="1060" t="s">
        <v>1167</v>
      </c>
      <c r="AG72" s="1059">
        <v>2</v>
      </c>
      <c r="AH72" s="1060" t="s">
        <v>1167</v>
      </c>
      <c r="AI72" s="1306">
        <v>2</v>
      </c>
      <c r="AJ72" s="160">
        <f>IF((AH72=AF72)=TRUE,0,1)</f>
        <v>0</v>
      </c>
      <c r="AK72" s="1063"/>
      <c r="AL72" s="1060" t="s">
        <v>1167</v>
      </c>
      <c r="AM72" s="1059">
        <v>2</v>
      </c>
      <c r="AN72" s="1060" t="s">
        <v>1167</v>
      </c>
      <c r="AO72" s="1306">
        <v>2</v>
      </c>
      <c r="AP72" s="160">
        <f>IF((AN72=AL72)=TRUE,0,1)</f>
        <v>0</v>
      </c>
      <c r="AQ72" s="1063"/>
      <c r="AR72" s="1060" t="s">
        <v>1167</v>
      </c>
      <c r="AS72" s="1059">
        <v>2</v>
      </c>
      <c r="AT72" s="1060" t="s">
        <v>1167</v>
      </c>
      <c r="AU72" s="1306">
        <v>2</v>
      </c>
      <c r="AV72" s="160">
        <f>IF((AT72=AR72)=TRUE,0,1)</f>
        <v>0</v>
      </c>
      <c r="AW72" s="1063"/>
      <c r="AX72" s="1272" t="s">
        <v>1167</v>
      </c>
      <c r="AY72" s="1299">
        <v>2</v>
      </c>
      <c r="AZ72" s="1272" t="s">
        <v>1167</v>
      </c>
      <c r="BA72" s="1306">
        <v>2</v>
      </c>
      <c r="BB72" s="160">
        <f>IF((AZ72=AX72)=TRUE,0,1)</f>
        <v>0</v>
      </c>
      <c r="BC72" s="1063"/>
      <c r="BD72" s="1060" t="s">
        <v>1167</v>
      </c>
      <c r="BE72" s="1059">
        <v>2</v>
      </c>
      <c r="BF72" s="1060" t="s">
        <v>1167</v>
      </c>
      <c r="BG72" s="1306">
        <v>2</v>
      </c>
      <c r="BH72" s="160">
        <f>IF((BF72=BD72)=TRUE,0,1)</f>
        <v>0</v>
      </c>
      <c r="BI72" s="1063"/>
      <c r="BJ72" s="1060" t="s">
        <v>1167</v>
      </c>
      <c r="BK72" s="1059">
        <v>2</v>
      </c>
      <c r="BL72" s="1060" t="s">
        <v>1167</v>
      </c>
      <c r="BM72" s="1306">
        <v>2</v>
      </c>
      <c r="BN72" s="160">
        <f>IF((BL72=BJ72)=TRUE,0,1)</f>
        <v>0</v>
      </c>
      <c r="BO72" s="1063"/>
      <c r="BP72" s="1060" t="s">
        <v>1167</v>
      </c>
      <c r="BQ72" s="1059">
        <v>2</v>
      </c>
      <c r="BR72" s="1060" t="s">
        <v>1167</v>
      </c>
      <c r="BS72" s="1306">
        <v>2</v>
      </c>
      <c r="BT72" s="160">
        <f>IF((BR72=BP72)=TRUE,0,1)</f>
        <v>0</v>
      </c>
      <c r="BU72" s="1063"/>
      <c r="BV72" s="1060" t="s">
        <v>1167</v>
      </c>
      <c r="BW72" s="1059">
        <v>2</v>
      </c>
      <c r="BX72" s="1060" t="s">
        <v>1167</v>
      </c>
      <c r="BY72" s="1306">
        <v>2</v>
      </c>
      <c r="BZ72" s="160">
        <f>IF((BX72=BV72)=TRUE,0,1)</f>
        <v>0</v>
      </c>
      <c r="CA72" s="1039"/>
      <c r="CC72" s="1036"/>
      <c r="CD72" s="1036"/>
      <c r="CE72" s="1036"/>
      <c r="CF72" s="1036"/>
      <c r="CG72" s="1036"/>
      <c r="CH72" s="1036"/>
      <c r="CI72" s="1036"/>
      <c r="CJ72" s="1036"/>
      <c r="CK72" s="1036"/>
    </row>
    <row r="73" spans="1:89" s="957" customFormat="1" ht="14.25" customHeight="1">
      <c r="A73" s="1639" t="s">
        <v>1511</v>
      </c>
      <c r="B73" s="1640" t="s">
        <v>1169</v>
      </c>
      <c r="C73" s="970">
        <v>35</v>
      </c>
      <c r="D73" s="1434" t="s">
        <v>1168</v>
      </c>
      <c r="E73" s="1066" t="s">
        <v>206</v>
      </c>
      <c r="F73" s="1073"/>
      <c r="G73" s="1643" t="s">
        <v>402</v>
      </c>
      <c r="H73" s="1662" t="s">
        <v>1512</v>
      </c>
      <c r="I73" s="1644">
        <v>10</v>
      </c>
      <c r="J73" s="1062">
        <f>AVERAGE(BV73,BP73,BJ73,BD73,AX73,AR73,AL73,AF73,Z73,T73)</f>
        <v>343526725.40999997</v>
      </c>
      <c r="K73" s="1403">
        <v>0</v>
      </c>
      <c r="L73" s="1062">
        <f>AVERAGE(BX73,BR73,BL73,BF73,AZ73,AT73,AN73,AH73,AB73,V73)</f>
        <v>359015069.08300006</v>
      </c>
      <c r="M73" s="1619">
        <v>0</v>
      </c>
      <c r="N73" s="1619">
        <f>M73-K73</f>
        <v>0</v>
      </c>
      <c r="O73" s="1622">
        <f>I73-M73</f>
        <v>10</v>
      </c>
      <c r="P73" s="1622">
        <f>O73*0.7</f>
        <v>7</v>
      </c>
      <c r="Q73" s="1622">
        <f>P73/9</f>
        <v>0.77777777777777779</v>
      </c>
      <c r="R73" s="1622">
        <f t="shared" si="22"/>
        <v>0.3888888888888889</v>
      </c>
      <c r="S73" s="1063"/>
      <c r="T73" s="1060">
        <v>199634881.32999998</v>
      </c>
      <c r="U73" s="1634">
        <f>IF(T28+T29+T30+T31+T32+T33+T43+T44+T67+T68+T41+T42=0,10,"行业水平得分")</f>
        <v>10</v>
      </c>
      <c r="V73" s="1060">
        <v>219161691.91999999</v>
      </c>
      <c r="W73" s="1634">
        <f>IF(V28+V29+V30+V31+V32+V33+V43+V44+V67+V68+V41+V42=0,10,"行业水平得分")</f>
        <v>10</v>
      </c>
      <c r="X73" s="160">
        <f>IF(AND(T73=0,V73&lt;&gt;0),1,IF(AND(T73=0,V73=0),0,V73/T73-1))</f>
        <v>9.7812619016823144E-2</v>
      </c>
      <c r="Y73" s="1063"/>
      <c r="Z73" s="1092">
        <v>766967121.24000001</v>
      </c>
      <c r="AA73" s="1628" t="str">
        <f>IF(Z28+Z29+Z30+Z31+Z32+Z33+Z43+Z44+Z67+Z68+Z41+Z42=0,10,"行业水平得分")</f>
        <v>行业水平得分</v>
      </c>
      <c r="AB73" s="1092">
        <v>803965379.51999998</v>
      </c>
      <c r="AC73" s="1630" t="str">
        <f>IF(AB28+AB29+AB30+AB31+AB32+AB33+AB43+AB44+AB67+AB68+AB41+AB42=0,10,"行业水平得分")</f>
        <v>行业水平得分</v>
      </c>
      <c r="AD73" s="160">
        <f>IF(AND(Z73=0,AB73&lt;&gt;0),1,IF(AND(Z73=0,AB73=0),0,AB73/Z73-1))</f>
        <v>4.8239692752647167E-2</v>
      </c>
      <c r="AE73" s="1063"/>
      <c r="AF73" s="1060">
        <v>543573174.1400001</v>
      </c>
      <c r="AG73" s="1628">
        <f>IF(AF28+AF29+AF30+AF31+AF32+AF33+AF43+AF44+AF67+AF68+AF41+AF42=0,10,"行业水平得分")</f>
        <v>10</v>
      </c>
      <c r="AH73" s="1060">
        <v>553478053.49000013</v>
      </c>
      <c r="AI73" s="1630" t="str">
        <f>IF(AH28+AH29+AH30+AH31+AH32+AH33+AH43+AH44+AH67+AH68+AH41+AH42=0,10,"行业水平得分")</f>
        <v>行业水平得分</v>
      </c>
      <c r="AJ73" s="160">
        <f>IF(AND(AF73=0,AH73&lt;&gt;0),1,IF(AND(AF73=0,AH73=0),0,AH73/AF73-1))</f>
        <v>1.822179574198235E-2</v>
      </c>
      <c r="AK73" s="1063"/>
      <c r="AL73" s="1060">
        <v>250873009.13</v>
      </c>
      <c r="AM73" s="1628" t="str">
        <f>IF(AL28+AL29+AL30+AL31+AL32+AL33+AL43+AL44+AL67+AL68+AL41+AL42=0,10,"行业水平得分")</f>
        <v>行业水平得分</v>
      </c>
      <c r="AN73" s="1060">
        <v>268983251.95999998</v>
      </c>
      <c r="AO73" s="1630" t="str">
        <f>IF(AN28+AN29+AN30+AN31+AN32+AN33+AN43+AN44+AN67+AN68+AN41+AN42=0,10,"行业水平得分")</f>
        <v>行业水平得分</v>
      </c>
      <c r="AP73" s="160">
        <f>IF(AND(AL73=0,AN73&lt;&gt;0),1,IF(AND(AL73=0,AN73=0),0,AN73/AL73-1))</f>
        <v>7.2188885096903466E-2</v>
      </c>
      <c r="AQ73" s="1063"/>
      <c r="AR73" s="1100">
        <v>474163028.04999995</v>
      </c>
      <c r="AS73" s="1627" t="str">
        <f>IF(AR28+AR29+AR30+AR31+AR32+AR33+AR43+AR44+AR67+AR68+AR41+AR42=0,10,"行业水平得分")</f>
        <v>行业水平得分</v>
      </c>
      <c r="AT73" s="1100">
        <v>498430654.99000007</v>
      </c>
      <c r="AU73" s="1630" t="str">
        <f>IF(AT28+AT29+AT30+AT31+AT32+AT33+AT43+AT44+AT67+AT68+AT41+AT42=0,10,"行业水平得分")</f>
        <v>行业水平得分</v>
      </c>
      <c r="AV73" s="160">
        <f>IF(AND(AR73=0,AT73&lt;&gt;0),1,IF(AND(AR73=0,AT73=0),0,AT73/AR73-1))</f>
        <v>5.1179922314485315E-2</v>
      </c>
      <c r="AW73" s="1063"/>
      <c r="AX73" s="1300">
        <v>494301910.06</v>
      </c>
      <c r="AY73" s="1636" t="str">
        <f>IF(AX28+AX29+AX30+AX31+AX32+AX33+AX43+AX44+AX67+AX68+AX41+AX42=0,10,"行业水平得分")</f>
        <v>行业水平得分</v>
      </c>
      <c r="AZ73" s="1100">
        <v>510216980.48000002</v>
      </c>
      <c r="BA73" s="1630" t="str">
        <f>IF(AZ28+AZ29+AZ30+AZ31+AZ32+AZ33+AZ43+AZ44+AZ67+AZ68+AZ41+AZ42=0,10,"行业水平得分")</f>
        <v>行业水平得分</v>
      </c>
      <c r="BB73" s="160">
        <f>IF(AND(AX73=0,AZ73&lt;&gt;0),1,IF(AND(AX73=0,AZ73=0),0,AZ73/AX73-1))</f>
        <v>3.2197064377251117E-2</v>
      </c>
      <c r="BC73" s="1063"/>
      <c r="BD73" s="1100">
        <v>84852447.370000005</v>
      </c>
      <c r="BE73" s="1628">
        <f>IF(BD28+BD29+BD30+BD31+BD32+BD33+BD43+BD44+BD67+BD68+BD41+BD42=0,10,"行业水平得分")</f>
        <v>10</v>
      </c>
      <c r="BF73" s="1100">
        <v>86955164.340000004</v>
      </c>
      <c r="BG73" s="1629">
        <f>IF(BF28+BF29+BF30+BF31+BF32+BF33+BF43+BF44+BF67+BF68+BF41+BF42=0,10,"行业水平得分")</f>
        <v>10</v>
      </c>
      <c r="BH73" s="160">
        <f>IF(AND(BD73=0,BF73&lt;&gt;0),1,IF(AND(BD73=0,BF73=0),0,BF73/BD73-1))</f>
        <v>2.4780864137378122E-2</v>
      </c>
      <c r="BI73" s="1063"/>
      <c r="BJ73" s="1100">
        <v>400269556.49000001</v>
      </c>
      <c r="BK73" s="1627">
        <f>IF(BJ28+BJ29+BJ30+BJ31+BJ32+BJ33+BJ43+BJ44+BJ67+BJ68+BJ41+BJ42=0,10,"行业水平得分")</f>
        <v>10</v>
      </c>
      <c r="BL73" s="1100">
        <v>416219170.48000002</v>
      </c>
      <c r="BM73" s="1630" t="str">
        <f>IF(BL28+BL29+BL30+BL31+BL32+BL33+BL43+BL44+BL67+BL68+BL41+BL42=0,10,"行业水平得分")</f>
        <v>行业水平得分</v>
      </c>
      <c r="BN73" s="160">
        <f>IF(AND(BJ73=0,BL73&lt;&gt;0),1,IF(AND(BJ73=0,BL73=0),0,BL73/BJ73-1))</f>
        <v>3.9847182308501372E-2</v>
      </c>
      <c r="BO73" s="1063"/>
      <c r="BP73" s="1100">
        <v>93143246.709999993</v>
      </c>
      <c r="BQ73" s="1628">
        <f>IF(BP28+BP29+BP30+BP31+BP32+BP33+BP43+BP44+BP67+BP68+BP41+BP42=0,10,"行业水平得分")</f>
        <v>10</v>
      </c>
      <c r="BR73" s="1100">
        <v>97065923.040000007</v>
      </c>
      <c r="BS73" s="1629">
        <f>IF(BR28+BR29+BR30+BR31+BR32+BR33+BR43+BR44+BR67+BR68+BR41+BR42=0,10,"行业水平得分")</f>
        <v>10</v>
      </c>
      <c r="BT73" s="160">
        <f>IF(AND(BP73=0,BR73&lt;&gt;0),1,IF(AND(BP73=0,BR73=0),0,BR73/BP73-1))</f>
        <v>4.211444703246392E-2</v>
      </c>
      <c r="BU73" s="1063"/>
      <c r="BV73" s="1100">
        <v>127488879.58</v>
      </c>
      <c r="BW73" s="1627" t="str">
        <f>IF(BV28+BV29+BV30+BV31+BV32+BV33+BV43+BV44+BV67+BV68+BV41+BV42=0,10,"行业水平得分")</f>
        <v>行业水平得分</v>
      </c>
      <c r="BX73" s="1100">
        <v>135674420.60999998</v>
      </c>
      <c r="BY73" s="1630" t="str">
        <f>IF(BX28+BX29+BX30+BX31+BX32+BX33+BX43+BX44+BX67+BX68+BX41+BX42=0,10,"行业水平得分")</f>
        <v>行业水平得分</v>
      </c>
      <c r="BZ73" s="160">
        <f>IF(AND(BV73=0,BX73&lt;&gt;0),1,IF(AND(BV73=0,BX73=0),0,BX73/BV73-1))</f>
        <v>6.4205921778954123E-2</v>
      </c>
      <c r="CA73" s="1039"/>
      <c r="CC73" s="1036"/>
      <c r="CD73" s="1036"/>
      <c r="CE73" s="1036"/>
      <c r="CF73" s="1036"/>
      <c r="CG73" s="1036"/>
      <c r="CH73" s="1036"/>
      <c r="CI73" s="1036"/>
      <c r="CJ73" s="1036"/>
      <c r="CK73" s="1036"/>
    </row>
    <row r="74" spans="1:89" s="957" customFormat="1" ht="14.25">
      <c r="A74" s="1638"/>
      <c r="B74" s="1641"/>
      <c r="C74" s="970">
        <v>36</v>
      </c>
      <c r="D74" s="1434" t="s">
        <v>2475</v>
      </c>
      <c r="E74" s="1066" t="s">
        <v>206</v>
      </c>
      <c r="F74" s="1073"/>
      <c r="G74" s="1643"/>
      <c r="H74" s="1663"/>
      <c r="I74" s="1645"/>
      <c r="J74" s="1062">
        <f>AVERAGE(BV74,BP74,BJ74,BD74,AX74,AR74,AL74,AF74,Z74,T74)</f>
        <v>16621630.463</v>
      </c>
      <c r="K74" s="1403"/>
      <c r="L74" s="1062">
        <f>AVERAGE(BX74,BR74,BL74,BF74,AZ74,AT74,AN74,AH74,AB74,V74)</f>
        <v>15842242.294</v>
      </c>
      <c r="M74" s="1620"/>
      <c r="N74" s="1620"/>
      <c r="O74" s="1623"/>
      <c r="P74" s="1623"/>
      <c r="Q74" s="1623"/>
      <c r="R74" s="1623"/>
      <c r="S74" s="1063"/>
      <c r="T74" s="1060">
        <v>5289900</v>
      </c>
      <c r="U74" s="1634"/>
      <c r="V74" s="1060">
        <v>5024700</v>
      </c>
      <c r="W74" s="1634"/>
      <c r="X74" s="160">
        <f>IF(AND(T74=0,V74&lt;&gt;0),1,IF(AND(T74=0,V74=0),0,V74/T74-1))</f>
        <v>-5.0133272840696463E-2</v>
      </c>
      <c r="Y74" s="1063"/>
      <c r="Z74" s="1092">
        <v>32604399.18</v>
      </c>
      <c r="AA74" s="1628"/>
      <c r="AB74" s="1092">
        <v>29273930.940000001</v>
      </c>
      <c r="AC74" s="1630"/>
      <c r="AD74" s="160">
        <f>IF(AND(Z74=0,AB74&lt;&gt;0),1,IF(AND(Z74=0,AB74=0),0,AB74/Z74-1))</f>
        <v>-0.10214781820126151</v>
      </c>
      <c r="AE74" s="1063"/>
      <c r="AF74" s="1060">
        <v>29940200</v>
      </c>
      <c r="AG74" s="1628"/>
      <c r="AH74" s="1060">
        <v>29287800</v>
      </c>
      <c r="AI74" s="1630"/>
      <c r="AJ74" s="160">
        <f>IF(AND(AF74=0,AH74&lt;&gt;0),1,IF(AND(AF74=0,AH74=0),0,AH74/AF74-1))</f>
        <v>-2.1790101602527701E-2</v>
      </c>
      <c r="AK74" s="1063"/>
      <c r="AL74" s="1060">
        <v>23000</v>
      </c>
      <c r="AM74" s="1628"/>
      <c r="AN74" s="1060">
        <v>20000</v>
      </c>
      <c r="AO74" s="1630"/>
      <c r="AP74" s="160">
        <f>IF(AND(AL74=0,AN74&lt;&gt;0),1,IF(AND(AL74=0,AN74=0),0,AN74/AL74-1))</f>
        <v>-0.13043478260869568</v>
      </c>
      <c r="AQ74" s="1063"/>
      <c r="AR74" s="1100">
        <v>64398275.450000003</v>
      </c>
      <c r="AS74" s="1627"/>
      <c r="AT74" s="1100">
        <v>60377401</v>
      </c>
      <c r="AU74" s="1630"/>
      <c r="AV74" s="160">
        <f>IF(AND(AR74=0,AT74&lt;&gt;0),1,IF(AND(AR74=0,AT74=0),0,AT74/AR74-1))</f>
        <v>-6.243761066430864E-2</v>
      </c>
      <c r="AW74" s="1063"/>
      <c r="AX74" s="1300">
        <v>15565200</v>
      </c>
      <c r="AY74" s="1636"/>
      <c r="AZ74" s="1100">
        <v>16492600</v>
      </c>
      <c r="BA74" s="1630"/>
      <c r="BB74" s="160">
        <f>IF(AND(AX74=0,AZ74&lt;&gt;0),1,IF(AND(AX74=0,AZ74=0),0,AZ74/AX74-1))</f>
        <v>5.9581630817464593E-2</v>
      </c>
      <c r="BC74" s="1063"/>
      <c r="BD74" s="1100">
        <v>6274930</v>
      </c>
      <c r="BE74" s="1628"/>
      <c r="BF74" s="1100">
        <v>6113730</v>
      </c>
      <c r="BG74" s="1629"/>
      <c r="BH74" s="160">
        <f>IF(AND(BD74=0,BF74&lt;&gt;0),1,IF(AND(BD74=0,BF74=0),0,BF74/BD74-1))</f>
        <v>-2.5689529604314365E-2</v>
      </c>
      <c r="BI74" s="1063"/>
      <c r="BJ74" s="1100">
        <v>2927400</v>
      </c>
      <c r="BK74" s="1627"/>
      <c r="BL74" s="1100">
        <v>2813500</v>
      </c>
      <c r="BM74" s="1630"/>
      <c r="BN74" s="160">
        <f>IF(AND(BJ74=0,BL74&lt;&gt;0),1,IF(AND(BJ74=0,BL74=0),0,BL74/BJ74-1))</f>
        <v>-3.8908246225319409E-2</v>
      </c>
      <c r="BO74" s="1063"/>
      <c r="BP74" s="1100">
        <v>86900</v>
      </c>
      <c r="BQ74" s="1628"/>
      <c r="BR74" s="1100">
        <v>321661</v>
      </c>
      <c r="BS74" s="1629"/>
      <c r="BT74" s="160">
        <f>IF(AND(BP74=0,BR74&lt;&gt;0),1,IF(AND(BP74=0,BR74=0),0,BR74/BP74-1))</f>
        <v>2.7015074798619101</v>
      </c>
      <c r="BU74" s="1063"/>
      <c r="BV74" s="1100">
        <v>9106100</v>
      </c>
      <c r="BW74" s="1627"/>
      <c r="BX74" s="1100">
        <v>8697100</v>
      </c>
      <c r="BY74" s="1630"/>
      <c r="BZ74" s="160">
        <f>IF(AND(BV74=0,BX74&lt;&gt;0),1,IF(AND(BV74=0,BX74=0),0,BX74/BV74-1))</f>
        <v>-4.4914947123356863E-2</v>
      </c>
      <c r="CA74" s="1039"/>
      <c r="CC74" s="1036"/>
      <c r="CD74" s="1036"/>
      <c r="CE74" s="1036"/>
      <c r="CF74" s="1036"/>
      <c r="CG74" s="1036"/>
      <c r="CH74" s="1036"/>
      <c r="CI74" s="1036"/>
      <c r="CJ74" s="1036"/>
      <c r="CK74" s="1036"/>
    </row>
    <row r="75" spans="1:89" s="957" customFormat="1" ht="14.25">
      <c r="A75" s="1638"/>
      <c r="B75" s="1642"/>
      <c r="C75" s="970">
        <v>37</v>
      </c>
      <c r="D75" s="1434" t="s">
        <v>1682</v>
      </c>
      <c r="E75" s="1066" t="s">
        <v>206</v>
      </c>
      <c r="F75" s="1073"/>
      <c r="G75" s="1643"/>
      <c r="H75" s="1664"/>
      <c r="I75" s="1646"/>
      <c r="J75" s="1062">
        <f>AVERAGE(BV75,BP75,BJ75,BD75,AX75,AR75,AL75,AF75,Z75,T75)</f>
        <v>191495.12000000002</v>
      </c>
      <c r="K75" s="1403"/>
      <c r="L75" s="1062">
        <f>AVERAGE(BX75,BR75,BL75,BF75,AZ75,AT75,AN75,AH75,AB75,V75)</f>
        <v>177428.05</v>
      </c>
      <c r="M75" s="1621"/>
      <c r="N75" s="1621"/>
      <c r="O75" s="1624"/>
      <c r="P75" s="1624"/>
      <c r="Q75" s="1624"/>
      <c r="R75" s="1624"/>
      <c r="S75" s="1063"/>
      <c r="T75" s="1060">
        <v>0</v>
      </c>
      <c r="U75" s="1634"/>
      <c r="V75" s="1060">
        <v>0</v>
      </c>
      <c r="W75" s="1634"/>
      <c r="X75" s="160">
        <f>IF(AND(T75=0,V75&lt;&gt;0),1,IF(AND(T75=0,V75=0),0,V75/T75-1))</f>
        <v>0</v>
      </c>
      <c r="Y75" s="1063"/>
      <c r="Z75" s="1092">
        <v>314313.40000000002</v>
      </c>
      <c r="AA75" s="1628"/>
      <c r="AB75" s="1092">
        <v>264700.5</v>
      </c>
      <c r="AC75" s="1630"/>
      <c r="AD75" s="160">
        <f>IF(AND(Z75=0,AB75&lt;&gt;0),1,IF(AND(Z75=0,AB75=0),0,AB75/Z75-1))</f>
        <v>-0.15784532253476946</v>
      </c>
      <c r="AE75" s="1063"/>
      <c r="AF75" s="1060">
        <v>622917.60000000009</v>
      </c>
      <c r="AG75" s="1628"/>
      <c r="AH75" s="1060">
        <v>619131.6</v>
      </c>
      <c r="AI75" s="1630"/>
      <c r="AJ75" s="160">
        <f>IF(AND(AF75=0,AH75&lt;&gt;0),1,IF(AND(AF75=0,AH75=0),0,AH75/AF75-1))</f>
        <v>-6.0778504251607357E-3</v>
      </c>
      <c r="AK75" s="1063"/>
      <c r="AL75" s="1060">
        <v>11066.1</v>
      </c>
      <c r="AM75" s="1628"/>
      <c r="AN75" s="1060">
        <v>11066.1</v>
      </c>
      <c r="AO75" s="1630"/>
      <c r="AP75" s="160">
        <f>IF(AND(AL75=0,AN75&lt;&gt;0),1,IF(AND(AL75=0,AN75=0),0,AN75/AL75-1))</f>
        <v>0</v>
      </c>
      <c r="AQ75" s="1063"/>
      <c r="AR75" s="1100">
        <v>238435.3</v>
      </c>
      <c r="AS75" s="1627"/>
      <c r="AT75" s="1100">
        <v>227487.9</v>
      </c>
      <c r="AU75" s="1630"/>
      <c r="AV75" s="160">
        <f>IF(AND(AR75=0,AT75&lt;&gt;0),1,IF(AND(AR75=0,AT75=0),0,AT75/AR75-1))</f>
        <v>-4.5913503579377735E-2</v>
      </c>
      <c r="AW75" s="1063"/>
      <c r="AX75" s="1300">
        <v>223677.8</v>
      </c>
      <c r="AY75" s="1636"/>
      <c r="AZ75" s="1100">
        <v>217848.19999999998</v>
      </c>
      <c r="BA75" s="1630"/>
      <c r="BB75" s="160">
        <f>IF(AND(AX75=0,AZ75&lt;&gt;0),1,IF(AND(AX75=0,AZ75=0),0,AZ75/AX75-1))</f>
        <v>-2.606248809671774E-2</v>
      </c>
      <c r="BC75" s="1063"/>
      <c r="BD75" s="1100">
        <v>1025.3</v>
      </c>
      <c r="BE75" s="1628"/>
      <c r="BF75" s="1100">
        <v>1025.3</v>
      </c>
      <c r="BG75" s="1629"/>
      <c r="BH75" s="160">
        <f>IF(AND(BD75=0,BF75&lt;&gt;0),1,IF(AND(BD75=0,BF75=0),0,BF75/BD75-1))</f>
        <v>0</v>
      </c>
      <c r="BI75" s="1063"/>
      <c r="BJ75" s="1100">
        <v>211259.2</v>
      </c>
      <c r="BK75" s="1627"/>
      <c r="BL75" s="1100">
        <v>208138.5</v>
      </c>
      <c r="BM75" s="1630"/>
      <c r="BN75" s="160">
        <f>IF(AND(BJ75=0,BL75&lt;&gt;0),1,IF(AND(BJ75=0,BL75=0),0,BL75/BJ75-1))</f>
        <v>-1.4771901058036829E-2</v>
      </c>
      <c r="BO75" s="1063"/>
      <c r="BP75" s="1100">
        <v>290238.5</v>
      </c>
      <c r="BQ75" s="1628"/>
      <c r="BR75" s="1100">
        <v>222864.40000000002</v>
      </c>
      <c r="BS75" s="1629"/>
      <c r="BT75" s="160">
        <f>IF(AND(BP75=0,BR75&lt;&gt;0),1,IF(AND(BP75=0,BR75=0),0,BR75/BP75-1))</f>
        <v>-0.23213357290642</v>
      </c>
      <c r="BU75" s="1063"/>
      <c r="BV75" s="1100">
        <v>2018</v>
      </c>
      <c r="BW75" s="1627"/>
      <c r="BX75" s="1100">
        <v>2018</v>
      </c>
      <c r="BY75" s="1630"/>
      <c r="BZ75" s="160">
        <f>IF(AND(BV75=0,BX75&lt;&gt;0),1,IF(AND(BV75=0,BX75=0),0,BX75/BV75-1))</f>
        <v>0</v>
      </c>
      <c r="CA75" s="1039"/>
      <c r="CC75" s="1036"/>
      <c r="CD75" s="1036"/>
      <c r="CE75" s="1036"/>
      <c r="CF75" s="1036"/>
      <c r="CG75" s="1036"/>
      <c r="CH75" s="1036"/>
      <c r="CI75" s="1036"/>
      <c r="CJ75" s="1036"/>
      <c r="CK75" s="1036"/>
    </row>
    <row r="76" spans="1:89" s="1112" customFormat="1" ht="14.25">
      <c r="A76" s="1101"/>
      <c r="B76" s="1102"/>
      <c r="C76" s="1103"/>
      <c r="D76" s="1104" t="s">
        <v>1513</v>
      </c>
      <c r="E76" s="1105"/>
      <c r="F76" s="1106"/>
      <c r="G76" s="1106"/>
      <c r="H76" s="1107"/>
      <c r="I76" s="1108">
        <f>SUM(I4:I75)</f>
        <v>90</v>
      </c>
      <c r="J76" s="1109"/>
      <c r="K76" s="1401"/>
      <c r="L76" s="1109"/>
      <c r="M76" s="1401"/>
      <c r="N76" s="1403"/>
      <c r="O76" s="1352">
        <f>SUM(O4:O75)</f>
        <v>15.829838975660007</v>
      </c>
      <c r="P76" s="1352">
        <f>O76*0.7</f>
        <v>11.080887282962005</v>
      </c>
      <c r="Q76" s="1352">
        <f>P76/9</f>
        <v>1.2312096981068894</v>
      </c>
      <c r="R76" s="1352">
        <f t="shared" si="22"/>
        <v>0.6156048490534447</v>
      </c>
      <c r="S76" s="1063"/>
      <c r="T76" s="1109"/>
      <c r="U76" s="1279">
        <f>SUM(U4:U75)</f>
        <v>85.111111111111114</v>
      </c>
      <c r="V76" s="1109"/>
      <c r="W76" s="1279">
        <f>SUM(W4:W75)</f>
        <v>84.73684210526315</v>
      </c>
      <c r="X76" s="1157"/>
      <c r="Y76" s="1063"/>
      <c r="Z76" s="1109"/>
      <c r="AA76" s="1110">
        <f>SUM(AA4:AA75)</f>
        <v>73.849206349206355</v>
      </c>
      <c r="AB76" s="1109"/>
      <c r="AC76" s="1319">
        <f>SUM(AC4:AC75)</f>
        <v>76.866013071895424</v>
      </c>
      <c r="AD76" s="1157"/>
      <c r="AE76" s="1110"/>
      <c r="AF76" s="1109"/>
      <c r="AG76" s="1110">
        <f>SUM(AG4:AG75)</f>
        <v>85.381944444444443</v>
      </c>
      <c r="AH76" s="1109"/>
      <c r="AI76" s="1319">
        <f>SUM(AI4:AI75)</f>
        <v>76.473214285714278</v>
      </c>
      <c r="AJ76" s="1157"/>
      <c r="AK76" s="1110"/>
      <c r="AL76" s="1109"/>
      <c r="AM76" s="1110">
        <f>SUM(AM4:AM75)</f>
        <v>67.545454545454547</v>
      </c>
      <c r="AN76" s="1109"/>
      <c r="AO76" s="1319">
        <f>SUM(AO4:AO75)</f>
        <v>67.444444444444443</v>
      </c>
      <c r="AP76" s="1157"/>
      <c r="AQ76" s="1110"/>
      <c r="AR76" s="1109"/>
      <c r="AS76" s="1110">
        <f>SUM(AS4:AS75)</f>
        <v>74.336065573770497</v>
      </c>
      <c r="AT76" s="1109"/>
      <c r="AU76" s="1319">
        <f>SUM(AU4:AU75)</f>
        <v>75.296747967479675</v>
      </c>
      <c r="AV76" s="1157"/>
      <c r="AW76" s="1110"/>
      <c r="AX76" s="1109"/>
      <c r="AY76" s="1110">
        <f>SUM(AY4:AY75)</f>
        <v>73.276923076923083</v>
      </c>
      <c r="AZ76" s="1109"/>
      <c r="BA76" s="1319">
        <f>SUM(BA4:BA75)</f>
        <v>76.040229885057471</v>
      </c>
      <c r="BB76" s="1157"/>
      <c r="BC76" s="1110"/>
      <c r="BD76" s="1110"/>
      <c r="BE76" s="1110">
        <f>SUM(BE4:BE75)</f>
        <v>82.296296296296305</v>
      </c>
      <c r="BF76" s="1109"/>
      <c r="BG76" s="1319">
        <f>SUM(BG4:BG75)</f>
        <v>83.801886792452834</v>
      </c>
      <c r="BH76" s="1157"/>
      <c r="BI76" s="1110"/>
      <c r="BJ76" s="1110"/>
      <c r="BK76" s="1110">
        <f>SUM(BK4:BK75)</f>
        <v>86.962686567164184</v>
      </c>
      <c r="BL76" s="1109"/>
      <c r="BM76" s="1319">
        <f>SUM(BM4:BM75)</f>
        <v>74.487562189054728</v>
      </c>
      <c r="BN76" s="1157"/>
      <c r="BO76" s="1110"/>
      <c r="BP76" s="1110"/>
      <c r="BQ76" s="1110">
        <f>SUM(BQ4:BQ75)</f>
        <v>83.669491525423723</v>
      </c>
      <c r="BR76" s="1110"/>
      <c r="BS76" s="1319">
        <f>SUM(BS4:BS75)</f>
        <v>82.796296296296305</v>
      </c>
      <c r="BT76" s="1157"/>
      <c r="BU76" s="1110"/>
      <c r="BV76" s="1110"/>
      <c r="BW76" s="1110">
        <f>SUM(BW4:BW75)</f>
        <v>76.442307692307693</v>
      </c>
      <c r="BX76" s="1110"/>
      <c r="BY76" s="1319">
        <f>SUM(BY4:BY75)</f>
        <v>73.758373205741634</v>
      </c>
      <c r="BZ76" s="1157"/>
      <c r="CA76" s="1111"/>
      <c r="CC76" s="1113"/>
      <c r="CD76" s="1113"/>
      <c r="CE76" s="1113"/>
      <c r="CF76" s="1113"/>
      <c r="CG76" s="1113"/>
      <c r="CH76" s="1113"/>
      <c r="CI76" s="1113"/>
      <c r="CJ76" s="1113"/>
      <c r="CK76" s="1113"/>
    </row>
    <row r="77" spans="1:89" s="957" customFormat="1" ht="14.25">
      <c r="A77" s="1114"/>
      <c r="B77" s="1115"/>
      <c r="C77" s="1116"/>
      <c r="D77" s="1016" t="s">
        <v>1514</v>
      </c>
      <c r="E77" s="1114"/>
      <c r="F77" s="1117"/>
      <c r="G77" s="1117"/>
      <c r="H77" s="1118"/>
      <c r="I77" s="1061">
        <v>80</v>
      </c>
      <c r="J77" s="1118"/>
      <c r="K77" s="1410"/>
      <c r="L77" s="1118"/>
      <c r="M77" s="1414">
        <f>SUM(M4:M72)</f>
        <v>74.17016102433999</v>
      </c>
      <c r="N77" s="1410"/>
      <c r="O77" s="1352">
        <f>SUM(O4:O72)</f>
        <v>5.8298389756600066</v>
      </c>
      <c r="P77" s="1352">
        <f>O77*0.7</f>
        <v>4.0808872829620046</v>
      </c>
      <c r="Q77" s="1352">
        <f>P77/9</f>
        <v>0.45343192032911162</v>
      </c>
      <c r="R77" s="1352">
        <f t="shared" si="22"/>
        <v>0.22671596016455581</v>
      </c>
      <c r="S77" s="1119" t="s">
        <v>1515</v>
      </c>
      <c r="T77" s="1118"/>
      <c r="U77" s="1280"/>
      <c r="V77" s="1118"/>
      <c r="W77" s="1280"/>
      <c r="X77" s="908"/>
      <c r="Y77" s="1036"/>
      <c r="Z77" s="1120"/>
      <c r="AA77" s="1121"/>
      <c r="AB77" s="1120"/>
      <c r="AC77" s="1320"/>
      <c r="AD77" s="1156"/>
      <c r="AE77" s="1039"/>
      <c r="AF77" s="1118"/>
      <c r="AG77" s="1117"/>
      <c r="AH77" s="1118"/>
      <c r="AI77" s="1324"/>
      <c r="AJ77" s="908"/>
      <c r="AK77" s="1036"/>
      <c r="AL77" s="1120"/>
      <c r="AM77" s="1121"/>
      <c r="AN77" s="1120"/>
      <c r="AO77" s="1320"/>
      <c r="AP77" s="1156"/>
      <c r="AQ77" s="1039"/>
      <c r="AR77" s="1118"/>
      <c r="AS77" s="1117"/>
      <c r="AT77" s="1118"/>
      <c r="AU77" s="1324"/>
      <c r="AV77" s="908"/>
      <c r="AW77" s="1036"/>
      <c r="AX77" s="1120"/>
      <c r="AY77" s="1121"/>
      <c r="AZ77" s="1120"/>
      <c r="BA77" s="1320"/>
      <c r="BB77" s="1156"/>
      <c r="BC77" s="1039"/>
      <c r="BD77" s="1036"/>
      <c r="BE77" s="1117"/>
      <c r="BF77" s="1118"/>
      <c r="BG77" s="1324"/>
      <c r="BH77" s="908"/>
      <c r="BI77" s="1036"/>
      <c r="BJ77" s="1039"/>
      <c r="BK77" s="1121"/>
      <c r="BL77" s="1120"/>
      <c r="BM77" s="1320"/>
      <c r="BN77" s="1156"/>
      <c r="BO77" s="1039"/>
      <c r="BP77" s="1036"/>
      <c r="BQ77" s="1117"/>
      <c r="BR77" s="1036"/>
      <c r="BS77" s="1324"/>
      <c r="BT77" s="908"/>
      <c r="BU77" s="1036"/>
      <c r="BV77" s="1039"/>
      <c r="BW77" s="1121"/>
      <c r="BX77" s="1039"/>
      <c r="BY77" s="1320"/>
      <c r="BZ77" s="1156"/>
      <c r="CA77" s="1039"/>
      <c r="CB77" s="1039"/>
      <c r="CC77" s="1036"/>
      <c r="CD77" s="1036"/>
      <c r="CE77" s="1036"/>
      <c r="CF77" s="1036"/>
      <c r="CG77" s="1036"/>
      <c r="CH77" s="1036"/>
      <c r="CI77" s="1036"/>
      <c r="CJ77" s="1036"/>
      <c r="CK77" s="1036"/>
    </row>
    <row r="78" spans="1:89" s="957" customFormat="1" ht="14.25">
      <c r="A78" s="1114"/>
      <c r="B78" s="1115"/>
      <c r="C78" s="1116"/>
      <c r="D78" s="1016" t="s">
        <v>1516</v>
      </c>
      <c r="F78" s="1117"/>
      <c r="G78" s="1117"/>
      <c r="H78" s="1036"/>
      <c r="I78" s="1061">
        <v>10</v>
      </c>
      <c r="J78" s="1122"/>
      <c r="K78" s="1408"/>
      <c r="L78" s="1122"/>
      <c r="M78" s="1407">
        <f>M73</f>
        <v>0</v>
      </c>
      <c r="N78" s="1410"/>
      <c r="O78" s="1352"/>
      <c r="P78" s="1352"/>
      <c r="Q78" s="1352"/>
      <c r="R78" s="1353"/>
      <c r="S78" s="1124"/>
      <c r="T78" s="1118"/>
      <c r="U78" s="1280"/>
      <c r="V78" s="1118"/>
      <c r="W78" s="1280"/>
      <c r="X78" s="908"/>
      <c r="Y78" s="1036"/>
      <c r="Z78" s="1120"/>
      <c r="AA78" s="1121"/>
      <c r="AB78" s="1120"/>
      <c r="AC78" s="1320"/>
      <c r="AD78" s="1156"/>
      <c r="AE78" s="1039"/>
      <c r="AF78" s="1118"/>
      <c r="AG78" s="1117"/>
      <c r="AH78" s="1118"/>
      <c r="AI78" s="1324"/>
      <c r="AJ78" s="908"/>
      <c r="AK78" s="1036"/>
      <c r="AL78" s="1120"/>
      <c r="AM78" s="1121"/>
      <c r="AN78" s="1120"/>
      <c r="AO78" s="1320"/>
      <c r="AP78" s="1156"/>
      <c r="AQ78" s="1039"/>
      <c r="AR78" s="1118"/>
      <c r="AS78" s="1117"/>
      <c r="AT78" s="1118"/>
      <c r="AU78" s="1324"/>
      <c r="AV78" s="908"/>
      <c r="AW78" s="1036"/>
      <c r="AX78" s="1120"/>
      <c r="AY78" s="1121"/>
      <c r="AZ78" s="1120"/>
      <c r="BA78" s="1320"/>
      <c r="BB78" s="1156"/>
      <c r="BC78" s="1039"/>
      <c r="BD78" s="1036"/>
      <c r="BE78" s="1117"/>
      <c r="BF78" s="1118"/>
      <c r="BG78" s="1324"/>
      <c r="BH78" s="908"/>
      <c r="BI78" s="1036"/>
      <c r="BJ78" s="1039"/>
      <c r="BK78" s="1121"/>
      <c r="BL78" s="1120"/>
      <c r="BM78" s="1320"/>
      <c r="BN78" s="1156"/>
      <c r="BO78" s="1039"/>
      <c r="BP78" s="1036"/>
      <c r="BQ78" s="1117"/>
      <c r="BR78" s="1036"/>
      <c r="BS78" s="1324"/>
      <c r="BT78" s="908"/>
      <c r="BU78" s="1036"/>
      <c r="BV78" s="1039"/>
      <c r="BW78" s="1121"/>
      <c r="BX78" s="1039"/>
      <c r="BY78" s="1320"/>
      <c r="BZ78" s="1156"/>
      <c r="CA78" s="1039"/>
      <c r="CB78" s="1039"/>
      <c r="CC78" s="1036"/>
      <c r="CD78" s="1036"/>
      <c r="CE78" s="1036"/>
      <c r="CF78" s="1036"/>
      <c r="CG78" s="1036"/>
      <c r="CH78" s="1036"/>
      <c r="CI78" s="1036"/>
      <c r="CJ78" s="1036"/>
      <c r="CK78" s="1036"/>
    </row>
    <row r="79" spans="1:89" s="957" customFormat="1" ht="14.25">
      <c r="A79" s="1114"/>
      <c r="B79" s="1115"/>
      <c r="C79" s="1116"/>
      <c r="D79" s="1125" t="s">
        <v>1517</v>
      </c>
      <c r="F79" s="1117"/>
      <c r="G79" s="1117"/>
      <c r="H79" s="1036"/>
      <c r="I79" s="1126"/>
      <c r="J79" s="1122"/>
      <c r="K79" s="1408"/>
      <c r="L79" s="1122"/>
      <c r="M79" s="1408"/>
      <c r="N79" s="1408"/>
      <c r="O79" s="1354">
        <f t="shared" ref="O79:O84" si="23">AVERAGE(W79,AC79,AI79,AO79,AU79,BA79,BG79,BM79,BS79,BY79)</f>
        <v>77.17016102433999</v>
      </c>
      <c r="P79" s="1354"/>
      <c r="Q79" s="1354"/>
      <c r="R79" s="1354"/>
      <c r="S79" s="1127"/>
      <c r="T79" s="1128"/>
      <c r="U79" s="1281">
        <f>SUBTOTAL(9,U4:U75)</f>
        <v>85.111111111111114</v>
      </c>
      <c r="V79" s="1128"/>
      <c r="W79" s="1281">
        <f>SUBTOTAL(9,W4:W75)</f>
        <v>84.73684210526315</v>
      </c>
      <c r="X79" s="1158"/>
      <c r="Y79" s="1063"/>
      <c r="Z79" s="1128"/>
      <c r="AA79" s="1129">
        <f>SUBTOTAL(9,AA4:AA75)</f>
        <v>73.849206349206355</v>
      </c>
      <c r="AB79" s="1128"/>
      <c r="AC79" s="1321">
        <f>SUBTOTAL(9,AC4:AC75)</f>
        <v>76.866013071895424</v>
      </c>
      <c r="AD79" s="1158"/>
      <c r="AE79" s="1063"/>
      <c r="AF79" s="1128"/>
      <c r="AG79" s="1129">
        <f>SUBTOTAL(9,AG4:AG75)</f>
        <v>85.381944444444443</v>
      </c>
      <c r="AH79" s="1128"/>
      <c r="AI79" s="1325">
        <f>SUBTOTAL(9,AI4:AI75)</f>
        <v>76.473214285714278</v>
      </c>
      <c r="AJ79" s="1158"/>
      <c r="AK79" s="1063"/>
      <c r="AL79" s="1128"/>
      <c r="AM79" s="1129">
        <f>SUBTOTAL(9,AM4:AM75)</f>
        <v>67.545454545454547</v>
      </c>
      <c r="AN79" s="1128"/>
      <c r="AO79" s="1321">
        <f>SUBTOTAL(9,AO4:AO75)</f>
        <v>67.444444444444443</v>
      </c>
      <c r="AP79" s="1158"/>
      <c r="AQ79" s="1063"/>
      <c r="AR79" s="1128"/>
      <c r="AS79" s="1129">
        <f>SUBTOTAL(9,AS4:AS75)</f>
        <v>74.336065573770497</v>
      </c>
      <c r="AT79" s="1128"/>
      <c r="AU79" s="1325">
        <f>SUBTOTAL(9,AU4:AU75)</f>
        <v>75.296747967479675</v>
      </c>
      <c r="AV79" s="1158"/>
      <c r="AW79" s="1063"/>
      <c r="AX79" s="1128"/>
      <c r="AY79" s="1129">
        <f>SUBTOTAL(9,AY4:AY75)</f>
        <v>73.276923076923083</v>
      </c>
      <c r="AZ79" s="1128"/>
      <c r="BA79" s="1321">
        <f>SUBTOTAL(9,BA4:BA75)</f>
        <v>76.040229885057471</v>
      </c>
      <c r="BB79" s="1158"/>
      <c r="BC79" s="1063"/>
      <c r="BD79" s="1063"/>
      <c r="BE79" s="1129">
        <f>SUBTOTAL(9,BE4:BE75)</f>
        <v>82.296296296296305</v>
      </c>
      <c r="BF79" s="1128"/>
      <c r="BG79" s="1325">
        <f>SUBTOTAL(9,BG4:BG75)</f>
        <v>83.801886792452834</v>
      </c>
      <c r="BH79" s="1158"/>
      <c r="BI79" s="1063"/>
      <c r="BJ79" s="1063"/>
      <c r="BK79" s="1129">
        <f>SUBTOTAL(9,BK4:BK75)</f>
        <v>86.962686567164184</v>
      </c>
      <c r="BL79" s="1128"/>
      <c r="BM79" s="1321">
        <f>SUBTOTAL(9,BM4:BM75)</f>
        <v>74.487562189054728</v>
      </c>
      <c r="BN79" s="1158"/>
      <c r="BO79" s="1063"/>
      <c r="BP79" s="1063"/>
      <c r="BQ79" s="1129">
        <f>SUBTOTAL(9,BQ4:BQ75)</f>
        <v>83.669491525423723</v>
      </c>
      <c r="BR79" s="1063"/>
      <c r="BS79" s="1325">
        <f>SUBTOTAL(9,BS4:BS75)</f>
        <v>82.796296296296305</v>
      </c>
      <c r="BT79" s="1158"/>
      <c r="BU79" s="1063"/>
      <c r="BV79" s="1063"/>
      <c r="BW79" s="1130">
        <f>SUBTOTAL(9,BW4:BW75)</f>
        <v>76.442307692307693</v>
      </c>
      <c r="BX79" s="1063"/>
      <c r="BY79" s="1321">
        <f>SUBTOTAL(9,BY4:BY75)</f>
        <v>73.758373205741634</v>
      </c>
      <c r="BZ79" s="1158"/>
      <c r="CA79" s="1039"/>
      <c r="CB79" s="1131"/>
      <c r="CC79" s="1036"/>
      <c r="CD79" s="1036"/>
      <c r="CE79" s="1036"/>
      <c r="CF79" s="1036"/>
      <c r="CG79" s="1036"/>
      <c r="CH79" s="1036"/>
      <c r="CI79" s="1036"/>
      <c r="CJ79" s="1036"/>
      <c r="CK79" s="1036"/>
    </row>
    <row r="80" spans="1:89" s="1141" customFormat="1" ht="14.25">
      <c r="A80" s="1132"/>
      <c r="B80" s="1133"/>
      <c r="C80" s="1134"/>
      <c r="D80" s="1135" t="s">
        <v>1518</v>
      </c>
      <c r="E80" s="1132"/>
      <c r="F80" s="1136"/>
      <c r="G80" s="1136"/>
      <c r="H80" s="1137"/>
      <c r="I80" s="1138"/>
      <c r="J80" s="1137"/>
      <c r="K80" s="1409"/>
      <c r="L80" s="1137"/>
      <c r="M80" s="1409"/>
      <c r="N80" s="1409"/>
      <c r="O80" s="1354">
        <f>AVERAGE(W80,AC80,AI80,AO80,AU80,BA80,BG80,BM80,BS80,BY80)</f>
        <v>74.17016102433999</v>
      </c>
      <c r="P80" s="1354"/>
      <c r="Q80" s="1354"/>
      <c r="R80" s="1354"/>
      <c r="S80" s="1036"/>
      <c r="T80" s="1128"/>
      <c r="U80" s="1282">
        <f>U79-U81</f>
        <v>75.111111111111114</v>
      </c>
      <c r="V80" s="1128"/>
      <c r="W80" s="1282">
        <f>W79-W81</f>
        <v>74.73684210526315</v>
      </c>
      <c r="X80" s="1158"/>
      <c r="Y80" s="1063"/>
      <c r="Z80" s="1128"/>
      <c r="AA80" s="1139">
        <f>AA79-AA81</f>
        <v>73.849206349206355</v>
      </c>
      <c r="AB80" s="1128"/>
      <c r="AC80" s="1311">
        <f>AC79-AC81</f>
        <v>76.866013071895424</v>
      </c>
      <c r="AD80" s="1158"/>
      <c r="AE80" s="1063"/>
      <c r="AF80" s="1128"/>
      <c r="AG80" s="1139">
        <f>AG79-AG81</f>
        <v>75.381944444444443</v>
      </c>
      <c r="AH80" s="1128"/>
      <c r="AI80" s="1311">
        <f>AI79-AI81</f>
        <v>76.473214285714278</v>
      </c>
      <c r="AJ80" s="1158"/>
      <c r="AK80" s="1063"/>
      <c r="AL80" s="1128"/>
      <c r="AM80" s="1139">
        <f>AM79-AM81</f>
        <v>67.545454545454547</v>
      </c>
      <c r="AN80" s="1128"/>
      <c r="AO80" s="1311">
        <f>AO79-AO81</f>
        <v>67.444444444444443</v>
      </c>
      <c r="AP80" s="1158"/>
      <c r="AQ80" s="1063"/>
      <c r="AR80" s="1128"/>
      <c r="AS80" s="1139">
        <f>AS79-AS81</f>
        <v>74.336065573770497</v>
      </c>
      <c r="AT80" s="1128"/>
      <c r="AU80" s="1311">
        <f>AU79-AU81</f>
        <v>75.296747967479675</v>
      </c>
      <c r="AV80" s="1158"/>
      <c r="AW80" s="1063"/>
      <c r="AX80" s="1128"/>
      <c r="AY80" s="1139">
        <f>AY79-AY81</f>
        <v>73.276923076923083</v>
      </c>
      <c r="AZ80" s="1128"/>
      <c r="BA80" s="1311">
        <f>BA79-BA81</f>
        <v>76.040229885057471</v>
      </c>
      <c r="BB80" s="1158"/>
      <c r="BC80" s="1063"/>
      <c r="BD80" s="1063"/>
      <c r="BE80" s="1139">
        <f>BE79-BE81</f>
        <v>72.296296296296305</v>
      </c>
      <c r="BF80" s="1128"/>
      <c r="BG80" s="1311">
        <f>BG79-BG81</f>
        <v>73.801886792452834</v>
      </c>
      <c r="BH80" s="1158"/>
      <c r="BI80" s="1063"/>
      <c r="BJ80" s="1063"/>
      <c r="BK80" s="1139">
        <f>BK79-BK81</f>
        <v>76.962686567164184</v>
      </c>
      <c r="BL80" s="1128"/>
      <c r="BM80" s="1311">
        <f>BM79-BM81</f>
        <v>74.487562189054728</v>
      </c>
      <c r="BN80" s="1158"/>
      <c r="BO80" s="1063"/>
      <c r="BP80" s="1063"/>
      <c r="BQ80" s="1139">
        <f>BQ79-BQ81</f>
        <v>73.669491525423723</v>
      </c>
      <c r="BR80" s="1063"/>
      <c r="BS80" s="1311">
        <f>BS79-BS81</f>
        <v>72.796296296296305</v>
      </c>
      <c r="BT80" s="1158"/>
      <c r="BU80" s="1063"/>
      <c r="BV80" s="1063"/>
      <c r="BW80" s="1139">
        <f>BW79-BW81</f>
        <v>76.442307692307693</v>
      </c>
      <c r="BX80" s="1063"/>
      <c r="BY80" s="1311">
        <f>BY79-BY81</f>
        <v>73.758373205741634</v>
      </c>
      <c r="BZ80" s="1158"/>
      <c r="CA80" s="1140"/>
      <c r="CB80" s="1140"/>
      <c r="CC80" s="1138"/>
      <c r="CD80" s="1138"/>
      <c r="CE80" s="1138"/>
      <c r="CF80" s="1138"/>
      <c r="CG80" s="1138"/>
      <c r="CH80" s="1138"/>
      <c r="CI80" s="1138"/>
      <c r="CJ80" s="1138"/>
      <c r="CK80" s="1138"/>
    </row>
    <row r="81" spans="1:89" s="957" customFormat="1" ht="14.25">
      <c r="A81" s="1114"/>
      <c r="B81" s="1115"/>
      <c r="C81" s="1116"/>
      <c r="D81" s="1135" t="s">
        <v>1519</v>
      </c>
      <c r="E81" s="1114"/>
      <c r="F81" s="1117"/>
      <c r="G81" s="1117"/>
      <c r="H81" s="1118"/>
      <c r="I81" s="1114"/>
      <c r="J81" s="1118"/>
      <c r="K81" s="1410"/>
      <c r="L81" s="1118"/>
      <c r="M81" s="1410"/>
      <c r="N81" s="1410"/>
      <c r="O81" s="1352">
        <f t="shared" si="23"/>
        <v>3</v>
      </c>
      <c r="P81" s="1352">
        <f>O81*0.7</f>
        <v>2.0999999999999996</v>
      </c>
      <c r="Q81" s="1352">
        <f>P81/9</f>
        <v>0.23333333333333328</v>
      </c>
      <c r="R81" s="1352">
        <f>Q81/2</f>
        <v>0.11666666666666664</v>
      </c>
      <c r="S81" s="1142"/>
      <c r="T81" s="1128"/>
      <c r="U81" s="1282">
        <f>IF(U73=10, 10, 0)</f>
        <v>10</v>
      </c>
      <c r="V81" s="1128"/>
      <c r="W81" s="1282">
        <f>IF(W73=10, 10, 0)</f>
        <v>10</v>
      </c>
      <c r="X81" s="1158"/>
      <c r="Y81" s="1063"/>
      <c r="Z81" s="1128"/>
      <c r="AA81" s="1139">
        <f>IF(AA73=10, 10, 0)</f>
        <v>0</v>
      </c>
      <c r="AB81" s="1128"/>
      <c r="AC81" s="1311">
        <f>IF(AC73=10, 10, 0)</f>
        <v>0</v>
      </c>
      <c r="AD81" s="1158"/>
      <c r="AE81" s="1063"/>
      <c r="AF81" s="1128"/>
      <c r="AG81" s="1139">
        <f>IF(AG73=10, 10, 0)</f>
        <v>10</v>
      </c>
      <c r="AH81" s="1128"/>
      <c r="AI81" s="1311">
        <f>IF(AI73=10, 10, 0)</f>
        <v>0</v>
      </c>
      <c r="AJ81" s="1158"/>
      <c r="AK81" s="1063"/>
      <c r="AL81" s="1128"/>
      <c r="AM81" s="1139">
        <f>IF(AM73=10, 10, 0)</f>
        <v>0</v>
      </c>
      <c r="AN81" s="1128"/>
      <c r="AO81" s="1311">
        <f>IF(AO73=10, 10, 0)</f>
        <v>0</v>
      </c>
      <c r="AP81" s="1158"/>
      <c r="AQ81" s="1063"/>
      <c r="AR81" s="1128"/>
      <c r="AS81" s="1139">
        <f>IF(AS73=10, 10, 0)</f>
        <v>0</v>
      </c>
      <c r="AT81" s="1128"/>
      <c r="AU81" s="1311">
        <f>IF(AU73=10, 10, 0)</f>
        <v>0</v>
      </c>
      <c r="AV81" s="1158"/>
      <c r="AW81" s="1063"/>
      <c r="AX81" s="1128"/>
      <c r="AY81" s="1139">
        <f>IF(AY73=10, 10, 0)</f>
        <v>0</v>
      </c>
      <c r="AZ81" s="1128"/>
      <c r="BA81" s="1311">
        <f>IF(BA73=10, 10, 0)</f>
        <v>0</v>
      </c>
      <c r="BB81" s="1158"/>
      <c r="BC81" s="1063"/>
      <c r="BD81" s="1063"/>
      <c r="BE81" s="1139">
        <f>IF(BE73=10, 10, 0)</f>
        <v>10</v>
      </c>
      <c r="BF81" s="1128"/>
      <c r="BG81" s="1311">
        <f>IF(BG73=10, 10, 0)</f>
        <v>10</v>
      </c>
      <c r="BH81" s="1158"/>
      <c r="BI81" s="1063"/>
      <c r="BJ81" s="1063"/>
      <c r="BK81" s="1139">
        <f>IF(BK73=10, 10, 0)</f>
        <v>10</v>
      </c>
      <c r="BL81" s="1128"/>
      <c r="BM81" s="1311">
        <f>IF(BM73=10, 10, 0)</f>
        <v>0</v>
      </c>
      <c r="BN81" s="1158"/>
      <c r="BO81" s="1063"/>
      <c r="BP81" s="1063"/>
      <c r="BQ81" s="1139">
        <f>IF(BQ73=10, 10, 0)</f>
        <v>10</v>
      </c>
      <c r="BR81" s="1063"/>
      <c r="BS81" s="1311">
        <f>IF(BS73=10, 10, 0)</f>
        <v>10</v>
      </c>
      <c r="BT81" s="1158"/>
      <c r="BU81" s="1063"/>
      <c r="BV81" s="1063"/>
      <c r="BW81" s="1139">
        <f>IF(BW73=10, 10, 0)</f>
        <v>0</v>
      </c>
      <c r="BX81" s="1063"/>
      <c r="BY81" s="1311">
        <f>IF(BY73=10, 10, 0)</f>
        <v>0</v>
      </c>
      <c r="BZ81" s="1158"/>
      <c r="CA81" s="1039"/>
      <c r="CB81" s="1131"/>
      <c r="CC81" s="1036"/>
      <c r="CD81" s="1036"/>
      <c r="CE81" s="1036"/>
      <c r="CF81" s="1036"/>
      <c r="CG81" s="1036"/>
      <c r="CH81" s="1036"/>
      <c r="CI81" s="1036"/>
      <c r="CJ81" s="1036"/>
      <c r="CK81" s="1036"/>
    </row>
    <row r="82" spans="1:89" s="1021" customFormat="1" ht="14.25">
      <c r="A82" s="1126"/>
      <c r="B82" s="1143"/>
      <c r="C82" s="1144"/>
      <c r="D82" s="1135" t="s">
        <v>1520</v>
      </c>
      <c r="E82" s="1126"/>
      <c r="F82" s="1123"/>
      <c r="G82" s="1123"/>
      <c r="H82" s="1122"/>
      <c r="I82" s="1126"/>
      <c r="J82" s="1122"/>
      <c r="K82" s="1408"/>
      <c r="L82" s="1122"/>
      <c r="M82" s="1408"/>
      <c r="N82" s="1408"/>
      <c r="O82" s="1352">
        <f t="shared" si="23"/>
        <v>7</v>
      </c>
      <c r="P82" s="1352">
        <f>O82*0.7</f>
        <v>4.8999999999999995</v>
      </c>
      <c r="Q82" s="1352">
        <f>P82/9</f>
        <v>0.5444444444444444</v>
      </c>
      <c r="R82" s="1352">
        <f>Q82/2</f>
        <v>0.2722222222222222</v>
      </c>
      <c r="S82" s="1036"/>
      <c r="T82" s="1128"/>
      <c r="U82" s="1278">
        <f>10-U81</f>
        <v>0</v>
      </c>
      <c r="V82" s="1128"/>
      <c r="W82" s="1278">
        <f>10-W81</f>
        <v>0</v>
      </c>
      <c r="X82" s="1158"/>
      <c r="Y82" s="1063"/>
      <c r="Z82" s="1128"/>
      <c r="AA82" s="1069">
        <f>10-AA81</f>
        <v>10</v>
      </c>
      <c r="AB82" s="1128"/>
      <c r="AC82" s="1314">
        <f>10-AC81</f>
        <v>10</v>
      </c>
      <c r="AD82" s="1158"/>
      <c r="AE82" s="1063"/>
      <c r="AF82" s="1128"/>
      <c r="AG82" s="1069">
        <f>10-AG81</f>
        <v>0</v>
      </c>
      <c r="AH82" s="1128"/>
      <c r="AI82" s="1314">
        <f>10-AI81</f>
        <v>10</v>
      </c>
      <c r="AJ82" s="1158"/>
      <c r="AK82" s="1063"/>
      <c r="AL82" s="1128"/>
      <c r="AM82" s="1069">
        <f>10-AM81</f>
        <v>10</v>
      </c>
      <c r="AN82" s="1128"/>
      <c r="AO82" s="1314">
        <f>10-AO81</f>
        <v>10</v>
      </c>
      <c r="AP82" s="1158"/>
      <c r="AQ82" s="1063"/>
      <c r="AR82" s="1128"/>
      <c r="AS82" s="1069">
        <f>10-AS81</f>
        <v>10</v>
      </c>
      <c r="AT82" s="1128"/>
      <c r="AU82" s="1314">
        <f>10-AU81</f>
        <v>10</v>
      </c>
      <c r="AV82" s="1158"/>
      <c r="AW82" s="1063"/>
      <c r="AX82" s="1128"/>
      <c r="AY82" s="1069">
        <f>10-AY81</f>
        <v>10</v>
      </c>
      <c r="AZ82" s="1128"/>
      <c r="BA82" s="1314">
        <f>10-BA81</f>
        <v>10</v>
      </c>
      <c r="BB82" s="1158"/>
      <c r="BC82" s="1063"/>
      <c r="BD82" s="1063"/>
      <c r="BE82" s="1069">
        <f>10-BE81</f>
        <v>0</v>
      </c>
      <c r="BF82" s="1128"/>
      <c r="BG82" s="1314">
        <f>10-BG81</f>
        <v>0</v>
      </c>
      <c r="BH82" s="1158"/>
      <c r="BI82" s="1063"/>
      <c r="BJ82" s="1063"/>
      <c r="BK82" s="1069">
        <f>10-BK81</f>
        <v>0</v>
      </c>
      <c r="BL82" s="1128"/>
      <c r="BM82" s="1314">
        <f>10-BM81</f>
        <v>10</v>
      </c>
      <c r="BN82" s="1158"/>
      <c r="BO82" s="1063"/>
      <c r="BP82" s="1063"/>
      <c r="BQ82" s="1069">
        <f>10-BQ81</f>
        <v>0</v>
      </c>
      <c r="BR82" s="1063"/>
      <c r="BS82" s="1314">
        <f>10-BS81</f>
        <v>0</v>
      </c>
      <c r="BT82" s="1158"/>
      <c r="BU82" s="1063"/>
      <c r="BV82" s="1063"/>
      <c r="BW82" s="1069">
        <f>10-BW81</f>
        <v>10</v>
      </c>
      <c r="BX82" s="1063"/>
      <c r="BY82" s="1314">
        <f>10-BY81</f>
        <v>10</v>
      </c>
      <c r="BZ82" s="1158"/>
      <c r="CA82" s="1131"/>
      <c r="CB82" s="1131"/>
      <c r="CC82" s="1142"/>
      <c r="CD82" s="1142"/>
      <c r="CE82" s="1142"/>
      <c r="CF82" s="1142"/>
      <c r="CG82" s="1142"/>
      <c r="CH82" s="1142"/>
      <c r="CI82" s="1142"/>
      <c r="CJ82" s="1142"/>
      <c r="CK82" s="1142"/>
    </row>
    <row r="83" spans="1:89" s="957" customFormat="1" ht="14.25">
      <c r="A83" s="1114"/>
      <c r="B83" s="1115"/>
      <c r="C83" s="1116"/>
      <c r="D83" s="1135" t="s">
        <v>1521</v>
      </c>
      <c r="E83" s="1114"/>
      <c r="F83" s="1117"/>
      <c r="G83" s="1117"/>
      <c r="H83" s="1118"/>
      <c r="I83" s="1145">
        <v>10</v>
      </c>
      <c r="J83" s="1118"/>
      <c r="K83" s="1410"/>
      <c r="L83" s="1118"/>
      <c r="M83" s="1410"/>
      <c r="N83" s="1410"/>
      <c r="O83" s="1352">
        <f t="shared" si="23"/>
        <v>10</v>
      </c>
      <c r="P83" s="1352">
        <f>O83*0.7</f>
        <v>7</v>
      </c>
      <c r="Q83" s="1352">
        <f>P83/9</f>
        <v>0.77777777777777779</v>
      </c>
      <c r="R83" s="1352">
        <f>Q83/2</f>
        <v>0.3888888888888889</v>
      </c>
      <c r="S83" s="1036"/>
      <c r="T83" s="1128"/>
      <c r="U83" s="1282">
        <v>10</v>
      </c>
      <c r="V83" s="1128"/>
      <c r="W83" s="1282">
        <v>10</v>
      </c>
      <c r="X83" s="1158"/>
      <c r="Y83" s="1063"/>
      <c r="Z83" s="1128"/>
      <c r="AA83" s="1139">
        <v>10</v>
      </c>
      <c r="AB83" s="1128"/>
      <c r="AC83" s="1314">
        <v>10</v>
      </c>
      <c r="AD83" s="1158"/>
      <c r="AE83" s="1063"/>
      <c r="AF83" s="1128"/>
      <c r="AG83" s="1139">
        <v>10</v>
      </c>
      <c r="AH83" s="1128"/>
      <c r="AI83" s="1311">
        <v>10</v>
      </c>
      <c r="AJ83" s="1158"/>
      <c r="AK83" s="1063"/>
      <c r="AL83" s="1128"/>
      <c r="AM83" s="1139">
        <v>10</v>
      </c>
      <c r="AN83" s="1128"/>
      <c r="AO83" s="1314">
        <v>10</v>
      </c>
      <c r="AP83" s="1158"/>
      <c r="AQ83" s="1063"/>
      <c r="AR83" s="1128"/>
      <c r="AS83" s="1139">
        <v>10</v>
      </c>
      <c r="AT83" s="1128"/>
      <c r="AU83" s="1311">
        <v>10</v>
      </c>
      <c r="AV83" s="1158"/>
      <c r="AW83" s="1063"/>
      <c r="AX83" s="1128"/>
      <c r="AY83" s="1139">
        <v>10</v>
      </c>
      <c r="AZ83" s="1128"/>
      <c r="BA83" s="1314">
        <v>10</v>
      </c>
      <c r="BB83" s="1158"/>
      <c r="BC83" s="1063"/>
      <c r="BD83" s="1063"/>
      <c r="BE83" s="1139">
        <v>10</v>
      </c>
      <c r="BF83" s="1128"/>
      <c r="BG83" s="1311">
        <v>10</v>
      </c>
      <c r="BH83" s="1158"/>
      <c r="BI83" s="1063"/>
      <c r="BJ83" s="1063"/>
      <c r="BK83" s="1139">
        <v>10</v>
      </c>
      <c r="BL83" s="1128"/>
      <c r="BM83" s="1314">
        <v>10</v>
      </c>
      <c r="BN83" s="1158"/>
      <c r="BO83" s="1063"/>
      <c r="BP83" s="1063"/>
      <c r="BQ83" s="1139">
        <v>10</v>
      </c>
      <c r="BR83" s="1063"/>
      <c r="BS83" s="1311">
        <v>10</v>
      </c>
      <c r="BT83" s="1158"/>
      <c r="BU83" s="1063"/>
      <c r="BV83" s="1063"/>
      <c r="BW83" s="1069">
        <v>10</v>
      </c>
      <c r="BX83" s="1063"/>
      <c r="BY83" s="1314">
        <v>10</v>
      </c>
      <c r="BZ83" s="1158"/>
      <c r="CA83" s="1039"/>
      <c r="CB83" s="1131"/>
      <c r="CC83" s="1036"/>
      <c r="CD83" s="1036"/>
      <c r="CE83" s="1036"/>
      <c r="CF83" s="1036"/>
      <c r="CG83" s="1036"/>
      <c r="CH83" s="1036"/>
      <c r="CI83" s="1036"/>
      <c r="CJ83" s="1036"/>
      <c r="CK83" s="1036"/>
    </row>
    <row r="84" spans="1:89" s="957" customFormat="1" ht="14.25">
      <c r="A84" s="1114"/>
      <c r="B84" s="1115"/>
      <c r="C84" s="1116"/>
      <c r="D84" s="1135" t="s">
        <v>1493</v>
      </c>
      <c r="E84" s="1114"/>
      <c r="F84" s="1117"/>
      <c r="G84" s="1117"/>
      <c r="H84" s="1118"/>
      <c r="I84" s="1114"/>
      <c r="J84" s="1118"/>
      <c r="K84" s="1410"/>
      <c r="L84" s="1118"/>
      <c r="M84" s="1410"/>
      <c r="N84" s="1410"/>
      <c r="O84" s="1354">
        <f t="shared" si="23"/>
        <v>5.8298389756600058</v>
      </c>
      <c r="P84" s="1352"/>
      <c r="Q84" s="1352"/>
      <c r="R84" s="1352"/>
      <c r="S84" s="1036"/>
      <c r="T84" s="1128"/>
      <c r="U84" s="1282">
        <f>100-SUM(U80:U83)</f>
        <v>4.8888888888888857</v>
      </c>
      <c r="V84" s="1128"/>
      <c r="W84" s="1311">
        <f>100-SUM(W80:W83)</f>
        <v>5.2631578947368496</v>
      </c>
      <c r="X84" s="1312"/>
      <c r="Y84" s="1312"/>
      <c r="Z84" s="1313"/>
      <c r="AA84" s="1311">
        <f>100-SUM(AA80:AA83)</f>
        <v>6.1507936507936449</v>
      </c>
      <c r="AB84" s="1313"/>
      <c r="AC84" s="1314">
        <f>100-SUM(AC80:AC83)</f>
        <v>3.1339869281045765</v>
      </c>
      <c r="AD84" s="1312"/>
      <c r="AE84" s="1312"/>
      <c r="AF84" s="1313"/>
      <c r="AG84" s="1311">
        <f>100-SUM(AG80:AG83)</f>
        <v>4.6180555555555571</v>
      </c>
      <c r="AH84" s="1313"/>
      <c r="AI84" s="1311">
        <f>100-SUM(AI80:AI83)</f>
        <v>3.5267857142857224</v>
      </c>
      <c r="AJ84" s="1312"/>
      <c r="AK84" s="1312"/>
      <c r="AL84" s="1313"/>
      <c r="AM84" s="1311">
        <f>100-SUM(AM80:AM83)</f>
        <v>12.454545454545453</v>
      </c>
      <c r="AN84" s="1313"/>
      <c r="AO84" s="1314">
        <f>100-SUM(AO80:AO83)</f>
        <v>12.555555555555557</v>
      </c>
      <c r="AP84" s="1312"/>
      <c r="AQ84" s="1312"/>
      <c r="AR84" s="1313"/>
      <c r="AS84" s="1311">
        <f>100-SUM(AS80:AS83)</f>
        <v>5.6639344262295026</v>
      </c>
      <c r="AT84" s="1313"/>
      <c r="AU84" s="1311">
        <f>100-SUM(AU80:AU83)</f>
        <v>4.7032520325203251</v>
      </c>
      <c r="AV84" s="1312"/>
      <c r="AW84" s="1312"/>
      <c r="AX84" s="1313"/>
      <c r="AY84" s="1311">
        <f>100-SUM(AY80:AY83)</f>
        <v>6.723076923076917</v>
      </c>
      <c r="AZ84" s="1313"/>
      <c r="BA84" s="1314">
        <f>100-SUM(BA80:BA83)</f>
        <v>3.9597701149425291</v>
      </c>
      <c r="BB84" s="1312"/>
      <c r="BC84" s="1312"/>
      <c r="BD84" s="1312"/>
      <c r="BE84" s="1311">
        <f>100-SUM(BE80:BE83)</f>
        <v>7.7037037037036953</v>
      </c>
      <c r="BF84" s="1313"/>
      <c r="BG84" s="1311">
        <f>100-SUM(BG80:BG83)</f>
        <v>6.1981132075471663</v>
      </c>
      <c r="BH84" s="1312"/>
      <c r="BI84" s="1312"/>
      <c r="BJ84" s="1312"/>
      <c r="BK84" s="1311">
        <f>100-SUM(BK80:BK83)</f>
        <v>3.0373134328358162</v>
      </c>
      <c r="BL84" s="1313"/>
      <c r="BM84" s="1314">
        <f>100-SUM(BM80:BM83)</f>
        <v>5.5124378109452721</v>
      </c>
      <c r="BN84" s="1312"/>
      <c r="BO84" s="1312"/>
      <c r="BP84" s="1312"/>
      <c r="BQ84" s="1311">
        <f>100-SUM(BQ80:BQ83)</f>
        <v>6.330508474576277</v>
      </c>
      <c r="BR84" s="1312"/>
      <c r="BS84" s="1311">
        <f>100-SUM(BS80:BS83)</f>
        <v>7.2037037037036953</v>
      </c>
      <c r="BT84" s="1312"/>
      <c r="BU84" s="1312"/>
      <c r="BV84" s="1312"/>
      <c r="BW84" s="1314">
        <f>100-SUM(BW80:BW83)</f>
        <v>3.5576923076923066</v>
      </c>
      <c r="BX84" s="1312"/>
      <c r="BY84" s="1314">
        <f>100-SUM(BY80:BY83)</f>
        <v>6.2416267942583659</v>
      </c>
      <c r="BZ84" s="1312"/>
      <c r="CA84" s="1039"/>
      <c r="CB84" s="1131"/>
      <c r="CC84" s="1036"/>
      <c r="CD84" s="1036"/>
      <c r="CE84" s="1036"/>
      <c r="CF84" s="1036"/>
      <c r="CG84" s="1036"/>
      <c r="CH84" s="1036"/>
      <c r="CI84" s="1036"/>
      <c r="CJ84" s="1036"/>
      <c r="CK84" s="1036"/>
    </row>
    <row r="85" spans="1:89" s="957" customFormat="1" ht="14.25">
      <c r="A85" s="1114"/>
      <c r="B85" s="1115"/>
      <c r="C85" s="1116"/>
      <c r="E85" s="1114"/>
      <c r="F85" s="1117"/>
      <c r="G85" s="1117"/>
      <c r="H85" s="1118"/>
      <c r="I85" s="1114"/>
      <c r="J85" s="1118"/>
      <c r="K85" s="1410"/>
      <c r="L85" s="1118"/>
      <c r="M85" s="1410"/>
      <c r="N85" s="1410"/>
      <c r="T85" s="1146"/>
      <c r="U85" s="1284"/>
      <c r="V85" s="1146"/>
      <c r="W85" s="1283"/>
      <c r="X85" s="26"/>
      <c r="Z85" s="1146"/>
      <c r="AB85" s="1146"/>
      <c r="AC85" s="1322"/>
      <c r="AD85" s="26"/>
      <c r="AF85" s="1146"/>
      <c r="AH85" s="1146"/>
      <c r="AI85" s="1322"/>
      <c r="AJ85" s="26"/>
      <c r="AL85" s="1146"/>
      <c r="AN85" s="1146"/>
      <c r="AO85" s="1322"/>
      <c r="AP85" s="26"/>
      <c r="AR85" s="1146"/>
      <c r="AT85" s="1146"/>
      <c r="AU85" s="1322"/>
      <c r="AV85" s="26"/>
      <c r="AX85" s="1146"/>
      <c r="AZ85" s="1146"/>
      <c r="BA85" s="1322"/>
      <c r="BB85" s="26"/>
      <c r="BF85" s="1146"/>
      <c r="BG85" s="1322"/>
      <c r="BH85" s="26"/>
      <c r="BL85" s="1146"/>
      <c r="BM85" s="1322"/>
      <c r="BN85" s="26"/>
      <c r="BS85" s="1322"/>
      <c r="BT85" s="26"/>
      <c r="BY85" s="1322"/>
      <c r="BZ85" s="26"/>
      <c r="CA85" s="1039"/>
      <c r="CB85" s="1131"/>
      <c r="CC85" s="1036"/>
      <c r="CD85" s="1036"/>
      <c r="CE85" s="1036"/>
      <c r="CF85" s="1036"/>
      <c r="CG85" s="1036"/>
      <c r="CH85" s="1036"/>
      <c r="CI85" s="1036"/>
      <c r="CJ85" s="1036"/>
      <c r="CK85" s="1036"/>
    </row>
    <row r="86" spans="1:89" s="957" customFormat="1" ht="14.25">
      <c r="A86" s="1114"/>
      <c r="B86" s="1115"/>
      <c r="C86" s="1116"/>
      <c r="D86" s="1147"/>
      <c r="E86" s="1114"/>
      <c r="F86" s="1117"/>
      <c r="G86" s="1117"/>
      <c r="H86" s="1118"/>
      <c r="I86" s="1436"/>
      <c r="J86" s="1118"/>
      <c r="K86" s="1410"/>
      <c r="L86" s="1118"/>
      <c r="M86" s="1410"/>
      <c r="N86" s="1410"/>
      <c r="O86" s="1036"/>
      <c r="P86" s="1036"/>
      <c r="Q86" s="1036"/>
      <c r="R86" s="1437"/>
      <c r="S86" s="1036"/>
      <c r="T86" s="1122"/>
      <c r="U86" s="1280"/>
      <c r="V86" s="1118"/>
      <c r="W86" s="1280"/>
      <c r="X86" s="908"/>
      <c r="Y86" s="1036"/>
      <c r="Z86" s="1148"/>
      <c r="AA86" s="1121"/>
      <c r="AB86" s="1120"/>
      <c r="AC86" s="1320"/>
      <c r="AD86" s="1156"/>
      <c r="AE86" s="1039"/>
      <c r="AF86" s="1122"/>
      <c r="AG86" s="1117"/>
      <c r="AH86" s="1118"/>
      <c r="AI86" s="1324"/>
      <c r="AJ86" s="908"/>
      <c r="AK86" s="1036"/>
      <c r="AL86" s="1148"/>
      <c r="AM86" s="1121"/>
      <c r="AN86" s="1120"/>
      <c r="AO86" s="1320"/>
      <c r="AP86" s="1156"/>
      <c r="AQ86" s="1039"/>
      <c r="AR86" s="1122"/>
      <c r="AS86" s="1117"/>
      <c r="AT86" s="1118"/>
      <c r="AU86" s="1324"/>
      <c r="AV86" s="908"/>
      <c r="AW86" s="1036"/>
      <c r="AX86" s="1148"/>
      <c r="AY86" s="1121"/>
      <c r="AZ86" s="1120"/>
      <c r="BA86" s="1320"/>
      <c r="BB86" s="1156"/>
      <c r="BC86" s="1039"/>
      <c r="BD86" s="1142"/>
      <c r="BE86" s="1117"/>
      <c r="BF86" s="1118"/>
      <c r="BG86" s="1324"/>
      <c r="BH86" s="908"/>
      <c r="BI86" s="1036"/>
      <c r="BJ86" s="1131"/>
      <c r="BK86" s="1121"/>
      <c r="BL86" s="1120"/>
      <c r="BM86" s="1320"/>
      <c r="BN86" s="1156"/>
      <c r="BO86" s="1039"/>
      <c r="BP86" s="1142"/>
      <c r="BQ86" s="1117"/>
      <c r="BR86" s="1036"/>
      <c r="BS86" s="1324"/>
      <c r="BT86" s="908"/>
      <c r="BU86" s="1036"/>
      <c r="BV86" s="1131"/>
      <c r="BW86" s="1121"/>
      <c r="BX86" s="1039"/>
      <c r="BY86" s="1320"/>
      <c r="BZ86" s="1159"/>
      <c r="CA86" s="1039"/>
      <c r="CB86" s="1131"/>
      <c r="CC86" s="1036"/>
      <c r="CD86" s="1036"/>
      <c r="CE86" s="1036"/>
      <c r="CF86" s="1036"/>
      <c r="CG86" s="1036"/>
      <c r="CH86" s="1036"/>
      <c r="CI86" s="1036"/>
      <c r="CJ86" s="1036"/>
      <c r="CK86" s="1036"/>
    </row>
    <row r="87" spans="1:89" s="957" customFormat="1" ht="18.75">
      <c r="A87" s="1114"/>
      <c r="B87" s="1115"/>
      <c r="C87" s="1116"/>
      <c r="D87" s="1039"/>
      <c r="E87" s="1114"/>
      <c r="F87" s="1117"/>
      <c r="G87" s="1117"/>
      <c r="H87" s="1118"/>
      <c r="I87" s="1436"/>
      <c r="J87" s="1118"/>
      <c r="K87" s="1410"/>
      <c r="L87" s="1118"/>
      <c r="M87" s="1410"/>
      <c r="N87" s="1410"/>
      <c r="O87" s="1036"/>
      <c r="P87" s="1036"/>
      <c r="Q87" s="1036"/>
      <c r="R87" s="1437"/>
      <c r="S87" s="1036"/>
      <c r="T87" s="1118"/>
      <c r="U87" s="1280"/>
      <c r="V87" s="1118"/>
      <c r="W87" s="1280"/>
      <c r="X87" s="908"/>
      <c r="Y87" s="1036"/>
      <c r="Z87" s="1120"/>
      <c r="AA87" s="1121"/>
      <c r="AB87" s="1124"/>
      <c r="AC87" s="1326"/>
      <c r="AD87" s="1159"/>
      <c r="AE87" s="1392"/>
      <c r="AF87" s="1393"/>
      <c r="AG87" s="1394"/>
      <c r="AH87" s="1395"/>
      <c r="AI87" s="1396"/>
      <c r="AJ87" s="1397"/>
      <c r="AK87" s="1036"/>
      <c r="AL87" s="1120"/>
      <c r="AM87" s="1121"/>
      <c r="AN87" s="1120"/>
      <c r="AO87" s="1320"/>
      <c r="AP87" s="1156"/>
      <c r="AQ87" s="1039"/>
      <c r="AR87" s="1118"/>
      <c r="AS87" s="1117"/>
      <c r="AT87" s="1118"/>
      <c r="AU87" s="1324"/>
      <c r="AV87" s="908"/>
      <c r="AW87" s="1036"/>
      <c r="AX87" s="1120"/>
      <c r="AY87" s="1121"/>
      <c r="AZ87" s="1120"/>
      <c r="BA87" s="1320"/>
      <c r="BB87" s="1156"/>
      <c r="BC87" s="1039"/>
      <c r="BD87" s="1036"/>
      <c r="BE87" s="1117"/>
      <c r="BF87" s="1118"/>
      <c r="BG87" s="1324"/>
      <c r="BH87" s="908"/>
      <c r="BI87" s="1036"/>
      <c r="BJ87" s="1039"/>
      <c r="BK87" s="1121"/>
      <c r="BL87" s="1120"/>
      <c r="BM87" s="1320"/>
      <c r="BN87" s="1156"/>
      <c r="BO87" s="1039"/>
      <c r="BP87" s="1036"/>
      <c r="BQ87" s="1117"/>
      <c r="BR87" s="1036"/>
      <c r="BS87" s="1324"/>
      <c r="BT87" s="908"/>
      <c r="BU87" s="1036"/>
      <c r="BV87" s="1039"/>
      <c r="BW87" s="1121"/>
      <c r="BX87" s="1039"/>
      <c r="BY87" s="1320"/>
      <c r="BZ87" s="1159"/>
      <c r="CA87" s="1039"/>
      <c r="CB87" s="1131"/>
      <c r="CC87" s="1036"/>
      <c r="CD87" s="1036"/>
      <c r="CE87" s="1036"/>
      <c r="CF87" s="1036"/>
      <c r="CG87" s="1036"/>
      <c r="CH87" s="1036"/>
      <c r="CI87" s="1036"/>
      <c r="CJ87" s="1036"/>
      <c r="CK87" s="1036"/>
    </row>
    <row r="88" spans="1:89" s="957" customFormat="1" ht="18.75">
      <c r="A88" s="1114"/>
      <c r="B88" s="1115"/>
      <c r="C88" s="1116"/>
      <c r="D88" s="1149" t="s">
        <v>1611</v>
      </c>
      <c r="E88" s="1114"/>
      <c r="F88" s="1117"/>
      <c r="G88" s="1117"/>
      <c r="H88" s="1118"/>
      <c r="I88" s="1436"/>
      <c r="J88" s="1118"/>
      <c r="K88" s="1410"/>
      <c r="L88" s="1118"/>
      <c r="M88" s="1410"/>
      <c r="N88" s="1410"/>
      <c r="O88" s="1036"/>
      <c r="P88" s="1036"/>
      <c r="Q88" s="1036"/>
      <c r="R88" s="1437"/>
      <c r="S88" s="1036"/>
      <c r="T88" s="1118"/>
      <c r="U88" s="1280"/>
      <c r="V88" s="1118"/>
      <c r="W88" s="1280"/>
      <c r="X88" s="908"/>
      <c r="Y88" s="1036"/>
      <c r="Z88" s="1120"/>
      <c r="AA88" s="1121"/>
      <c r="AB88" s="1124"/>
      <c r="AC88" s="1326"/>
      <c r="AD88" s="1159"/>
      <c r="AE88" s="1392"/>
      <c r="AF88" s="1393"/>
      <c r="AG88" s="1394"/>
      <c r="AH88" s="1395"/>
      <c r="AI88" s="1396"/>
      <c r="AJ88" s="1397"/>
      <c r="AK88" s="1036"/>
      <c r="AL88" s="1120"/>
      <c r="AM88" s="1121"/>
      <c r="AN88" s="1120"/>
      <c r="AO88" s="1320"/>
      <c r="AP88" s="1156"/>
      <c r="AQ88" s="1039"/>
      <c r="AR88" s="1118"/>
      <c r="AS88" s="1117"/>
      <c r="AT88" s="1118"/>
      <c r="AU88" s="1324"/>
      <c r="AV88" s="908"/>
      <c r="AW88" s="1036"/>
      <c r="AX88" s="1120"/>
      <c r="AY88" s="1121"/>
      <c r="AZ88" s="1120"/>
      <c r="BA88" s="1320"/>
      <c r="BB88" s="1156"/>
      <c r="BC88" s="1039"/>
      <c r="BD88" s="1036"/>
      <c r="BE88" s="1117"/>
      <c r="BF88" s="1118"/>
      <c r="BG88" s="1324"/>
      <c r="BH88" s="908"/>
      <c r="BI88" s="1036"/>
      <c r="BJ88" s="1039"/>
      <c r="BK88" s="1121"/>
      <c r="BL88" s="1120"/>
      <c r="BM88" s="1320"/>
      <c r="BN88" s="1156"/>
      <c r="BO88" s="1039"/>
      <c r="BP88" s="1036"/>
      <c r="BQ88" s="1117"/>
      <c r="BR88" s="1036"/>
      <c r="BS88" s="1324"/>
      <c r="BT88" s="908"/>
      <c r="BU88" s="1036"/>
      <c r="BV88" s="1039"/>
      <c r="BW88" s="1121"/>
      <c r="BX88" s="1039"/>
      <c r="BY88" s="1320"/>
      <c r="BZ88" s="1159"/>
      <c r="CA88" s="1039"/>
      <c r="CB88" s="1131"/>
      <c r="CC88" s="1036"/>
      <c r="CD88" s="1036"/>
      <c r="CE88" s="1036"/>
      <c r="CF88" s="1036"/>
      <c r="CG88" s="1036"/>
      <c r="CH88" s="1036"/>
      <c r="CI88" s="1036"/>
      <c r="CJ88" s="1036"/>
      <c r="CK88" s="1036"/>
    </row>
    <row r="89" spans="1:89" s="957" customFormat="1" ht="14.25">
      <c r="A89" s="1114"/>
      <c r="B89" s="1115"/>
      <c r="C89" s="1116"/>
      <c r="D89" s="1026" t="s">
        <v>1655</v>
      </c>
      <c r="E89" s="1114"/>
      <c r="F89" s="1117"/>
      <c r="G89" s="1117"/>
      <c r="H89" s="1118"/>
      <c r="I89" s="1436"/>
      <c r="J89" s="1118"/>
      <c r="K89" s="1410"/>
      <c r="L89" s="1118"/>
      <c r="M89" s="1410"/>
      <c r="N89" s="1410"/>
      <c r="O89" s="1036"/>
      <c r="P89" s="1036"/>
      <c r="Q89" s="1036"/>
      <c r="R89" s="1437"/>
      <c r="S89" s="1036"/>
      <c r="T89" s="1118"/>
      <c r="U89" s="1280"/>
      <c r="V89" s="1118"/>
      <c r="W89" s="1280"/>
      <c r="X89" s="908"/>
      <c r="Y89" s="1036"/>
      <c r="Z89" s="1120"/>
      <c r="AA89" s="1121"/>
      <c r="AB89" s="1124"/>
      <c r="AC89" s="1326"/>
      <c r="AD89" s="1159"/>
      <c r="AE89" s="1392"/>
      <c r="AF89" s="1393"/>
      <c r="AG89" s="1394"/>
      <c r="AH89" s="1501"/>
      <c r="AI89" s="1396"/>
      <c r="AJ89" s="1397"/>
      <c r="AK89" s="1036"/>
      <c r="AL89" s="1120"/>
      <c r="AM89" s="1121"/>
      <c r="AN89" s="1120"/>
      <c r="AO89" s="1320"/>
      <c r="AP89" s="1156"/>
      <c r="AQ89" s="1039"/>
      <c r="AR89" s="1118"/>
      <c r="AS89" s="1117"/>
      <c r="AT89" s="1118"/>
      <c r="AU89" s="1324"/>
      <c r="AV89" s="908"/>
      <c r="AW89" s="1036"/>
      <c r="AX89" s="1120"/>
      <c r="AY89" s="1121"/>
      <c r="AZ89" s="1120"/>
      <c r="BA89" s="1320"/>
      <c r="BB89" s="1156"/>
      <c r="BC89" s="1039"/>
      <c r="BD89" s="1036"/>
      <c r="BE89" s="1117"/>
      <c r="BF89" s="1118"/>
      <c r="BG89" s="1324"/>
      <c r="BH89" s="908"/>
      <c r="BI89" s="1036"/>
      <c r="BJ89" s="1039"/>
      <c r="BK89" s="1121"/>
      <c r="BL89" s="1120"/>
      <c r="BM89" s="1320"/>
      <c r="BN89" s="1156"/>
      <c r="BO89" s="1039"/>
      <c r="BP89" s="1036"/>
      <c r="BQ89" s="1117"/>
      <c r="BR89" s="1036"/>
      <c r="BS89" s="1324"/>
      <c r="BT89" s="908"/>
      <c r="BU89" s="1036"/>
      <c r="BV89" s="1039"/>
      <c r="BW89" s="1121"/>
      <c r="BX89" s="1039"/>
      <c r="BY89" s="1320"/>
      <c r="BZ89" s="1159"/>
      <c r="CA89" s="1039"/>
      <c r="CB89" s="1131"/>
      <c r="CC89" s="1036"/>
      <c r="CD89" s="1036"/>
      <c r="CE89" s="1036"/>
      <c r="CF89" s="1036"/>
      <c r="CG89" s="1036"/>
      <c r="CH89" s="1036"/>
      <c r="CI89" s="1036"/>
      <c r="CJ89" s="1036"/>
      <c r="CK89" s="1036"/>
    </row>
    <row r="90" spans="1:89" s="957" customFormat="1" ht="14.25">
      <c r="A90" s="1114"/>
      <c r="B90" s="1115"/>
      <c r="C90" s="1116"/>
      <c r="D90" s="1147"/>
      <c r="E90" s="1114"/>
      <c r="F90" s="1117"/>
      <c r="G90" s="1117"/>
      <c r="H90" s="1118"/>
      <c r="I90" s="1436"/>
      <c r="J90" s="1118"/>
      <c r="K90" s="1410"/>
      <c r="L90" s="1118"/>
      <c r="M90" s="1410"/>
      <c r="N90" s="1410"/>
      <c r="O90" s="1036"/>
      <c r="P90" s="1036"/>
      <c r="Q90" s="1036"/>
      <c r="R90" s="1437"/>
      <c r="S90" s="1036"/>
      <c r="T90" s="1118"/>
      <c r="U90" s="1280"/>
      <c r="V90" s="1118"/>
      <c r="W90" s="1280"/>
      <c r="X90" s="908"/>
      <c r="Y90" s="1036"/>
      <c r="Z90" s="1120"/>
      <c r="AA90" s="1121"/>
      <c r="AB90" s="1124"/>
      <c r="AC90" s="1326"/>
      <c r="AD90" s="1159"/>
      <c r="AE90" s="1392"/>
      <c r="AF90" s="1393"/>
      <c r="AG90" s="1394"/>
      <c r="AH90" s="1501"/>
      <c r="AI90" s="1396"/>
      <c r="AJ90" s="1397"/>
      <c r="AK90" s="1036"/>
      <c r="AL90" s="1120"/>
      <c r="AM90" s="1121"/>
      <c r="AN90" s="1120"/>
      <c r="AO90" s="1320"/>
      <c r="AP90" s="1156"/>
      <c r="AQ90" s="1039"/>
      <c r="AR90" s="1118"/>
      <c r="AS90" s="1117"/>
      <c r="AT90" s="1118"/>
      <c r="AU90" s="1324"/>
      <c r="AV90" s="908"/>
      <c r="AW90" s="1036"/>
      <c r="AX90" s="1120"/>
      <c r="AY90" s="1121"/>
      <c r="AZ90" s="1120"/>
      <c r="BA90" s="1320"/>
      <c r="BB90" s="1156"/>
      <c r="BC90" s="1039"/>
      <c r="BD90" s="1036"/>
      <c r="BE90" s="1117"/>
      <c r="BF90" s="1118"/>
      <c r="BG90" s="1324"/>
      <c r="BH90" s="908"/>
      <c r="BI90" s="1036"/>
      <c r="BJ90" s="1039"/>
      <c r="BK90" s="1121"/>
      <c r="BL90" s="1120"/>
      <c r="BM90" s="1320"/>
      <c r="BN90" s="1156"/>
      <c r="BO90" s="1039"/>
      <c r="BP90" s="1036"/>
      <c r="BQ90" s="1117"/>
      <c r="BR90" s="1036"/>
      <c r="BS90" s="1324"/>
      <c r="BT90" s="908"/>
      <c r="BU90" s="1036"/>
      <c r="BV90" s="1039"/>
      <c r="BW90" s="1121"/>
      <c r="BX90" s="1039"/>
      <c r="BY90" s="1320"/>
      <c r="BZ90" s="1159"/>
      <c r="CA90" s="1039"/>
      <c r="CB90" s="1131"/>
      <c r="CC90" s="1036"/>
      <c r="CD90" s="1036"/>
      <c r="CE90" s="1036"/>
      <c r="CF90" s="1036"/>
      <c r="CG90" s="1036"/>
      <c r="CH90" s="1036"/>
      <c r="CI90" s="1036"/>
      <c r="CJ90" s="1036"/>
      <c r="CK90" s="1036"/>
    </row>
    <row r="91" spans="1:89" s="957" customFormat="1" ht="14.25">
      <c r="A91" s="1114"/>
      <c r="B91" s="1115"/>
      <c r="C91" s="1116"/>
      <c r="D91" s="1147"/>
      <c r="E91" s="1114"/>
      <c r="F91" s="1117"/>
      <c r="G91" s="1117"/>
      <c r="H91" s="1118"/>
      <c r="I91" s="1436"/>
      <c r="J91" s="1118"/>
      <c r="K91" s="1410"/>
      <c r="L91" s="1118"/>
      <c r="M91" s="1410"/>
      <c r="N91" s="1410"/>
      <c r="O91" s="1036"/>
      <c r="P91" s="1036"/>
      <c r="Q91" s="1036"/>
      <c r="R91" s="1437"/>
      <c r="S91" s="1036"/>
      <c r="T91" s="1118"/>
      <c r="U91" s="1280"/>
      <c r="V91" s="1118"/>
      <c r="W91" s="1280"/>
      <c r="X91" s="908"/>
      <c r="Y91" s="1036"/>
      <c r="Z91" s="1120"/>
      <c r="AA91" s="1121"/>
      <c r="AB91" s="1120"/>
      <c r="AC91" s="1320"/>
      <c r="AD91" s="1156"/>
      <c r="AE91" s="1392"/>
      <c r="AF91" s="1393"/>
      <c r="AG91" s="1394"/>
      <c r="AH91" s="1393"/>
      <c r="AI91" s="1396"/>
      <c r="AJ91" s="1397"/>
      <c r="AK91" s="1036"/>
      <c r="AL91" s="1120"/>
      <c r="AM91" s="1121"/>
      <c r="AN91" s="1120"/>
      <c r="AO91" s="1320"/>
      <c r="AP91" s="1156"/>
      <c r="AQ91" s="1039"/>
      <c r="AR91" s="1118"/>
      <c r="AS91" s="1117"/>
      <c r="AT91" s="1118"/>
      <c r="AU91" s="1324"/>
      <c r="AV91" s="908"/>
      <c r="AW91" s="1036"/>
      <c r="AX91" s="1120"/>
      <c r="AY91" s="1121"/>
      <c r="AZ91" s="1120"/>
      <c r="BA91" s="1320"/>
      <c r="BB91" s="1156"/>
      <c r="BC91" s="1039"/>
      <c r="BD91" s="1036"/>
      <c r="BE91" s="1117"/>
      <c r="BF91" s="1118"/>
      <c r="BG91" s="1324"/>
      <c r="BH91" s="908"/>
      <c r="BI91" s="1036"/>
      <c r="BJ91" s="1039"/>
      <c r="BK91" s="1121"/>
      <c r="BL91" s="1120"/>
      <c r="BM91" s="1320"/>
      <c r="BN91" s="1156"/>
      <c r="BO91" s="1039"/>
      <c r="BP91" s="1036"/>
      <c r="BQ91" s="1117"/>
      <c r="BR91" s="1036"/>
      <c r="BS91" s="1324"/>
      <c r="BT91" s="908"/>
      <c r="BU91" s="1036"/>
      <c r="BV91" s="1039"/>
      <c r="BW91" s="1121"/>
      <c r="BX91" s="1039"/>
      <c r="BY91" s="1320"/>
      <c r="BZ91" s="1159"/>
      <c r="CA91" s="1039"/>
      <c r="CB91" s="1131"/>
      <c r="CC91" s="1036"/>
      <c r="CD91" s="1036"/>
      <c r="CE91" s="1036"/>
      <c r="CF91" s="1036"/>
      <c r="CG91" s="1036"/>
      <c r="CH91" s="1036"/>
      <c r="CI91" s="1036"/>
      <c r="CJ91" s="1036"/>
      <c r="CK91" s="1036"/>
    </row>
    <row r="92" spans="1:89" s="957" customFormat="1" ht="14.25">
      <c r="A92" s="1114"/>
      <c r="B92" s="1115"/>
      <c r="C92" s="1116"/>
      <c r="D92" s="1147"/>
      <c r="E92" s="1114"/>
      <c r="F92" s="1117"/>
      <c r="G92" s="1117"/>
      <c r="H92" s="1118"/>
      <c r="I92" s="1436"/>
      <c r="J92" s="1118"/>
      <c r="K92" s="1410"/>
      <c r="L92" s="1118"/>
      <c r="M92" s="1410"/>
      <c r="N92" s="1410"/>
      <c r="O92" s="1036"/>
      <c r="P92" s="1036"/>
      <c r="Q92" s="1036"/>
      <c r="R92" s="1437"/>
      <c r="S92" s="1036"/>
      <c r="T92" s="1118"/>
      <c r="U92" s="1280"/>
      <c r="V92" s="1118"/>
      <c r="W92" s="1280"/>
      <c r="X92" s="908"/>
      <c r="Y92" s="1036"/>
      <c r="Z92" s="1120"/>
      <c r="AA92" s="1121"/>
      <c r="AB92" s="1120"/>
      <c r="AC92" s="1320"/>
      <c r="AD92" s="1156"/>
      <c r="AE92" s="1039"/>
      <c r="AF92" s="1118"/>
      <c r="AG92" s="1117"/>
      <c r="AH92" s="1118"/>
      <c r="AI92" s="1324"/>
      <c r="AJ92" s="908"/>
      <c r="AK92" s="1036"/>
      <c r="AL92" s="1120"/>
      <c r="AM92" s="1121"/>
      <c r="AN92" s="1120"/>
      <c r="AO92" s="1320"/>
      <c r="AP92" s="1156"/>
      <c r="AQ92" s="1039"/>
      <c r="AS92" s="1117"/>
      <c r="AT92" s="1118"/>
      <c r="AU92" s="1324"/>
      <c r="AV92" s="908"/>
      <c r="AW92" s="1036"/>
      <c r="AX92" s="1120"/>
      <c r="AY92" s="1121"/>
      <c r="AZ92" s="1120"/>
      <c r="BA92" s="1320"/>
      <c r="BB92" s="1156"/>
      <c r="BC92" s="1039"/>
      <c r="BD92" s="1036"/>
      <c r="BE92" s="1117"/>
      <c r="BF92" s="1118"/>
      <c r="BG92" s="1324"/>
      <c r="BH92" s="908"/>
      <c r="BI92" s="1036"/>
      <c r="BJ92" s="1039"/>
      <c r="BK92" s="1121"/>
      <c r="BL92" s="1120"/>
      <c r="BM92" s="1320"/>
      <c r="BN92" s="1156"/>
      <c r="BO92" s="1039"/>
      <c r="BP92" s="1036"/>
      <c r="BQ92" s="1117"/>
      <c r="BR92" s="1036"/>
      <c r="BS92" s="1324"/>
      <c r="BT92" s="908"/>
      <c r="BU92" s="1036"/>
      <c r="BV92" s="1039"/>
      <c r="BW92" s="1121"/>
      <c r="BX92" s="1039"/>
      <c r="BY92" s="1320"/>
      <c r="BZ92" s="1159"/>
      <c r="CA92" s="1039"/>
      <c r="CB92" s="1131"/>
      <c r="CC92" s="1036"/>
      <c r="CD92" s="1036"/>
      <c r="CE92" s="1036"/>
      <c r="CF92" s="1036"/>
      <c r="CG92" s="1036"/>
      <c r="CH92" s="1036"/>
      <c r="CI92" s="1036"/>
      <c r="CJ92" s="1036"/>
      <c r="CK92" s="1036"/>
    </row>
    <row r="93" spans="1:89" s="957" customFormat="1" ht="14.25">
      <c r="A93" s="1114"/>
      <c r="B93" s="1115"/>
      <c r="C93" s="1116"/>
      <c r="D93" s="1147"/>
      <c r="E93" s="1114"/>
      <c r="F93" s="1117"/>
      <c r="G93" s="1117"/>
      <c r="H93" s="1118"/>
      <c r="I93" s="1436"/>
      <c r="J93" s="1118"/>
      <c r="K93" s="1410"/>
      <c r="L93" s="1118"/>
      <c r="M93" s="1410"/>
      <c r="N93" s="1410"/>
      <c r="O93" s="1036"/>
      <c r="P93" s="1036"/>
      <c r="Q93" s="1036"/>
      <c r="R93" s="1437"/>
      <c r="S93" s="1036"/>
      <c r="T93" s="1118"/>
      <c r="U93" s="1280"/>
      <c r="V93" s="1118"/>
      <c r="W93" s="1280"/>
      <c r="X93" s="908"/>
      <c r="Y93" s="1036"/>
      <c r="Z93" s="1120"/>
      <c r="AA93" s="1121"/>
      <c r="AB93" s="1120"/>
      <c r="AC93" s="1320"/>
      <c r="AD93" s="1156"/>
      <c r="AE93" s="1039"/>
      <c r="AF93" s="1118"/>
      <c r="AG93" s="1117"/>
      <c r="AH93" s="1118"/>
      <c r="AI93" s="1324"/>
      <c r="AJ93" s="908"/>
      <c r="AK93" s="1036"/>
      <c r="AL93" s="1120"/>
      <c r="AM93" s="1121"/>
      <c r="AN93" s="1120"/>
      <c r="AO93" s="1320"/>
      <c r="AP93" s="1156"/>
      <c r="AQ93" s="1039"/>
      <c r="AS93" s="1117"/>
      <c r="AT93" s="1118"/>
      <c r="AU93" s="1324"/>
      <c r="AV93" s="908"/>
      <c r="AW93" s="1036"/>
      <c r="AX93" s="1120"/>
      <c r="AY93" s="1121"/>
      <c r="AZ93" s="1120"/>
      <c r="BA93" s="1320"/>
      <c r="BB93" s="1156"/>
      <c r="BC93" s="1039"/>
      <c r="BD93" s="1036"/>
      <c r="BE93" s="1117"/>
      <c r="BF93" s="1118"/>
      <c r="BG93" s="1324"/>
      <c r="BH93" s="908"/>
      <c r="BI93" s="1036"/>
      <c r="BJ93" s="1039"/>
      <c r="BK93" s="1121"/>
      <c r="BL93" s="1120"/>
      <c r="BM93" s="1320"/>
      <c r="BN93" s="1156"/>
      <c r="BO93" s="1039"/>
      <c r="BP93" s="1036"/>
      <c r="BQ93" s="1117"/>
      <c r="BR93" s="1036"/>
      <c r="BS93" s="1324"/>
      <c r="BT93" s="908"/>
      <c r="BU93" s="1036"/>
      <c r="BV93" s="1039"/>
      <c r="BW93" s="1121"/>
      <c r="BX93" s="1039"/>
      <c r="BY93" s="1320"/>
      <c r="BZ93" s="1156"/>
      <c r="CA93" s="1039"/>
      <c r="CB93" s="1131"/>
      <c r="CC93" s="1036"/>
      <c r="CD93" s="1036"/>
      <c r="CE93" s="1036"/>
      <c r="CF93" s="1036"/>
      <c r="CG93" s="1036"/>
      <c r="CH93" s="1036"/>
      <c r="CI93" s="1036"/>
      <c r="CJ93" s="1036"/>
      <c r="CK93" s="1036"/>
    </row>
    <row r="94" spans="1:89" s="957" customFormat="1" ht="14.25">
      <c r="A94" s="1114"/>
      <c r="B94" s="1115"/>
      <c r="C94" s="1116"/>
      <c r="D94" s="1147"/>
      <c r="E94" s="1114"/>
      <c r="F94" s="1117"/>
      <c r="G94" s="1117"/>
      <c r="H94" s="1118"/>
      <c r="I94" s="1436"/>
      <c r="J94" s="1118"/>
      <c r="K94" s="1410"/>
      <c r="L94" s="1118"/>
      <c r="M94" s="1410"/>
      <c r="N94" s="1410"/>
      <c r="O94" s="1036"/>
      <c r="P94" s="1036"/>
      <c r="Q94" s="1036"/>
      <c r="R94" s="1437"/>
      <c r="S94" s="1036"/>
      <c r="T94" s="1118"/>
      <c r="U94" s="1280"/>
      <c r="V94" s="1118"/>
      <c r="W94" s="1280"/>
      <c r="X94" s="908"/>
      <c r="Y94" s="1036"/>
      <c r="Z94" s="1120"/>
      <c r="AA94" s="1121"/>
      <c r="AB94" s="1120"/>
      <c r="AC94" s="1320"/>
      <c r="AD94" s="1156"/>
      <c r="AE94" s="1039"/>
      <c r="AF94" s="1118"/>
      <c r="AG94" s="1117"/>
      <c r="AH94" s="1118"/>
      <c r="AI94" s="1324"/>
      <c r="AJ94" s="908"/>
      <c r="AK94" s="1036"/>
      <c r="AL94" s="1120"/>
      <c r="AM94" s="1121"/>
      <c r="AN94" s="1120"/>
      <c r="AO94" s="1320"/>
      <c r="AP94" s="1156"/>
      <c r="AQ94" s="1039"/>
      <c r="AS94" s="1117"/>
      <c r="AT94" s="1118"/>
      <c r="AU94" s="1324"/>
      <c r="AV94" s="908"/>
      <c r="AW94" s="1036"/>
      <c r="AX94" s="1120"/>
      <c r="AY94" s="1121"/>
      <c r="AZ94" s="1120"/>
      <c r="BA94" s="1320"/>
      <c r="BB94" s="1156"/>
      <c r="BC94" s="1039"/>
      <c r="BD94" s="1036"/>
      <c r="BE94" s="1117"/>
      <c r="BF94" s="1118"/>
      <c r="BG94" s="1324"/>
      <c r="BH94" s="908"/>
      <c r="BI94" s="1036"/>
      <c r="BJ94" s="1039"/>
      <c r="BK94" s="1121"/>
      <c r="BL94" s="1120"/>
      <c r="BM94" s="1320"/>
      <c r="BN94" s="1156"/>
      <c r="BO94" s="1039"/>
      <c r="BP94" s="1036"/>
      <c r="BQ94" s="1117"/>
      <c r="BR94" s="1036"/>
      <c r="BS94" s="1324"/>
      <c r="BT94" s="908"/>
      <c r="BU94" s="1036"/>
      <c r="BV94" s="1039"/>
      <c r="BW94" s="1121"/>
      <c r="BX94" s="1039"/>
      <c r="BY94" s="1320"/>
      <c r="BZ94" s="1156"/>
      <c r="CA94" s="1039"/>
      <c r="CB94" s="1131"/>
      <c r="CC94" s="1036"/>
      <c r="CD94" s="1036"/>
      <c r="CE94" s="1036"/>
      <c r="CF94" s="1036"/>
      <c r="CG94" s="1036"/>
      <c r="CH94" s="1036"/>
      <c r="CI94" s="1036"/>
      <c r="CJ94" s="1036"/>
      <c r="CK94" s="1036"/>
    </row>
    <row r="95" spans="1:89" s="957" customFormat="1" ht="14.25">
      <c r="A95" s="1114"/>
      <c r="B95" s="1115"/>
      <c r="C95" s="1116"/>
      <c r="D95" s="1147"/>
      <c r="E95" s="1114"/>
      <c r="F95" s="1117"/>
      <c r="G95" s="1117"/>
      <c r="H95" s="1118"/>
      <c r="I95" s="1436"/>
      <c r="J95" s="1118"/>
      <c r="K95" s="1410"/>
      <c r="L95" s="1118"/>
      <c r="M95" s="1410"/>
      <c r="N95" s="1410"/>
      <c r="O95" s="1036"/>
      <c r="P95" s="1036"/>
      <c r="Q95" s="1036"/>
      <c r="R95" s="1437"/>
      <c r="S95" s="1036"/>
      <c r="T95" s="1118"/>
      <c r="U95" s="1280"/>
      <c r="V95" s="1118"/>
      <c r="W95" s="1280"/>
      <c r="X95" s="908"/>
      <c r="Y95" s="1036"/>
      <c r="Z95" s="1120"/>
      <c r="AA95" s="1121"/>
      <c r="AB95" s="1120"/>
      <c r="AC95" s="1320"/>
      <c r="AD95" s="1156"/>
      <c r="AE95" s="1039"/>
      <c r="AF95" s="1118"/>
      <c r="AG95" s="1117"/>
      <c r="AH95" s="1118"/>
      <c r="AI95" s="1324"/>
      <c r="AJ95" s="908"/>
      <c r="AK95" s="1036"/>
      <c r="AL95" s="1120"/>
      <c r="AM95" s="1121"/>
      <c r="AN95" s="1120"/>
      <c r="AO95" s="1320"/>
      <c r="AP95" s="1156"/>
      <c r="AQ95" s="1039"/>
      <c r="AS95" s="1117"/>
      <c r="AT95" s="1118"/>
      <c r="AU95" s="1324"/>
      <c r="AV95" s="908"/>
      <c r="AW95" s="1036"/>
      <c r="AX95" s="1120"/>
      <c r="AY95" s="1121"/>
      <c r="AZ95" s="1120"/>
      <c r="BA95" s="1320"/>
      <c r="BB95" s="1156"/>
      <c r="BC95" s="1039"/>
      <c r="BD95" s="1036"/>
      <c r="BE95" s="1117"/>
      <c r="BF95" s="1118"/>
      <c r="BG95" s="1324"/>
      <c r="BH95" s="908"/>
      <c r="BI95" s="1036"/>
      <c r="BJ95" s="1039"/>
      <c r="BK95" s="1121"/>
      <c r="BL95" s="1120"/>
      <c r="BM95" s="1320"/>
      <c r="BN95" s="1156"/>
      <c r="BO95" s="1039"/>
      <c r="BP95" s="1036"/>
      <c r="BQ95" s="1117"/>
      <c r="BR95" s="1036"/>
      <c r="BS95" s="1324"/>
      <c r="BT95" s="908"/>
      <c r="BU95" s="1036"/>
      <c r="BV95" s="1039"/>
      <c r="BW95" s="1121"/>
      <c r="BX95" s="1039"/>
      <c r="BY95" s="1320"/>
      <c r="BZ95" s="1156"/>
      <c r="CA95" s="1039"/>
      <c r="CB95" s="1131"/>
      <c r="CC95" s="1036"/>
      <c r="CD95" s="1036"/>
      <c r="CE95" s="1036"/>
      <c r="CF95" s="1036"/>
      <c r="CG95" s="1036"/>
      <c r="CH95" s="1036"/>
      <c r="CI95" s="1036"/>
      <c r="CJ95" s="1036"/>
      <c r="CK95" s="1036"/>
    </row>
    <row r="96" spans="1:89" s="957" customFormat="1" ht="14.25">
      <c r="A96" s="1114"/>
      <c r="B96" s="1115"/>
      <c r="C96" s="1116"/>
      <c r="D96" s="1147"/>
      <c r="E96" s="1114"/>
      <c r="F96" s="1117"/>
      <c r="G96" s="1117"/>
      <c r="H96" s="1118"/>
      <c r="S96" s="1036"/>
      <c r="T96" s="1118"/>
      <c r="U96" s="1280"/>
      <c r="V96" s="1118"/>
      <c r="W96" s="1280"/>
      <c r="X96" s="908"/>
      <c r="Y96" s="1036"/>
      <c r="Z96" s="1120"/>
      <c r="AA96" s="1121"/>
      <c r="AB96" s="1120"/>
      <c r="AC96" s="1320"/>
      <c r="AD96" s="1156"/>
      <c r="AE96" s="1039"/>
      <c r="AF96" s="1118"/>
      <c r="AG96" s="1117"/>
      <c r="AH96" s="1118"/>
      <c r="AI96" s="1324"/>
      <c r="AJ96" s="908"/>
      <c r="AK96" s="1036"/>
      <c r="AL96" s="1120"/>
      <c r="AM96" s="1121"/>
      <c r="AN96" s="1120"/>
      <c r="AO96" s="1320"/>
      <c r="AP96" s="1156"/>
      <c r="AQ96" s="1039"/>
      <c r="AS96" s="1117"/>
      <c r="AT96" s="1118"/>
      <c r="AU96" s="1324"/>
      <c r="AV96" s="908"/>
      <c r="AW96" s="1036"/>
      <c r="AX96" s="1120"/>
      <c r="AY96" s="1121"/>
      <c r="AZ96" s="1120"/>
      <c r="BA96" s="1320"/>
      <c r="BB96" s="1156"/>
      <c r="BC96" s="1039"/>
      <c r="BD96" s="1036"/>
      <c r="BE96" s="1117"/>
      <c r="BF96" s="1118"/>
      <c r="BG96" s="1324"/>
      <c r="BH96" s="26"/>
      <c r="BK96" s="1121"/>
      <c r="BL96" s="1120"/>
      <c r="BM96" s="1320"/>
      <c r="BN96" s="1156"/>
      <c r="BO96" s="1039"/>
      <c r="BP96" s="1036"/>
      <c r="BQ96" s="1117"/>
      <c r="BR96" s="1036"/>
      <c r="BS96" s="1324"/>
      <c r="BT96" s="908"/>
      <c r="BU96" s="1036"/>
      <c r="BV96" s="1039"/>
      <c r="BW96" s="1121"/>
      <c r="BX96" s="1039"/>
      <c r="BY96" s="1320"/>
      <c r="BZ96" s="1156"/>
      <c r="CA96" s="1039"/>
      <c r="CB96" s="1131"/>
      <c r="CC96" s="1036"/>
      <c r="CD96" s="1036"/>
      <c r="CE96" s="1036"/>
      <c r="CF96" s="1036"/>
      <c r="CG96" s="1036"/>
      <c r="CH96" s="1036"/>
      <c r="CI96" s="1036"/>
      <c r="CJ96" s="1036"/>
      <c r="CK96" s="1036"/>
    </row>
    <row r="97" spans="1:89" s="957" customFormat="1" ht="14.25">
      <c r="A97" s="1114"/>
      <c r="B97" s="1115"/>
      <c r="C97" s="1116"/>
      <c r="D97" s="1147"/>
      <c r="E97" s="1114"/>
      <c r="F97" s="1117"/>
      <c r="G97" s="1117"/>
      <c r="H97" s="1118"/>
      <c r="S97" s="1036"/>
      <c r="T97" s="1118"/>
      <c r="U97" s="1280"/>
      <c r="V97" s="1118"/>
      <c r="W97" s="1280"/>
      <c r="X97" s="908"/>
      <c r="Y97" s="1036"/>
      <c r="Z97" s="1120"/>
      <c r="AA97" s="1121"/>
      <c r="AB97" s="1120"/>
      <c r="AC97" s="1320"/>
      <c r="AD97" s="1156"/>
      <c r="AE97" s="1039"/>
      <c r="AF97" s="1118"/>
      <c r="AG97" s="1117"/>
      <c r="AH97" s="1118"/>
      <c r="AI97" s="1324"/>
      <c r="AJ97" s="908"/>
      <c r="AK97" s="1036"/>
      <c r="AL97" s="1120"/>
      <c r="AM97" s="1121"/>
      <c r="AN97" s="1120"/>
      <c r="AO97" s="1320"/>
      <c r="AP97" s="1156"/>
      <c r="AQ97" s="1039"/>
      <c r="AS97" s="1117"/>
      <c r="AT97" s="1118"/>
      <c r="AU97" s="1324"/>
      <c r="AV97" s="908"/>
      <c r="AW97" s="1036"/>
      <c r="AX97" s="1120"/>
      <c r="AY97" s="1121"/>
      <c r="AZ97" s="1120"/>
      <c r="BA97" s="1320"/>
      <c r="BB97" s="1156"/>
      <c r="BC97" s="1039"/>
      <c r="BD97" s="1036"/>
      <c r="BE97" s="1117"/>
      <c r="BF97" s="1121"/>
      <c r="BG97" s="1327"/>
      <c r="BH97" s="1156"/>
      <c r="BK97" s="1121"/>
      <c r="BL97" s="1120"/>
      <c r="BM97" s="1320"/>
      <c r="BN97" s="1156"/>
      <c r="BO97" s="1039"/>
      <c r="BP97" s="1036"/>
      <c r="BQ97" s="1117"/>
      <c r="BR97" s="1036"/>
      <c r="BS97" s="1324"/>
      <c r="BT97" s="908"/>
      <c r="BU97" s="1036"/>
      <c r="BV97" s="1039"/>
      <c r="BW97" s="1121"/>
      <c r="BX97" s="1039"/>
      <c r="BY97" s="1320"/>
      <c r="BZ97" s="1156"/>
      <c r="CA97" s="1039"/>
      <c r="CB97" s="1131"/>
      <c r="CC97" s="1036"/>
      <c r="CD97" s="1036"/>
      <c r="CE97" s="1036"/>
      <c r="CF97" s="1036"/>
      <c r="CG97" s="1036"/>
      <c r="CH97" s="1036"/>
      <c r="CI97" s="1036"/>
      <c r="CJ97" s="1036"/>
      <c r="CK97" s="1036"/>
    </row>
    <row r="98" spans="1:89" s="957" customFormat="1" ht="14.25">
      <c r="A98" s="1114"/>
      <c r="B98" s="1115"/>
      <c r="C98" s="1116"/>
      <c r="D98" s="1147"/>
      <c r="E98" s="1114"/>
      <c r="F98" s="1117"/>
      <c r="G98" s="1117"/>
      <c r="H98" s="1118"/>
      <c r="S98" s="1036"/>
      <c r="T98" s="1118"/>
      <c r="U98" s="1280"/>
      <c r="V98" s="1118"/>
      <c r="W98" s="1280"/>
      <c r="X98" s="908"/>
      <c r="Y98" s="1036"/>
      <c r="Z98" s="1120"/>
      <c r="AA98" s="1121"/>
      <c r="AB98" s="1120"/>
      <c r="AC98" s="1320"/>
      <c r="AD98" s="1156"/>
      <c r="AE98" s="1039"/>
      <c r="AF98" s="1118"/>
      <c r="AG98" s="1117"/>
      <c r="AH98" s="1118"/>
      <c r="AI98" s="1324"/>
      <c r="AJ98" s="908"/>
      <c r="AK98" s="1036"/>
      <c r="AL98" s="1120"/>
      <c r="AM98" s="1121"/>
      <c r="AN98" s="1120"/>
      <c r="AO98" s="1322"/>
      <c r="AP98" s="26"/>
      <c r="AS98" s="1117"/>
      <c r="AT98" s="1118"/>
      <c r="AU98" s="1324"/>
      <c r="AV98" s="908"/>
      <c r="AW98" s="1036"/>
      <c r="AX98" s="1120"/>
      <c r="AY98" s="1121"/>
      <c r="BA98" s="1322"/>
      <c r="BB98" s="26"/>
      <c r="BC98" s="1039"/>
      <c r="BD98" s="1036"/>
      <c r="BE98" s="1117"/>
      <c r="BF98" s="1121"/>
      <c r="BG98" s="1327"/>
      <c r="BH98" s="1156"/>
      <c r="BK98" s="1121"/>
      <c r="BL98" s="1120"/>
      <c r="BM98" s="1320"/>
      <c r="BN98" s="1156"/>
      <c r="BO98" s="1039"/>
      <c r="BP98" s="1036"/>
      <c r="BQ98" s="1117"/>
      <c r="BR98" s="1036"/>
      <c r="BS98" s="1324"/>
      <c r="BT98" s="908"/>
      <c r="BU98" s="1036"/>
      <c r="BV98" s="1039"/>
      <c r="BW98" s="1121"/>
      <c r="BX98" s="1039"/>
      <c r="BY98" s="1320"/>
      <c r="BZ98" s="1156"/>
      <c r="CA98" s="1039"/>
      <c r="CB98" s="1131"/>
      <c r="CC98" s="1036"/>
      <c r="CD98" s="1036"/>
      <c r="CE98" s="1036"/>
      <c r="CF98" s="1036"/>
      <c r="CG98" s="1036"/>
      <c r="CH98" s="1036"/>
      <c r="CI98" s="1036"/>
      <c r="CJ98" s="1036"/>
      <c r="CK98" s="1036"/>
    </row>
    <row r="99" spans="1:89" s="957" customFormat="1" ht="14.25">
      <c r="A99" s="1114"/>
      <c r="B99" s="1115"/>
      <c r="C99" s="1116"/>
      <c r="D99" s="1147"/>
      <c r="E99" s="1114"/>
      <c r="F99" s="1117"/>
      <c r="G99" s="1117"/>
      <c r="H99" s="1118"/>
      <c r="S99" s="1036"/>
      <c r="T99" s="1118"/>
      <c r="U99" s="1280"/>
      <c r="V99" s="1118"/>
      <c r="W99" s="1280"/>
      <c r="X99" s="908"/>
      <c r="Y99" s="1036"/>
      <c r="Z99" s="1120"/>
      <c r="AA99" s="1121"/>
      <c r="AB99" s="1120"/>
      <c r="AC99" s="1320"/>
      <c r="AD99" s="1156"/>
      <c r="AE99" s="1039"/>
      <c r="AF99" s="1118"/>
      <c r="AG99" s="1117"/>
      <c r="AH99" s="1118"/>
      <c r="AI99" s="1324"/>
      <c r="AJ99" s="908"/>
      <c r="AK99" s="1036"/>
      <c r="AL99" s="1120"/>
      <c r="AM99" s="1121"/>
      <c r="AN99" s="1120"/>
      <c r="AO99" s="1322"/>
      <c r="AP99" s="26"/>
      <c r="AS99" s="1117"/>
      <c r="AT99" s="1118"/>
      <c r="AU99" s="1324"/>
      <c r="AV99" s="908"/>
      <c r="AW99" s="1036"/>
      <c r="AX99" s="1120"/>
      <c r="AY99" s="1121"/>
      <c r="BA99" s="1322"/>
      <c r="BB99" s="26"/>
      <c r="BC99" s="1039"/>
      <c r="BD99" s="1036"/>
      <c r="BE99" s="1117"/>
      <c r="BF99" s="1121"/>
      <c r="BG99" s="1327"/>
      <c r="BH99" s="1156"/>
      <c r="BK99" s="1121"/>
      <c r="BL99" s="1120"/>
      <c r="BM99" s="1320"/>
      <c r="BN99" s="1156"/>
      <c r="BO99" s="1039"/>
      <c r="BP99" s="1036"/>
      <c r="BQ99" s="1117"/>
      <c r="BR99" s="1036"/>
      <c r="BS99" s="1324"/>
      <c r="BT99" s="908"/>
      <c r="BU99" s="1036"/>
      <c r="BV99" s="1039"/>
      <c r="BW99" s="1121"/>
      <c r="BX99" s="1039"/>
      <c r="BY99" s="1320"/>
      <c r="BZ99" s="1156"/>
      <c r="CA99" s="1039"/>
      <c r="CB99" s="1131"/>
      <c r="CC99" s="1036"/>
      <c r="CD99" s="1036"/>
      <c r="CE99" s="1036"/>
      <c r="CF99" s="1036"/>
      <c r="CG99" s="1036"/>
      <c r="CH99" s="1036"/>
      <c r="CI99" s="1036"/>
      <c r="CJ99" s="1036"/>
      <c r="CK99" s="1036"/>
    </row>
    <row r="100" spans="1:89" s="957" customFormat="1" ht="14.25">
      <c r="A100" s="1114"/>
      <c r="B100" s="1115"/>
      <c r="C100" s="1116"/>
      <c r="D100" s="1147"/>
      <c r="E100" s="1114"/>
      <c r="F100" s="1117"/>
      <c r="G100" s="1117"/>
      <c r="H100" s="1118"/>
      <c r="S100" s="1036"/>
      <c r="T100" s="1118"/>
      <c r="U100" s="1280"/>
      <c r="V100" s="1118"/>
      <c r="W100" s="1280"/>
      <c r="X100" s="908"/>
      <c r="Y100" s="1036"/>
      <c r="Z100" s="1120"/>
      <c r="AA100" s="1121"/>
      <c r="AB100" s="1120"/>
      <c r="AC100" s="1320"/>
      <c r="AD100" s="1156"/>
      <c r="AE100" s="1039"/>
      <c r="AF100" s="1118"/>
      <c r="AG100" s="1117"/>
      <c r="AH100" s="1118"/>
      <c r="AI100" s="1324"/>
      <c r="AJ100" s="908"/>
      <c r="AK100" s="1036"/>
      <c r="AL100" s="1120"/>
      <c r="AM100" s="1121"/>
      <c r="AN100" s="1120"/>
      <c r="AO100" s="1322"/>
      <c r="AP100" s="26"/>
      <c r="AS100" s="1117"/>
      <c r="AT100" s="1118"/>
      <c r="AU100" s="1324"/>
      <c r="AV100" s="908"/>
      <c r="AW100" s="1036"/>
      <c r="AX100" s="1120"/>
      <c r="AY100" s="1121"/>
      <c r="BA100" s="1322"/>
      <c r="BB100" s="26"/>
      <c r="BC100" s="1039"/>
      <c r="BD100" s="1036"/>
      <c r="BE100" s="1117"/>
      <c r="BF100" s="1121"/>
      <c r="BG100" s="1327"/>
      <c r="BH100" s="1156"/>
      <c r="BK100" s="1121"/>
      <c r="BL100" s="1120"/>
      <c r="BM100" s="1320"/>
      <c r="BN100" s="1156"/>
      <c r="BO100" s="1039"/>
      <c r="BP100" s="1036"/>
      <c r="BQ100" s="1117"/>
      <c r="BR100" s="1036"/>
      <c r="BS100" s="1324"/>
      <c r="BT100" s="908"/>
      <c r="BU100" s="1036"/>
      <c r="BV100" s="1039"/>
      <c r="BW100" s="1121"/>
      <c r="BX100" s="1039"/>
      <c r="BY100" s="1320"/>
      <c r="BZ100" s="1156"/>
      <c r="CA100" s="1039"/>
      <c r="CB100" s="1131"/>
      <c r="CC100" s="1036"/>
      <c r="CD100" s="1036"/>
      <c r="CE100" s="1036"/>
      <c r="CF100" s="1036"/>
      <c r="CG100" s="1036"/>
      <c r="CH100" s="1036"/>
      <c r="CI100" s="1036"/>
      <c r="CJ100" s="1036"/>
      <c r="CK100" s="1036"/>
    </row>
    <row r="101" spans="1:89" s="957" customFormat="1" ht="14.25">
      <c r="A101" s="1114"/>
      <c r="B101" s="1115"/>
      <c r="C101" s="1116"/>
      <c r="D101" s="1147"/>
      <c r="E101" s="1114"/>
      <c r="F101" s="1117"/>
      <c r="G101" s="1117"/>
      <c r="H101" s="1118"/>
      <c r="S101" s="1036"/>
      <c r="T101" s="1118"/>
      <c r="U101" s="1280"/>
      <c r="V101" s="1118"/>
      <c r="W101" s="1280"/>
      <c r="X101" s="908"/>
      <c r="Y101" s="1036"/>
      <c r="Z101" s="1120"/>
      <c r="AA101" s="1121"/>
      <c r="AB101" s="1120"/>
      <c r="AC101" s="1320"/>
      <c r="AD101" s="1156"/>
      <c r="AE101" s="1039"/>
      <c r="AF101" s="1118"/>
      <c r="AG101" s="1117"/>
      <c r="AH101" s="1118"/>
      <c r="AI101" s="1324"/>
      <c r="AJ101" s="908"/>
      <c r="AK101" s="1036"/>
      <c r="AL101" s="1120"/>
      <c r="AM101" s="1121"/>
      <c r="AN101" s="1120"/>
      <c r="AO101" s="1322"/>
      <c r="AP101" s="26"/>
      <c r="AR101" s="1118"/>
      <c r="AS101" s="1117"/>
      <c r="AT101" s="1118"/>
      <c r="AU101" s="1324"/>
      <c r="AV101" s="908"/>
      <c r="AW101" s="1036"/>
      <c r="AX101" s="1120"/>
      <c r="AY101" s="1121"/>
      <c r="BA101" s="1322"/>
      <c r="BB101" s="26"/>
      <c r="BC101" s="1039"/>
      <c r="BD101" s="1036"/>
      <c r="BE101" s="1117"/>
      <c r="BF101" s="1121"/>
      <c r="BG101" s="1327"/>
      <c r="BH101" s="1156"/>
      <c r="BK101" s="1121"/>
      <c r="BL101" s="1120"/>
      <c r="BM101" s="1320"/>
      <c r="BN101" s="1156"/>
      <c r="BO101" s="1039"/>
      <c r="BP101" s="1036"/>
      <c r="BQ101" s="1117"/>
      <c r="BR101" s="1036"/>
      <c r="BS101" s="1324"/>
      <c r="BT101" s="908"/>
      <c r="BU101" s="1036"/>
      <c r="BV101" s="1039"/>
      <c r="BW101" s="1121"/>
      <c r="BX101" s="1039"/>
      <c r="BY101" s="1320"/>
      <c r="BZ101" s="1156"/>
      <c r="CA101" s="1039"/>
      <c r="CB101" s="1131"/>
      <c r="CC101" s="1036"/>
      <c r="CD101" s="1036"/>
      <c r="CE101" s="1036"/>
      <c r="CF101" s="1036"/>
      <c r="CG101" s="1036"/>
      <c r="CH101" s="1036"/>
      <c r="CI101" s="1036"/>
      <c r="CJ101" s="1036"/>
      <c r="CK101" s="1036"/>
    </row>
    <row r="102" spans="1:89" s="957" customFormat="1" ht="14.25">
      <c r="A102" s="1114"/>
      <c r="B102" s="1115"/>
      <c r="C102" s="1116"/>
      <c r="D102" s="1147"/>
      <c r="E102" s="1114"/>
      <c r="F102" s="1117"/>
      <c r="G102" s="1117"/>
      <c r="H102" s="1118"/>
      <c r="S102" s="1036"/>
      <c r="T102" s="1118"/>
      <c r="U102" s="1280"/>
      <c r="V102" s="1118"/>
      <c r="W102" s="1280"/>
      <c r="X102" s="908"/>
      <c r="Y102" s="1036"/>
      <c r="Z102" s="1120"/>
      <c r="AA102" s="1121"/>
      <c r="AB102" s="1120"/>
      <c r="AC102" s="1320"/>
      <c r="AD102" s="1156"/>
      <c r="AE102" s="1039"/>
      <c r="AF102" s="1118"/>
      <c r="AG102" s="1117"/>
      <c r="AH102" s="1118"/>
      <c r="AI102" s="1324"/>
      <c r="AJ102" s="908"/>
      <c r="AK102" s="1036"/>
      <c r="AL102" s="1120"/>
      <c r="AM102" s="1121"/>
      <c r="AN102" s="1120"/>
      <c r="AO102" s="1322"/>
      <c r="AP102" s="26"/>
      <c r="AR102" s="1118"/>
      <c r="AS102" s="1117"/>
      <c r="AT102" s="1118"/>
      <c r="AU102" s="1324"/>
      <c r="AV102" s="908"/>
      <c r="AW102" s="1036"/>
      <c r="AX102" s="1120"/>
      <c r="AY102" s="1121"/>
      <c r="BA102" s="1322"/>
      <c r="BB102" s="26"/>
      <c r="BC102" s="1039"/>
      <c r="BD102" s="1036"/>
      <c r="BE102" s="1117"/>
      <c r="BF102" s="1121"/>
      <c r="BG102" s="1327"/>
      <c r="BH102" s="1156"/>
      <c r="BK102" s="1121"/>
      <c r="BL102" s="1120"/>
      <c r="BM102" s="1320"/>
      <c r="BN102" s="1156"/>
      <c r="BO102" s="1039"/>
      <c r="BP102" s="1036"/>
      <c r="BQ102" s="1117"/>
      <c r="BR102" s="1036"/>
      <c r="BS102" s="1324"/>
      <c r="BT102" s="908"/>
      <c r="BU102" s="1036"/>
      <c r="BV102" s="1039"/>
      <c r="BW102" s="1121"/>
      <c r="BX102" s="1039"/>
      <c r="BY102" s="1320"/>
      <c r="BZ102" s="1156"/>
      <c r="CA102" s="1039"/>
      <c r="CB102" s="1131"/>
      <c r="CC102" s="1036"/>
      <c r="CD102" s="1036"/>
      <c r="CE102" s="1036"/>
      <c r="CF102" s="1036"/>
      <c r="CG102" s="1036"/>
      <c r="CH102" s="1036"/>
      <c r="CI102" s="1036"/>
      <c r="CJ102" s="1036"/>
      <c r="CK102" s="1036"/>
    </row>
    <row r="103" spans="1:89" s="957" customFormat="1" ht="14.25">
      <c r="A103" s="1114"/>
      <c r="B103" s="1115"/>
      <c r="C103" s="1116"/>
      <c r="D103" s="1147"/>
      <c r="E103" s="1114"/>
      <c r="F103" s="1117"/>
      <c r="G103" s="1117"/>
      <c r="H103" s="1118"/>
      <c r="S103" s="1036"/>
      <c r="T103" s="1118"/>
      <c r="U103" s="1280"/>
      <c r="V103" s="1118"/>
      <c r="W103" s="1280"/>
      <c r="X103" s="908"/>
      <c r="Y103" s="1036"/>
      <c r="Z103" s="1120"/>
      <c r="AA103" s="1121"/>
      <c r="AB103" s="1120"/>
      <c r="AC103" s="1320"/>
      <c r="AD103" s="1156"/>
      <c r="AE103" s="1039"/>
      <c r="AF103" s="1118"/>
      <c r="AG103" s="1117"/>
      <c r="AH103" s="1118"/>
      <c r="AI103" s="1324"/>
      <c r="AJ103" s="908"/>
      <c r="AK103" s="1036"/>
      <c r="AL103" s="1120"/>
      <c r="AM103" s="1121"/>
      <c r="AN103" s="1120"/>
      <c r="AO103" s="1322"/>
      <c r="AP103" s="26"/>
      <c r="AR103" s="1118"/>
      <c r="AS103" s="1117"/>
      <c r="AT103" s="1118"/>
      <c r="AU103" s="1324"/>
      <c r="AV103" s="908"/>
      <c r="AW103" s="1036"/>
      <c r="AX103" s="1120"/>
      <c r="AY103" s="1121"/>
      <c r="BA103" s="1322"/>
      <c r="BB103" s="26"/>
      <c r="BC103" s="1039"/>
      <c r="BD103" s="1036"/>
      <c r="BE103" s="1117"/>
      <c r="BF103" s="1121"/>
      <c r="BG103" s="1327"/>
      <c r="BH103" s="1156"/>
      <c r="BI103" s="1036"/>
      <c r="BJ103" s="1039"/>
      <c r="BK103" s="1121"/>
      <c r="BL103" s="1120"/>
      <c r="BM103" s="1320"/>
      <c r="BN103" s="1156"/>
      <c r="BO103" s="1039"/>
      <c r="BP103" s="1036"/>
      <c r="BQ103" s="1117"/>
      <c r="BR103" s="1036"/>
      <c r="BS103" s="1324"/>
      <c r="BT103" s="908"/>
      <c r="BU103" s="1036"/>
      <c r="BV103" s="1039"/>
      <c r="BW103" s="1121"/>
      <c r="BX103" s="1039"/>
      <c r="BY103" s="1320"/>
      <c r="BZ103" s="1156"/>
      <c r="CA103" s="1039"/>
      <c r="CB103" s="1131"/>
      <c r="CC103" s="1036"/>
      <c r="CD103" s="1036"/>
      <c r="CE103" s="1036"/>
      <c r="CF103" s="1036"/>
      <c r="CG103" s="1036"/>
      <c r="CH103" s="1036"/>
      <c r="CI103" s="1036"/>
      <c r="CJ103" s="1036"/>
      <c r="CK103" s="1036"/>
    </row>
    <row r="104" spans="1:89" s="957" customFormat="1" ht="14.25">
      <c r="A104" s="1114"/>
      <c r="B104" s="1115"/>
      <c r="C104" s="1116"/>
      <c r="D104" s="1147"/>
      <c r="E104" s="1114"/>
      <c r="F104" s="1117"/>
      <c r="G104" s="1117"/>
      <c r="H104" s="1118"/>
      <c r="S104" s="1036"/>
      <c r="T104" s="1118"/>
      <c r="U104" s="1280"/>
      <c r="V104" s="1118"/>
      <c r="W104" s="1280"/>
      <c r="X104" s="908"/>
      <c r="Y104" s="1036"/>
      <c r="Z104" s="1120"/>
      <c r="AA104" s="1121"/>
      <c r="AB104" s="1120"/>
      <c r="AC104" s="1320"/>
      <c r="AD104" s="1156"/>
      <c r="AE104" s="1039"/>
      <c r="AF104" s="1118"/>
      <c r="AG104" s="1117"/>
      <c r="AH104" s="1118"/>
      <c r="AI104" s="1324"/>
      <c r="AJ104" s="908"/>
      <c r="AK104" s="1036"/>
      <c r="AL104" s="1120"/>
      <c r="AM104" s="1121"/>
      <c r="AN104" s="1120"/>
      <c r="AO104" s="1322"/>
      <c r="AP104" s="26"/>
      <c r="AR104" s="1118"/>
      <c r="AS104" s="1117"/>
      <c r="AT104" s="1118"/>
      <c r="AU104" s="1324"/>
      <c r="AV104" s="908"/>
      <c r="AW104" s="1036"/>
      <c r="AX104" s="1120"/>
      <c r="AY104" s="1121"/>
      <c r="BA104" s="1322"/>
      <c r="BB104" s="26"/>
      <c r="BC104" s="1039"/>
      <c r="BD104" s="1036"/>
      <c r="BE104" s="1117"/>
      <c r="BF104" s="1118"/>
      <c r="BG104" s="1324"/>
      <c r="BH104" s="908"/>
      <c r="BI104" s="1036"/>
      <c r="BJ104" s="1039"/>
      <c r="BK104" s="1121"/>
      <c r="BL104" s="1120"/>
      <c r="BM104" s="1320"/>
      <c r="BN104" s="1156"/>
      <c r="BO104" s="1039"/>
      <c r="BP104" s="1036"/>
      <c r="BQ104" s="1117"/>
      <c r="BR104" s="1036"/>
      <c r="BS104" s="1324"/>
      <c r="BT104" s="908"/>
      <c r="BU104" s="1036"/>
      <c r="BV104" s="1039"/>
      <c r="BW104" s="1121"/>
      <c r="BX104" s="1039"/>
      <c r="BY104" s="1320"/>
      <c r="BZ104" s="1156"/>
      <c r="CA104" s="1039"/>
      <c r="CB104" s="1131"/>
      <c r="CC104" s="1036"/>
      <c r="CD104" s="1036"/>
      <c r="CE104" s="1036"/>
      <c r="CF104" s="1036"/>
      <c r="CG104" s="1036"/>
      <c r="CH104" s="1036"/>
      <c r="CI104" s="1036"/>
      <c r="CJ104" s="1036"/>
      <c r="CK104" s="1036"/>
    </row>
    <row r="105" spans="1:89" s="957" customFormat="1" ht="14.25">
      <c r="A105" s="1114"/>
      <c r="B105" s="1115"/>
      <c r="C105" s="1116"/>
      <c r="D105" s="1147"/>
      <c r="E105" s="1114"/>
      <c r="F105" s="1117"/>
      <c r="G105" s="1117"/>
      <c r="H105" s="1118"/>
      <c r="I105" s="1114"/>
      <c r="J105" s="1118"/>
      <c r="K105" s="1410"/>
      <c r="L105" s="1118"/>
      <c r="M105" s="1410"/>
      <c r="N105" s="1410"/>
      <c r="O105" s="1036"/>
      <c r="P105" s="1036"/>
      <c r="Q105" s="1036"/>
      <c r="R105" s="1036"/>
      <c r="S105" s="1036"/>
      <c r="T105" s="1118"/>
      <c r="U105" s="1280"/>
      <c r="V105" s="1118"/>
      <c r="W105" s="1280"/>
      <c r="X105" s="908"/>
      <c r="Y105" s="1036"/>
      <c r="Z105" s="1120"/>
      <c r="AA105" s="1121"/>
      <c r="AB105" s="1120"/>
      <c r="AC105" s="1320"/>
      <c r="AD105" s="1156"/>
      <c r="AE105" s="1039"/>
      <c r="AF105" s="1118"/>
      <c r="AG105" s="1117"/>
      <c r="AH105" s="1118"/>
      <c r="AI105" s="1324"/>
      <c r="AJ105" s="908"/>
      <c r="AK105" s="1036"/>
      <c r="AL105" s="1120"/>
      <c r="AM105" s="1121"/>
      <c r="AN105" s="1120"/>
      <c r="AO105" s="1320"/>
      <c r="AP105" s="1156"/>
      <c r="AQ105" s="1039"/>
      <c r="AR105" s="1118"/>
      <c r="AS105" s="1117"/>
      <c r="AT105" s="1118"/>
      <c r="AU105" s="1324"/>
      <c r="AV105" s="908"/>
      <c r="AW105" s="1036"/>
      <c r="AX105" s="1120"/>
      <c r="AY105" s="1121"/>
      <c r="AZ105" s="1120"/>
      <c r="BA105" s="1320"/>
      <c r="BB105" s="1156"/>
      <c r="BC105" s="1039"/>
      <c r="BD105" s="1036"/>
      <c r="BE105" s="1117"/>
      <c r="BF105" s="1118"/>
      <c r="BG105" s="1324"/>
      <c r="BH105" s="908"/>
      <c r="BI105" s="1036"/>
      <c r="BJ105" s="1039"/>
      <c r="BK105" s="1121"/>
      <c r="BL105" s="1120"/>
      <c r="BM105" s="1320"/>
      <c r="BN105" s="1156"/>
      <c r="BO105" s="1039"/>
      <c r="BP105" s="1036"/>
      <c r="BQ105" s="1117"/>
      <c r="BR105" s="1036"/>
      <c r="BS105" s="1324"/>
      <c r="BT105" s="908"/>
      <c r="BU105" s="1036"/>
      <c r="BV105" s="1039"/>
      <c r="BW105" s="1121"/>
      <c r="BX105" s="1039"/>
      <c r="BY105" s="1320"/>
      <c r="BZ105" s="1156"/>
      <c r="CA105" s="1039"/>
      <c r="CB105" s="1131"/>
      <c r="CC105" s="1036"/>
      <c r="CD105" s="1036"/>
      <c r="CE105" s="1036"/>
      <c r="CF105" s="1036"/>
      <c r="CG105" s="1036"/>
      <c r="CH105" s="1036"/>
      <c r="CI105" s="1036"/>
      <c r="CJ105" s="1036"/>
      <c r="CK105" s="1036"/>
    </row>
    <row r="106" spans="1:89" s="957" customFormat="1" ht="14.25">
      <c r="A106" s="1114"/>
      <c r="B106" s="1115"/>
      <c r="C106" s="1116"/>
      <c r="D106" s="1147"/>
      <c r="E106" s="1114"/>
      <c r="F106" s="1117"/>
      <c r="G106" s="1117"/>
      <c r="H106" s="1118"/>
      <c r="I106" s="1114"/>
      <c r="J106" s="1118"/>
      <c r="K106" s="1410"/>
      <c r="L106" s="1118"/>
      <c r="M106" s="1410"/>
      <c r="N106" s="1410"/>
      <c r="O106" s="1036"/>
      <c r="P106" s="1036"/>
      <c r="Q106" s="1036"/>
      <c r="R106" s="1036"/>
      <c r="S106" s="1036"/>
      <c r="T106" s="1118"/>
      <c r="U106" s="1280"/>
      <c r="V106" s="1118"/>
      <c r="W106" s="1280"/>
      <c r="X106" s="908"/>
      <c r="Y106" s="1036"/>
      <c r="Z106" s="1120"/>
      <c r="AA106" s="1121"/>
      <c r="AB106" s="1120"/>
      <c r="AC106" s="1320"/>
      <c r="AD106" s="1156"/>
      <c r="AE106" s="1039"/>
      <c r="AF106" s="1118"/>
      <c r="AG106" s="1117"/>
      <c r="AH106" s="1118"/>
      <c r="AI106" s="1324"/>
      <c r="AJ106" s="908"/>
      <c r="AK106" s="1036"/>
      <c r="AL106" s="1120"/>
      <c r="AM106" s="1121"/>
      <c r="AN106" s="1120"/>
      <c r="AO106" s="1320"/>
      <c r="AP106" s="1156"/>
      <c r="AQ106" s="1039"/>
      <c r="AR106" s="1118"/>
      <c r="AS106" s="1117"/>
      <c r="AT106" s="1118"/>
      <c r="AU106" s="1324"/>
      <c r="AV106" s="908"/>
      <c r="AW106" s="1036"/>
      <c r="AX106" s="1120"/>
      <c r="AY106" s="1121"/>
      <c r="AZ106" s="1120"/>
      <c r="BA106" s="1320"/>
      <c r="BB106" s="1156"/>
      <c r="BC106" s="1039"/>
      <c r="BD106" s="1036"/>
      <c r="BE106" s="1117"/>
      <c r="BF106" s="1118"/>
      <c r="BG106" s="1324"/>
      <c r="BH106" s="908"/>
      <c r="BI106" s="1036"/>
      <c r="BJ106" s="1039"/>
      <c r="BK106" s="1121"/>
      <c r="BL106" s="1120"/>
      <c r="BM106" s="1320"/>
      <c r="BN106" s="1156"/>
      <c r="BO106" s="1039"/>
      <c r="BP106" s="1036"/>
      <c r="BQ106" s="1117"/>
      <c r="BR106" s="1036"/>
      <c r="BS106" s="1324"/>
      <c r="BT106" s="908"/>
      <c r="BU106" s="1036"/>
      <c r="BV106" s="1039"/>
      <c r="BW106" s="1121"/>
      <c r="BX106" s="1039"/>
      <c r="BY106" s="1320"/>
      <c r="BZ106" s="1156"/>
      <c r="CA106" s="1039"/>
      <c r="CB106" s="1131"/>
      <c r="CC106" s="1036"/>
      <c r="CD106" s="1036"/>
      <c r="CE106" s="1036"/>
      <c r="CF106" s="1036"/>
      <c r="CG106" s="1036"/>
      <c r="CH106" s="1036"/>
      <c r="CI106" s="1036"/>
      <c r="CJ106" s="1036"/>
      <c r="CK106" s="1036"/>
    </row>
    <row r="107" spans="1:89" s="957" customFormat="1" ht="14.25">
      <c r="A107" s="1114"/>
      <c r="B107" s="1115"/>
      <c r="C107" s="1116"/>
      <c r="D107" s="1147"/>
      <c r="E107" s="1114"/>
      <c r="F107" s="1117"/>
      <c r="G107" s="1117"/>
      <c r="H107" s="1118"/>
      <c r="I107" s="1114"/>
      <c r="J107" s="1118"/>
      <c r="K107" s="1410"/>
      <c r="L107" s="1118"/>
      <c r="M107" s="1410"/>
      <c r="N107" s="1410"/>
      <c r="O107" s="1036"/>
      <c r="P107" s="1036"/>
      <c r="Q107" s="1036"/>
      <c r="R107" s="1036"/>
      <c r="S107" s="1036"/>
      <c r="T107" s="1118"/>
      <c r="U107" s="1280"/>
      <c r="V107" s="1118"/>
      <c r="W107" s="1280"/>
      <c r="X107" s="908"/>
      <c r="Y107" s="1036"/>
      <c r="Z107" s="1120"/>
      <c r="AA107" s="1121"/>
      <c r="AB107" s="1120"/>
      <c r="AC107" s="1320"/>
      <c r="AD107" s="1156"/>
      <c r="AE107" s="1039"/>
      <c r="AF107" s="1118"/>
      <c r="AG107" s="1117"/>
      <c r="AH107" s="1118"/>
      <c r="AI107" s="1324"/>
      <c r="AJ107" s="908"/>
      <c r="AK107" s="1036"/>
      <c r="AL107" s="1120"/>
      <c r="AM107" s="1121"/>
      <c r="AN107" s="1120"/>
      <c r="AO107" s="1320"/>
      <c r="AP107" s="1156"/>
      <c r="AQ107" s="1039"/>
      <c r="AR107" s="1118"/>
      <c r="AS107" s="1117"/>
      <c r="AT107" s="1118"/>
      <c r="AU107" s="1324"/>
      <c r="AV107" s="908"/>
      <c r="AW107" s="1036"/>
      <c r="AX107" s="1120"/>
      <c r="AY107" s="1121"/>
      <c r="AZ107" s="1120"/>
      <c r="BA107" s="1320"/>
      <c r="BB107" s="1156"/>
      <c r="BC107" s="1039"/>
      <c r="BD107" s="1036"/>
      <c r="BE107" s="1117"/>
      <c r="BF107" s="1118"/>
      <c r="BG107" s="1324"/>
      <c r="BH107" s="908"/>
      <c r="BI107" s="1036"/>
      <c r="BJ107" s="1039"/>
      <c r="BK107" s="1121"/>
      <c r="BL107" s="1120"/>
      <c r="BM107" s="1320"/>
      <c r="BN107" s="1156"/>
      <c r="BO107" s="1039"/>
      <c r="BP107" s="1036"/>
      <c r="BQ107" s="1117"/>
      <c r="BR107" s="1036"/>
      <c r="BS107" s="1324"/>
      <c r="BT107" s="908"/>
      <c r="BU107" s="1036"/>
      <c r="BV107" s="1039"/>
      <c r="BW107" s="1121"/>
      <c r="BX107" s="1039"/>
      <c r="BY107" s="1320"/>
      <c r="BZ107" s="1156"/>
      <c r="CA107" s="1039"/>
      <c r="CB107" s="1131"/>
      <c r="CC107" s="1036"/>
      <c r="CD107" s="1036"/>
      <c r="CE107" s="1036"/>
      <c r="CF107" s="1036"/>
      <c r="CG107" s="1036"/>
      <c r="CH107" s="1036"/>
      <c r="CI107" s="1036"/>
      <c r="CJ107" s="1036"/>
      <c r="CK107" s="1036"/>
    </row>
    <row r="108" spans="1:89" s="957" customFormat="1" ht="14.25">
      <c r="A108" s="1114"/>
      <c r="B108" s="1115"/>
      <c r="C108" s="1116"/>
      <c r="D108" s="1147"/>
      <c r="E108" s="1114"/>
      <c r="F108" s="1117"/>
      <c r="G108" s="1117"/>
      <c r="H108" s="1118"/>
      <c r="I108" s="1114"/>
      <c r="J108" s="1118"/>
      <c r="K108" s="1410"/>
      <c r="L108" s="1118"/>
      <c r="M108" s="1410"/>
      <c r="N108" s="1410"/>
      <c r="O108" s="1036"/>
      <c r="P108" s="1036"/>
      <c r="Q108" s="1036"/>
      <c r="R108" s="1036"/>
      <c r="S108" s="1036"/>
      <c r="T108" s="1118"/>
      <c r="U108" s="1280"/>
      <c r="V108" s="1118"/>
      <c r="W108" s="1280"/>
      <c r="X108" s="908"/>
      <c r="Y108" s="1036"/>
      <c r="Z108" s="1120"/>
      <c r="AA108" s="1121"/>
      <c r="AB108" s="1120"/>
      <c r="AC108" s="1320"/>
      <c r="AD108" s="1156"/>
      <c r="AE108" s="1039"/>
      <c r="AF108" s="1118"/>
      <c r="AG108" s="1117"/>
      <c r="AH108" s="1118"/>
      <c r="AI108" s="1324"/>
      <c r="AJ108" s="908"/>
      <c r="AK108" s="1036"/>
      <c r="AL108" s="1120"/>
      <c r="AM108" s="1121"/>
      <c r="AN108" s="1120"/>
      <c r="AO108" s="1320"/>
      <c r="AP108" s="1156"/>
      <c r="AQ108" s="1039"/>
      <c r="AR108" s="1118"/>
      <c r="AS108" s="1117"/>
      <c r="AT108" s="1118"/>
      <c r="AU108" s="1324"/>
      <c r="AV108" s="908"/>
      <c r="AW108" s="1036"/>
      <c r="AX108" s="1120"/>
      <c r="AY108" s="1121"/>
      <c r="AZ108" s="1120"/>
      <c r="BA108" s="1320"/>
      <c r="BB108" s="1156"/>
      <c r="BC108" s="1039"/>
      <c r="BD108" s="1036"/>
      <c r="BE108" s="1117"/>
      <c r="BF108" s="1118"/>
      <c r="BG108" s="1324"/>
      <c r="BH108" s="908"/>
      <c r="BI108" s="1036"/>
      <c r="BJ108" s="1039"/>
      <c r="BK108" s="1121"/>
      <c r="BL108" s="1120"/>
      <c r="BM108" s="1320"/>
      <c r="BN108" s="1156"/>
      <c r="BO108" s="1039"/>
      <c r="BP108" s="1036"/>
      <c r="BQ108" s="1117"/>
      <c r="BR108" s="1036"/>
      <c r="BS108" s="1324"/>
      <c r="BT108" s="908"/>
      <c r="BU108" s="1036"/>
      <c r="BV108" s="1039"/>
      <c r="BW108" s="1121"/>
      <c r="BX108" s="1039"/>
      <c r="BY108" s="1320"/>
      <c r="BZ108" s="1156"/>
      <c r="CA108" s="1039"/>
      <c r="CB108" s="1131"/>
      <c r="CC108" s="1036"/>
      <c r="CD108" s="1036"/>
      <c r="CE108" s="1036"/>
      <c r="CF108" s="1036"/>
      <c r="CG108" s="1036"/>
      <c r="CH108" s="1036"/>
      <c r="CI108" s="1036"/>
      <c r="CJ108" s="1036"/>
      <c r="CK108" s="1036"/>
    </row>
    <row r="109" spans="1:89" s="957" customFormat="1" ht="14.25">
      <c r="A109" s="1114"/>
      <c r="B109" s="1115"/>
      <c r="C109" s="1116"/>
      <c r="D109" s="1147"/>
      <c r="E109" s="1114"/>
      <c r="F109" s="1117"/>
      <c r="G109" s="1117"/>
      <c r="H109" s="1118"/>
      <c r="I109" s="1114"/>
      <c r="J109" s="1118"/>
      <c r="K109" s="1410"/>
      <c r="L109" s="1118"/>
      <c r="M109" s="1410"/>
      <c r="N109" s="1410"/>
      <c r="O109" s="1036"/>
      <c r="P109" s="1036"/>
      <c r="Q109" s="1036"/>
      <c r="R109" s="1036"/>
      <c r="S109" s="1036"/>
      <c r="T109" s="1118"/>
      <c r="U109" s="1280"/>
      <c r="V109" s="1118"/>
      <c r="W109" s="1280"/>
      <c r="X109" s="908"/>
      <c r="Y109" s="1036"/>
      <c r="Z109" s="1120"/>
      <c r="AA109" s="1121"/>
      <c r="AB109" s="1120"/>
      <c r="AC109" s="1320"/>
      <c r="AD109" s="1156"/>
      <c r="AE109" s="1039"/>
      <c r="AF109" s="1118"/>
      <c r="AG109" s="1117"/>
      <c r="AH109" s="1118"/>
      <c r="AI109" s="1324"/>
      <c r="AJ109" s="908"/>
      <c r="AK109" s="1036"/>
      <c r="AL109" s="1120"/>
      <c r="AM109" s="1121"/>
      <c r="AN109" s="1120"/>
      <c r="AO109" s="1320"/>
      <c r="AP109" s="1156"/>
      <c r="AQ109" s="1039"/>
      <c r="AR109" s="1118"/>
      <c r="AS109" s="1117"/>
      <c r="AT109" s="1118"/>
      <c r="AU109" s="1324"/>
      <c r="AV109" s="908"/>
      <c r="AW109" s="1036"/>
      <c r="AX109" s="1120"/>
      <c r="AY109" s="1121"/>
      <c r="AZ109" s="1120"/>
      <c r="BA109" s="1320"/>
      <c r="BB109" s="1156"/>
      <c r="BC109" s="1039"/>
      <c r="BD109" s="1036"/>
      <c r="BE109" s="1117"/>
      <c r="BF109" s="1118"/>
      <c r="BG109" s="1324"/>
      <c r="BH109" s="908"/>
      <c r="BI109" s="1036"/>
      <c r="BJ109" s="1039"/>
      <c r="BK109" s="1121"/>
      <c r="BL109" s="1120"/>
      <c r="BM109" s="1320"/>
      <c r="BN109" s="1156"/>
      <c r="BO109" s="1039"/>
      <c r="BP109" s="1036"/>
      <c r="BQ109" s="1117"/>
      <c r="BR109" s="1036"/>
      <c r="BS109" s="1324"/>
      <c r="BT109" s="908"/>
      <c r="BU109" s="1036"/>
      <c r="BV109" s="1039"/>
      <c r="BW109" s="1121"/>
      <c r="BX109" s="1039"/>
      <c r="BY109" s="1320"/>
      <c r="BZ109" s="1156"/>
      <c r="CA109" s="1039"/>
      <c r="CB109" s="1131"/>
      <c r="CC109" s="1036"/>
      <c r="CD109" s="1036"/>
      <c r="CE109" s="1036"/>
      <c r="CF109" s="1036"/>
      <c r="CG109" s="1036"/>
      <c r="CH109" s="1036"/>
      <c r="CI109" s="1036"/>
      <c r="CJ109" s="1036"/>
      <c r="CK109" s="1036"/>
    </row>
    <row r="110" spans="1:89" s="957" customFormat="1" ht="14.25">
      <c r="A110" s="1114"/>
      <c r="B110" s="1115"/>
      <c r="C110" s="1116"/>
      <c r="D110" s="1147"/>
      <c r="E110" s="1114"/>
      <c r="F110" s="1117"/>
      <c r="G110" s="1117"/>
      <c r="H110" s="1118"/>
      <c r="I110" s="1114"/>
      <c r="J110" s="1118"/>
      <c r="K110" s="1410"/>
      <c r="L110" s="1118"/>
      <c r="M110" s="1410"/>
      <c r="N110" s="1410"/>
      <c r="O110" s="1036"/>
      <c r="P110" s="1036"/>
      <c r="Q110" s="1036"/>
      <c r="R110" s="1036"/>
      <c r="S110" s="1036"/>
      <c r="T110" s="1118"/>
      <c r="U110" s="1280"/>
      <c r="V110" s="1118"/>
      <c r="W110" s="1280"/>
      <c r="X110" s="908"/>
      <c r="Y110" s="1036"/>
      <c r="Z110" s="1120"/>
      <c r="AA110" s="1121"/>
      <c r="AB110" s="1120"/>
      <c r="AC110" s="1320"/>
      <c r="AD110" s="1156"/>
      <c r="AE110" s="1039"/>
      <c r="AF110" s="1118"/>
      <c r="AG110" s="1117"/>
      <c r="AH110" s="1118"/>
      <c r="AI110" s="1324"/>
      <c r="AJ110" s="908"/>
      <c r="AK110" s="1036"/>
      <c r="AL110" s="1120"/>
      <c r="AM110" s="1121"/>
      <c r="AN110" s="1120"/>
      <c r="AO110" s="1320"/>
      <c r="AP110" s="1156"/>
      <c r="AQ110" s="1039"/>
      <c r="AR110" s="1118"/>
      <c r="AS110" s="1117"/>
      <c r="AT110" s="1118"/>
      <c r="AU110" s="1324"/>
      <c r="AV110" s="908"/>
      <c r="AW110" s="1036"/>
      <c r="AX110" s="1120"/>
      <c r="AY110" s="1121"/>
      <c r="AZ110" s="1120"/>
      <c r="BA110" s="1320"/>
      <c r="BB110" s="1156"/>
      <c r="BC110" s="1039"/>
      <c r="BD110" s="1036"/>
      <c r="BE110" s="1117"/>
      <c r="BF110" s="1118"/>
      <c r="BG110" s="1324"/>
      <c r="BH110" s="908"/>
      <c r="BI110" s="1036"/>
      <c r="BJ110" s="1039"/>
      <c r="BK110" s="1121"/>
      <c r="BL110" s="1120"/>
      <c r="BM110" s="1320"/>
      <c r="BN110" s="1156"/>
      <c r="BO110" s="1039"/>
      <c r="BP110" s="1036"/>
      <c r="BQ110" s="1117"/>
      <c r="BR110" s="1036"/>
      <c r="BS110" s="1324"/>
      <c r="BT110" s="908"/>
      <c r="BU110" s="1036"/>
      <c r="BV110" s="1039"/>
      <c r="BW110" s="1121"/>
      <c r="BX110" s="1039"/>
      <c r="BY110" s="1320"/>
      <c r="BZ110" s="1156"/>
      <c r="CA110" s="1039"/>
      <c r="CB110" s="1131"/>
      <c r="CC110" s="1036"/>
      <c r="CD110" s="1036"/>
      <c r="CE110" s="1036"/>
      <c r="CF110" s="1036"/>
      <c r="CG110" s="1036"/>
      <c r="CH110" s="1036"/>
      <c r="CI110" s="1036"/>
      <c r="CJ110" s="1036"/>
      <c r="CK110" s="1036"/>
    </row>
    <row r="111" spans="1:89" s="957" customFormat="1" ht="14.25">
      <c r="A111" s="1114"/>
      <c r="B111" s="1115"/>
      <c r="C111" s="1116"/>
      <c r="D111" s="1147"/>
      <c r="E111" s="1114"/>
      <c r="F111" s="1117"/>
      <c r="G111" s="1117"/>
      <c r="H111" s="1118"/>
      <c r="I111" s="1114"/>
      <c r="J111" s="1118"/>
      <c r="K111" s="1410"/>
      <c r="L111" s="1118"/>
      <c r="M111" s="1410"/>
      <c r="N111" s="1410"/>
      <c r="O111" s="1036"/>
      <c r="P111" s="1036"/>
      <c r="Q111" s="1036"/>
      <c r="R111" s="1036"/>
      <c r="S111" s="1036"/>
      <c r="T111" s="1118"/>
      <c r="U111" s="1280"/>
      <c r="V111" s="1118"/>
      <c r="W111" s="1280"/>
      <c r="X111" s="908"/>
      <c r="Y111" s="1036"/>
      <c r="Z111" s="1120"/>
      <c r="AA111" s="1121"/>
      <c r="AB111" s="1120"/>
      <c r="AC111" s="1320"/>
      <c r="AD111" s="1156"/>
      <c r="AE111" s="1039"/>
      <c r="AF111" s="1118"/>
      <c r="AG111" s="1117"/>
      <c r="AH111" s="1118"/>
      <c r="AI111" s="1324"/>
      <c r="AJ111" s="908"/>
      <c r="AK111" s="1036"/>
      <c r="AL111" s="1120"/>
      <c r="AM111" s="1121"/>
      <c r="AN111" s="1120"/>
      <c r="AO111" s="1320"/>
      <c r="AP111" s="1156"/>
      <c r="AQ111" s="1039"/>
      <c r="AR111" s="1118"/>
      <c r="AS111" s="1117"/>
      <c r="AT111" s="1118"/>
      <c r="AU111" s="1324"/>
      <c r="AV111" s="908"/>
      <c r="AW111" s="1036"/>
      <c r="AX111" s="1120"/>
      <c r="AY111" s="1121"/>
      <c r="AZ111" s="1120"/>
      <c r="BA111" s="1320"/>
      <c r="BB111" s="1156"/>
      <c r="BC111" s="1039"/>
      <c r="BD111" s="1036"/>
      <c r="BE111" s="1117"/>
      <c r="BF111" s="1118"/>
      <c r="BG111" s="1324"/>
      <c r="BH111" s="908"/>
      <c r="BI111" s="1036"/>
      <c r="BJ111" s="1039"/>
      <c r="BK111" s="1121"/>
      <c r="BL111" s="1120"/>
      <c r="BM111" s="1320"/>
      <c r="BN111" s="1156"/>
      <c r="BO111" s="1039"/>
      <c r="BP111" s="1036"/>
      <c r="BQ111" s="1117"/>
      <c r="BR111" s="1036"/>
      <c r="BS111" s="1324"/>
      <c r="BT111" s="908"/>
      <c r="BU111" s="1036"/>
      <c r="BV111" s="1039"/>
      <c r="BW111" s="1121"/>
      <c r="BX111" s="1039"/>
      <c r="BY111" s="1320"/>
      <c r="BZ111" s="1156"/>
      <c r="CA111" s="1039"/>
      <c r="CB111" s="1131"/>
      <c r="CC111" s="1036"/>
      <c r="CD111" s="1036"/>
      <c r="CE111" s="1036"/>
      <c r="CF111" s="1036"/>
      <c r="CG111" s="1036"/>
      <c r="CH111" s="1036"/>
      <c r="CI111" s="1036"/>
      <c r="CJ111" s="1036"/>
      <c r="CK111" s="1036"/>
    </row>
    <row r="112" spans="1:89" s="957" customFormat="1" ht="14.25">
      <c r="A112" s="1114"/>
      <c r="B112" s="1115"/>
      <c r="C112" s="1116"/>
      <c r="D112" s="1147"/>
      <c r="E112" s="1114"/>
      <c r="F112" s="1117"/>
      <c r="G112" s="1117"/>
      <c r="H112" s="1118"/>
      <c r="I112" s="1114"/>
      <c r="J112" s="1118"/>
      <c r="K112" s="1410"/>
      <c r="L112" s="1118"/>
      <c r="M112" s="1410"/>
      <c r="N112" s="1410"/>
      <c r="O112" s="1036"/>
      <c r="P112" s="1036"/>
      <c r="Q112" s="1036"/>
      <c r="R112" s="1036"/>
      <c r="S112" s="1036"/>
      <c r="T112" s="1118"/>
      <c r="U112" s="1280"/>
      <c r="V112" s="1118"/>
      <c r="W112" s="1280"/>
      <c r="X112" s="908"/>
      <c r="Y112" s="1036"/>
      <c r="Z112" s="1120"/>
      <c r="AA112" s="1121"/>
      <c r="AB112" s="1120"/>
      <c r="AC112" s="1320"/>
      <c r="AD112" s="1156"/>
      <c r="AE112" s="1039"/>
      <c r="AF112" s="1118"/>
      <c r="AG112" s="1117"/>
      <c r="AH112" s="1118"/>
      <c r="AI112" s="1324"/>
      <c r="AJ112" s="908"/>
      <c r="AK112" s="1036"/>
      <c r="AL112" s="1120"/>
      <c r="AM112" s="1121"/>
      <c r="AN112" s="1120"/>
      <c r="AO112" s="1320"/>
      <c r="AP112" s="1156"/>
      <c r="AQ112" s="1039"/>
      <c r="AR112" s="1118"/>
      <c r="AS112" s="1117"/>
      <c r="AT112" s="1118"/>
      <c r="AU112" s="1324"/>
      <c r="AV112" s="908"/>
      <c r="AW112" s="1036"/>
      <c r="AX112" s="1120"/>
      <c r="AY112" s="1121"/>
      <c r="AZ112" s="1120"/>
      <c r="BA112" s="1320"/>
      <c r="BB112" s="1156"/>
      <c r="BC112" s="1039"/>
      <c r="BD112" s="1036"/>
      <c r="BE112" s="1117"/>
      <c r="BF112" s="1118"/>
      <c r="BG112" s="1324"/>
      <c r="BH112" s="908"/>
      <c r="BI112" s="1036"/>
      <c r="BJ112" s="1039"/>
      <c r="BK112" s="1121"/>
      <c r="BL112" s="1120"/>
      <c r="BM112" s="1320"/>
      <c r="BN112" s="1156"/>
      <c r="BO112" s="1039"/>
      <c r="BP112" s="1036"/>
      <c r="BQ112" s="1117"/>
      <c r="BR112" s="1036"/>
      <c r="BS112" s="1324"/>
      <c r="BT112" s="908"/>
      <c r="BU112" s="1036"/>
      <c r="BV112" s="1039"/>
      <c r="BW112" s="1121"/>
      <c r="BX112" s="1039"/>
      <c r="BY112" s="1320"/>
      <c r="BZ112" s="1156"/>
      <c r="CA112" s="1039"/>
      <c r="CB112" s="1131"/>
      <c r="CC112" s="1036"/>
      <c r="CD112" s="1036"/>
      <c r="CE112" s="1036"/>
      <c r="CF112" s="1036"/>
      <c r="CG112" s="1036"/>
      <c r="CH112" s="1036"/>
      <c r="CI112" s="1036"/>
      <c r="CJ112" s="1036"/>
      <c r="CK112" s="1036"/>
    </row>
    <row r="113" spans="1:89" s="957" customFormat="1" ht="14.25">
      <c r="A113" s="1114"/>
      <c r="B113" s="1115"/>
      <c r="C113" s="1116"/>
      <c r="D113" s="1147"/>
      <c r="E113" s="1114"/>
      <c r="F113" s="1117"/>
      <c r="G113" s="1117"/>
      <c r="H113" s="1118"/>
      <c r="I113" s="1114"/>
      <c r="J113" s="1118"/>
      <c r="K113" s="1410"/>
      <c r="L113" s="1118"/>
      <c r="M113" s="1410"/>
      <c r="N113" s="1410"/>
      <c r="O113" s="1036"/>
      <c r="P113" s="1036"/>
      <c r="Q113" s="1036"/>
      <c r="R113" s="1036"/>
      <c r="S113" s="1036"/>
      <c r="T113" s="1118"/>
      <c r="U113" s="1280"/>
      <c r="V113" s="1118"/>
      <c r="W113" s="1280"/>
      <c r="X113" s="908"/>
      <c r="Y113" s="1036"/>
      <c r="Z113" s="1120"/>
      <c r="AA113" s="1121"/>
      <c r="AB113" s="1120"/>
      <c r="AC113" s="1320"/>
      <c r="AD113" s="1156"/>
      <c r="AE113" s="1039"/>
      <c r="AF113" s="1118"/>
      <c r="AG113" s="1117"/>
      <c r="AH113" s="1118"/>
      <c r="AI113" s="1324"/>
      <c r="AJ113" s="908"/>
      <c r="AK113" s="1036"/>
      <c r="AL113" s="1120"/>
      <c r="AM113" s="1121"/>
      <c r="AN113" s="1120"/>
      <c r="AO113" s="1320"/>
      <c r="AP113" s="1156"/>
      <c r="AQ113" s="1039"/>
      <c r="AR113" s="1118"/>
      <c r="AS113" s="1117"/>
      <c r="AT113" s="1118"/>
      <c r="AU113" s="1324"/>
      <c r="AV113" s="908"/>
      <c r="AW113" s="1036"/>
      <c r="AX113" s="1120"/>
      <c r="AY113" s="1121"/>
      <c r="AZ113" s="1120"/>
      <c r="BA113" s="1320"/>
      <c r="BB113" s="1156"/>
      <c r="BC113" s="1039"/>
      <c r="BD113" s="1036"/>
      <c r="BE113" s="1117"/>
      <c r="BF113" s="1118"/>
      <c r="BG113" s="1324"/>
      <c r="BH113" s="908"/>
      <c r="BI113" s="1036"/>
      <c r="BJ113" s="1039"/>
      <c r="BK113" s="1121"/>
      <c r="BL113" s="1120"/>
      <c r="BM113" s="1320"/>
      <c r="BN113" s="1156"/>
      <c r="BO113" s="1039"/>
      <c r="BP113" s="1036"/>
      <c r="BQ113" s="1117"/>
      <c r="BR113" s="1036"/>
      <c r="BS113" s="1324"/>
      <c r="BT113" s="908"/>
      <c r="BU113" s="1036"/>
      <c r="BV113" s="1039"/>
      <c r="BW113" s="1121"/>
      <c r="BX113" s="1039"/>
      <c r="BY113" s="1320"/>
      <c r="BZ113" s="1156"/>
      <c r="CA113" s="1039"/>
      <c r="CB113" s="1131"/>
      <c r="CC113" s="1036"/>
      <c r="CD113" s="1036"/>
      <c r="CE113" s="1036"/>
      <c r="CF113" s="1036"/>
      <c r="CG113" s="1036"/>
      <c r="CH113" s="1036"/>
      <c r="CI113" s="1036"/>
      <c r="CJ113" s="1036"/>
      <c r="CK113" s="1036"/>
    </row>
    <row r="114" spans="1:89" s="957" customFormat="1" ht="14.25">
      <c r="A114" s="1114"/>
      <c r="B114" s="1115"/>
      <c r="C114" s="1116"/>
      <c r="D114" s="1147"/>
      <c r="E114" s="1114"/>
      <c r="F114" s="1117"/>
      <c r="G114" s="1117"/>
      <c r="H114" s="1118"/>
      <c r="I114" s="1114"/>
      <c r="J114" s="1118"/>
      <c r="K114" s="1410"/>
      <c r="L114" s="1118"/>
      <c r="M114" s="1410"/>
      <c r="N114" s="1410"/>
      <c r="O114" s="1036"/>
      <c r="P114" s="1036"/>
      <c r="Q114" s="1036"/>
      <c r="R114" s="1036"/>
      <c r="S114" s="1036"/>
      <c r="T114" s="1118"/>
      <c r="U114" s="1280"/>
      <c r="V114" s="1118"/>
      <c r="W114" s="1280"/>
      <c r="X114" s="908"/>
      <c r="Y114" s="1036"/>
      <c r="Z114" s="1120"/>
      <c r="AA114" s="1121"/>
      <c r="AB114" s="1120"/>
      <c r="AC114" s="1320"/>
      <c r="AD114" s="1156"/>
      <c r="AE114" s="1039"/>
      <c r="AF114" s="1118"/>
      <c r="AG114" s="1117"/>
      <c r="AH114" s="1118"/>
      <c r="AI114" s="1324"/>
      <c r="AJ114" s="908"/>
      <c r="AK114" s="1036"/>
      <c r="AL114" s="1120"/>
      <c r="AM114" s="1121"/>
      <c r="AN114" s="1120"/>
      <c r="AO114" s="1320"/>
      <c r="AP114" s="1156"/>
      <c r="AQ114" s="1039"/>
      <c r="AR114" s="1118"/>
      <c r="AS114" s="1117"/>
      <c r="AT114" s="1118"/>
      <c r="AU114" s="1324"/>
      <c r="AV114" s="908"/>
      <c r="AW114" s="1036"/>
      <c r="AX114" s="1120"/>
      <c r="AY114" s="1121"/>
      <c r="AZ114" s="1120"/>
      <c r="BA114" s="1320"/>
      <c r="BB114" s="1156"/>
      <c r="BC114" s="1039"/>
      <c r="BD114" s="1036"/>
      <c r="BE114" s="1117"/>
      <c r="BF114" s="1118"/>
      <c r="BG114" s="1324"/>
      <c r="BH114" s="908"/>
      <c r="BI114" s="1036"/>
      <c r="BJ114" s="1039"/>
      <c r="BK114" s="1121"/>
      <c r="BL114" s="1120"/>
      <c r="BM114" s="1320"/>
      <c r="BN114" s="1156"/>
      <c r="BO114" s="1039"/>
      <c r="BP114" s="1036"/>
      <c r="BQ114" s="1117"/>
      <c r="BR114" s="1036"/>
      <c r="BS114" s="1324"/>
      <c r="BT114" s="908"/>
      <c r="BU114" s="1036"/>
      <c r="BV114" s="1039"/>
      <c r="BW114" s="1121"/>
      <c r="BX114" s="1039"/>
      <c r="BY114" s="1320"/>
      <c r="BZ114" s="1156"/>
      <c r="CA114" s="1039"/>
      <c r="CB114" s="1131"/>
      <c r="CC114" s="1036"/>
      <c r="CD114" s="1036"/>
      <c r="CE114" s="1036"/>
      <c r="CF114" s="1036"/>
      <c r="CG114" s="1036"/>
      <c r="CH114" s="1036"/>
      <c r="CI114" s="1036"/>
      <c r="CJ114" s="1036"/>
      <c r="CK114" s="1036"/>
    </row>
    <row r="115" spans="1:89" s="957" customFormat="1" ht="14.25">
      <c r="A115" s="1114"/>
      <c r="B115" s="1115"/>
      <c r="C115" s="1116"/>
      <c r="D115" s="1147"/>
      <c r="E115" s="1114"/>
      <c r="F115" s="1117"/>
      <c r="G115" s="1117"/>
      <c r="H115" s="1118"/>
      <c r="I115" s="1114"/>
      <c r="J115" s="1118"/>
      <c r="K115" s="1410"/>
      <c r="L115" s="1118"/>
      <c r="M115" s="1410"/>
      <c r="N115" s="1410"/>
      <c r="O115" s="1036"/>
      <c r="P115" s="1036"/>
      <c r="Q115" s="1036"/>
      <c r="R115" s="1036"/>
      <c r="S115" s="1036"/>
      <c r="T115" s="1118"/>
      <c r="U115" s="1280"/>
      <c r="V115" s="1118"/>
      <c r="W115" s="1280"/>
      <c r="X115" s="908"/>
      <c r="Y115" s="1036"/>
      <c r="Z115" s="1120"/>
      <c r="AA115" s="1121"/>
      <c r="AB115" s="1120"/>
      <c r="AC115" s="1320"/>
      <c r="AD115" s="1156"/>
      <c r="AE115" s="1039"/>
      <c r="AF115" s="1118"/>
      <c r="AG115" s="1117"/>
      <c r="AH115" s="1118"/>
      <c r="AI115" s="1324"/>
      <c r="AJ115" s="908"/>
      <c r="AK115" s="1036"/>
      <c r="AL115" s="1120"/>
      <c r="AM115" s="1121"/>
      <c r="AN115" s="1120"/>
      <c r="AO115" s="1320"/>
      <c r="AP115" s="1156"/>
      <c r="AQ115" s="1039"/>
      <c r="AR115" s="1118"/>
      <c r="AS115" s="1117"/>
      <c r="AT115" s="1118"/>
      <c r="AU115" s="1324"/>
      <c r="AV115" s="908"/>
      <c r="AW115" s="1036"/>
      <c r="AX115" s="1120"/>
      <c r="AY115" s="1121"/>
      <c r="AZ115" s="1120"/>
      <c r="BA115" s="1320"/>
      <c r="BB115" s="1156"/>
      <c r="BC115" s="1039"/>
      <c r="BD115" s="1036"/>
      <c r="BE115" s="1117"/>
      <c r="BF115" s="1118"/>
      <c r="BG115" s="1324"/>
      <c r="BH115" s="908"/>
      <c r="BI115" s="1036"/>
      <c r="BJ115" s="1039"/>
      <c r="BK115" s="1121"/>
      <c r="BL115" s="1120"/>
      <c r="BM115" s="1320"/>
      <c r="BN115" s="1156"/>
      <c r="BO115" s="1039"/>
      <c r="BP115" s="1036"/>
      <c r="BQ115" s="1117"/>
      <c r="BR115" s="1036"/>
      <c r="BS115" s="1324"/>
      <c r="BT115" s="908"/>
      <c r="BU115" s="1036"/>
      <c r="BV115" s="1039"/>
      <c r="BW115" s="1121"/>
      <c r="BX115" s="1039"/>
      <c r="BY115" s="1320"/>
      <c r="BZ115" s="1156"/>
      <c r="CA115" s="1039"/>
      <c r="CB115" s="1131"/>
      <c r="CC115" s="1036"/>
      <c r="CD115" s="1036"/>
      <c r="CE115" s="1036"/>
      <c r="CF115" s="1036"/>
      <c r="CG115" s="1036"/>
      <c r="CH115" s="1036"/>
      <c r="CI115" s="1036"/>
      <c r="CJ115" s="1036"/>
      <c r="CK115" s="1036"/>
    </row>
    <row r="116" spans="1:89" s="957" customFormat="1" ht="14.25">
      <c r="A116" s="1114"/>
      <c r="B116" s="1115"/>
      <c r="C116" s="1116"/>
      <c r="D116" s="1147"/>
      <c r="E116" s="1114"/>
      <c r="F116" s="1117"/>
      <c r="G116" s="1117"/>
      <c r="H116" s="1118"/>
      <c r="I116" s="1114"/>
      <c r="J116" s="1118"/>
      <c r="K116" s="1410"/>
      <c r="L116" s="1118"/>
      <c r="M116" s="1410"/>
      <c r="N116" s="1410"/>
      <c r="O116" s="1036"/>
      <c r="P116" s="1036"/>
      <c r="Q116" s="1036"/>
      <c r="R116" s="1036"/>
      <c r="S116" s="1036"/>
      <c r="T116" s="1118"/>
      <c r="U116" s="1280"/>
      <c r="V116" s="1118"/>
      <c r="W116" s="1280"/>
      <c r="X116" s="908"/>
      <c r="Y116" s="1036"/>
      <c r="Z116" s="1120"/>
      <c r="AA116" s="1121"/>
      <c r="AB116" s="1120"/>
      <c r="AC116" s="1320"/>
      <c r="AD116" s="1156"/>
      <c r="AE116" s="1039"/>
      <c r="AF116" s="1118"/>
      <c r="AG116" s="1117"/>
      <c r="AH116" s="1118"/>
      <c r="AI116" s="1324"/>
      <c r="AJ116" s="908"/>
      <c r="AK116" s="1036"/>
      <c r="AL116" s="1120"/>
      <c r="AM116" s="1121"/>
      <c r="AN116" s="1120"/>
      <c r="AO116" s="1320"/>
      <c r="AP116" s="1156"/>
      <c r="AQ116" s="1039"/>
      <c r="AR116" s="1118"/>
      <c r="AS116" s="1117"/>
      <c r="AT116" s="1118"/>
      <c r="AU116" s="1324"/>
      <c r="AV116" s="908"/>
      <c r="AW116" s="1036"/>
      <c r="AX116" s="1120"/>
      <c r="AY116" s="1121"/>
      <c r="AZ116" s="1120"/>
      <c r="BA116" s="1320"/>
      <c r="BB116" s="1156"/>
      <c r="BC116" s="1039"/>
      <c r="BD116" s="1036"/>
      <c r="BE116" s="1117"/>
      <c r="BF116" s="1118"/>
      <c r="BG116" s="1324"/>
      <c r="BH116" s="908"/>
      <c r="BI116" s="1036"/>
      <c r="BJ116" s="1039"/>
      <c r="BK116" s="1121"/>
      <c r="BL116" s="1120"/>
      <c r="BM116" s="1320"/>
      <c r="BN116" s="1156"/>
      <c r="BO116" s="1039"/>
      <c r="BP116" s="1036"/>
      <c r="BQ116" s="1117"/>
      <c r="BR116" s="1036"/>
      <c r="BS116" s="1324"/>
      <c r="BT116" s="908"/>
      <c r="BU116" s="1036"/>
      <c r="BV116" s="1039"/>
      <c r="BW116" s="1121"/>
      <c r="BX116" s="1039"/>
      <c r="BY116" s="1320"/>
      <c r="BZ116" s="1156"/>
      <c r="CA116" s="1039"/>
      <c r="CB116" s="1131"/>
      <c r="CC116" s="1036"/>
      <c r="CD116" s="1036"/>
      <c r="CE116" s="1036"/>
      <c r="CF116" s="1036"/>
      <c r="CG116" s="1036"/>
      <c r="CH116" s="1036"/>
      <c r="CI116" s="1036"/>
      <c r="CJ116" s="1036"/>
      <c r="CK116" s="1036"/>
    </row>
    <row r="117" spans="1:89" s="957" customFormat="1" ht="14.25">
      <c r="A117" s="1114"/>
      <c r="B117" s="1115"/>
      <c r="C117" s="1116"/>
      <c r="D117" s="1147"/>
      <c r="E117" s="1114"/>
      <c r="F117" s="1117"/>
      <c r="G117" s="1117"/>
      <c r="H117" s="1118"/>
      <c r="I117" s="1114"/>
      <c r="J117" s="1118"/>
      <c r="K117" s="1410"/>
      <c r="L117" s="1118"/>
      <c r="M117" s="1410"/>
      <c r="N117" s="1410"/>
      <c r="O117" s="1036"/>
      <c r="P117" s="1036"/>
      <c r="Q117" s="1036"/>
      <c r="R117" s="1036"/>
      <c r="S117" s="1036"/>
      <c r="T117" s="1118"/>
      <c r="U117" s="1280"/>
      <c r="V117" s="1118"/>
      <c r="W117" s="1280"/>
      <c r="X117" s="908"/>
      <c r="Y117" s="1036"/>
      <c r="Z117" s="1120"/>
      <c r="AA117" s="1121"/>
      <c r="AB117" s="1120"/>
      <c r="AC117" s="1320"/>
      <c r="AD117" s="1156"/>
      <c r="AE117" s="1039"/>
      <c r="AF117" s="1118"/>
      <c r="AG117" s="1117"/>
      <c r="AH117" s="1118"/>
      <c r="AI117" s="1324"/>
      <c r="AJ117" s="908"/>
      <c r="AK117" s="1036"/>
      <c r="AL117" s="1120"/>
      <c r="AM117" s="1121"/>
      <c r="AN117" s="1120"/>
      <c r="AO117" s="1320"/>
      <c r="AP117" s="1156"/>
      <c r="AQ117" s="1039"/>
      <c r="AR117" s="1118"/>
      <c r="AS117" s="1117"/>
      <c r="AT117" s="1118"/>
      <c r="AU117" s="1324"/>
      <c r="AV117" s="908"/>
      <c r="AW117" s="1036"/>
      <c r="AX117" s="1120"/>
      <c r="AY117" s="1121"/>
      <c r="AZ117" s="1120"/>
      <c r="BA117" s="1320"/>
      <c r="BB117" s="1156"/>
      <c r="BC117" s="1039"/>
      <c r="BD117" s="1036"/>
      <c r="BE117" s="1117"/>
      <c r="BF117" s="1118"/>
      <c r="BG117" s="1324"/>
      <c r="BH117" s="908"/>
      <c r="BI117" s="1036"/>
      <c r="BJ117" s="1039"/>
      <c r="BK117" s="1121"/>
      <c r="BL117" s="1120"/>
      <c r="BM117" s="1320"/>
      <c r="BN117" s="1156"/>
      <c r="BO117" s="1039"/>
      <c r="BP117" s="1036"/>
      <c r="BQ117" s="1117"/>
      <c r="BR117" s="1036"/>
      <c r="BS117" s="1324"/>
      <c r="BT117" s="908"/>
      <c r="BU117" s="1036"/>
      <c r="BV117" s="1039"/>
      <c r="BW117" s="1121"/>
      <c r="BX117" s="1039"/>
      <c r="BY117" s="1320"/>
      <c r="BZ117" s="1156"/>
      <c r="CA117" s="1039"/>
      <c r="CB117" s="1131"/>
      <c r="CC117" s="1036"/>
      <c r="CD117" s="1036"/>
      <c r="CE117" s="1036"/>
      <c r="CF117" s="1036"/>
      <c r="CG117" s="1036"/>
      <c r="CH117" s="1036"/>
      <c r="CI117" s="1036"/>
      <c r="CJ117" s="1036"/>
      <c r="CK117" s="1036"/>
    </row>
    <row r="118" spans="1:89" s="957" customFormat="1" ht="14.25">
      <c r="A118" s="1114"/>
      <c r="B118" s="1115"/>
      <c r="C118" s="1116"/>
      <c r="D118" s="1147"/>
      <c r="E118" s="1114"/>
      <c r="F118" s="1117"/>
      <c r="G118" s="1117"/>
      <c r="H118" s="1118"/>
      <c r="I118" s="1114"/>
      <c r="J118" s="1118"/>
      <c r="K118" s="1410"/>
      <c r="L118" s="1118"/>
      <c r="M118" s="1410"/>
      <c r="N118" s="1410"/>
      <c r="O118" s="1036"/>
      <c r="P118" s="1036"/>
      <c r="Q118" s="1036"/>
      <c r="R118" s="1036"/>
      <c r="S118" s="1036"/>
      <c r="T118" s="1118"/>
      <c r="U118" s="1280"/>
      <c r="V118" s="1118"/>
      <c r="W118" s="1280"/>
      <c r="X118" s="908"/>
      <c r="Y118" s="1036"/>
      <c r="Z118" s="1120"/>
      <c r="AA118" s="1121"/>
      <c r="AB118" s="1120"/>
      <c r="AC118" s="1320"/>
      <c r="AD118" s="1156"/>
      <c r="AE118" s="1039"/>
      <c r="AF118" s="1118"/>
      <c r="AG118" s="1117"/>
      <c r="AH118" s="1118"/>
      <c r="AI118" s="1324"/>
      <c r="AJ118" s="908"/>
      <c r="AK118" s="1036"/>
      <c r="AL118" s="1120"/>
      <c r="AM118" s="1121"/>
      <c r="AN118" s="1120"/>
      <c r="AO118" s="1320"/>
      <c r="AP118" s="1156"/>
      <c r="AQ118" s="1039"/>
      <c r="AR118" s="1118"/>
      <c r="AS118" s="1117"/>
      <c r="AT118" s="1118"/>
      <c r="AU118" s="1324"/>
      <c r="AV118" s="908"/>
      <c r="AW118" s="1036"/>
      <c r="AX118" s="1120"/>
      <c r="AY118" s="1121"/>
      <c r="AZ118" s="1120"/>
      <c r="BA118" s="1320"/>
      <c r="BB118" s="1156"/>
      <c r="BC118" s="1039"/>
      <c r="BD118" s="1036"/>
      <c r="BE118" s="1117"/>
      <c r="BF118" s="1118"/>
      <c r="BG118" s="1324"/>
      <c r="BH118" s="908"/>
      <c r="BI118" s="1036"/>
      <c r="BJ118" s="1039"/>
      <c r="BK118" s="1121"/>
      <c r="BL118" s="1120"/>
      <c r="BM118" s="1320"/>
      <c r="BN118" s="1156"/>
      <c r="BO118" s="1039"/>
      <c r="BP118" s="1036"/>
      <c r="BQ118" s="1117"/>
      <c r="BR118" s="1036"/>
      <c r="BS118" s="1324"/>
      <c r="BT118" s="908"/>
      <c r="BU118" s="1036"/>
      <c r="BV118" s="1039"/>
      <c r="BW118" s="1121"/>
      <c r="BX118" s="1039"/>
      <c r="BY118" s="1320"/>
      <c r="BZ118" s="1156"/>
      <c r="CA118" s="1039"/>
      <c r="CB118" s="1131"/>
      <c r="CC118" s="1036"/>
      <c r="CD118" s="1036"/>
      <c r="CE118" s="1036"/>
      <c r="CF118" s="1036"/>
      <c r="CG118" s="1036"/>
      <c r="CH118" s="1036"/>
      <c r="CI118" s="1036"/>
      <c r="CJ118" s="1036"/>
      <c r="CK118" s="1036"/>
    </row>
    <row r="119" spans="1:89" s="957" customFormat="1" ht="14.25">
      <c r="A119" s="1114"/>
      <c r="B119" s="1115"/>
      <c r="C119" s="1116"/>
      <c r="D119" s="1147"/>
      <c r="E119" s="1114"/>
      <c r="F119" s="1117"/>
      <c r="G119" s="1117"/>
      <c r="H119" s="1118"/>
      <c r="I119" s="1114"/>
      <c r="J119" s="1118"/>
      <c r="K119" s="1410"/>
      <c r="L119" s="1118"/>
      <c r="M119" s="1410"/>
      <c r="N119" s="1410"/>
      <c r="O119" s="1036"/>
      <c r="P119" s="1036"/>
      <c r="Q119" s="1036"/>
      <c r="R119" s="1036"/>
      <c r="S119" s="1036"/>
      <c r="T119" s="1118"/>
      <c r="U119" s="1280"/>
      <c r="V119" s="1118"/>
      <c r="W119" s="1280"/>
      <c r="X119" s="908"/>
      <c r="Y119" s="1036"/>
      <c r="Z119" s="1120"/>
      <c r="AA119" s="1121"/>
      <c r="AB119" s="1120"/>
      <c r="AC119" s="1320"/>
      <c r="AD119" s="1156"/>
      <c r="AE119" s="1039"/>
      <c r="AF119" s="1118"/>
      <c r="AG119" s="1117"/>
      <c r="AH119" s="1118"/>
      <c r="AI119" s="1324"/>
      <c r="AJ119" s="908"/>
      <c r="AK119" s="1036"/>
      <c r="AL119" s="1120"/>
      <c r="AM119" s="1121"/>
      <c r="AN119" s="1120"/>
      <c r="AO119" s="1320"/>
      <c r="AP119" s="1156"/>
      <c r="AQ119" s="1039"/>
      <c r="AR119" s="1118"/>
      <c r="AS119" s="1117"/>
      <c r="AT119" s="1118"/>
      <c r="AU119" s="1324"/>
      <c r="AV119" s="908"/>
      <c r="AW119" s="1036"/>
      <c r="AX119" s="1120"/>
      <c r="AY119" s="1121"/>
      <c r="AZ119" s="1120"/>
      <c r="BA119" s="1320"/>
      <c r="BB119" s="1156"/>
      <c r="BC119" s="1039"/>
      <c r="BD119" s="1036"/>
      <c r="BE119" s="1117"/>
      <c r="BF119" s="1118"/>
      <c r="BG119" s="1324"/>
      <c r="BH119" s="908"/>
      <c r="BI119" s="1036"/>
      <c r="BJ119" s="1039"/>
      <c r="BK119" s="1121"/>
      <c r="BL119" s="1120"/>
      <c r="BM119" s="1320"/>
      <c r="BN119" s="1156"/>
      <c r="BO119" s="1039"/>
      <c r="BP119" s="1036"/>
      <c r="BQ119" s="1117"/>
      <c r="BR119" s="1036"/>
      <c r="BS119" s="1324"/>
      <c r="BT119" s="908"/>
      <c r="BU119" s="1036"/>
      <c r="BV119" s="1039"/>
      <c r="BW119" s="1121"/>
      <c r="BX119" s="1039"/>
      <c r="BY119" s="1320"/>
      <c r="BZ119" s="1156"/>
      <c r="CA119" s="1039"/>
      <c r="CB119" s="1131"/>
      <c r="CC119" s="1036"/>
      <c r="CD119" s="1036"/>
      <c r="CE119" s="1036"/>
      <c r="CF119" s="1036"/>
      <c r="CG119" s="1036"/>
      <c r="CH119" s="1036"/>
      <c r="CI119" s="1036"/>
      <c r="CJ119" s="1036"/>
      <c r="CK119" s="1036"/>
    </row>
    <row r="120" spans="1:89" s="957" customFormat="1" ht="14.25">
      <c r="A120" s="1114"/>
      <c r="B120" s="1115"/>
      <c r="C120" s="1116"/>
      <c r="D120" s="1147"/>
      <c r="E120" s="1114"/>
      <c r="F120" s="1117"/>
      <c r="G120" s="1117"/>
      <c r="H120" s="1118"/>
      <c r="I120" s="1114"/>
      <c r="J120" s="1118"/>
      <c r="K120" s="1410"/>
      <c r="L120" s="1118"/>
      <c r="M120" s="1410"/>
      <c r="N120" s="1410"/>
      <c r="O120" s="1036"/>
      <c r="P120" s="1036"/>
      <c r="Q120" s="1036"/>
      <c r="R120" s="1036"/>
      <c r="S120" s="1036"/>
      <c r="T120" s="1118"/>
      <c r="U120" s="1280"/>
      <c r="V120" s="1118"/>
      <c r="W120" s="1280"/>
      <c r="X120" s="908"/>
      <c r="Y120" s="1036"/>
      <c r="Z120" s="1120"/>
      <c r="AA120" s="1121"/>
      <c r="AB120" s="1120"/>
      <c r="AC120" s="1320"/>
      <c r="AD120" s="1156"/>
      <c r="AE120" s="1039"/>
      <c r="AF120" s="1118"/>
      <c r="AG120" s="1117"/>
      <c r="AH120" s="1118"/>
      <c r="AI120" s="1324"/>
      <c r="AJ120" s="908"/>
      <c r="AK120" s="1036"/>
      <c r="AL120" s="1120"/>
      <c r="AM120" s="1121"/>
      <c r="AN120" s="1120"/>
      <c r="AO120" s="1320"/>
      <c r="AP120" s="1156"/>
      <c r="AQ120" s="1039"/>
      <c r="AR120" s="1118"/>
      <c r="AS120" s="1117"/>
      <c r="AT120" s="1118"/>
      <c r="AU120" s="1324"/>
      <c r="AV120" s="908"/>
      <c r="AW120" s="1036"/>
      <c r="AX120" s="1120"/>
      <c r="AY120" s="1121"/>
      <c r="AZ120" s="1120"/>
      <c r="BA120" s="1320"/>
      <c r="BB120" s="1156"/>
      <c r="BC120" s="1039"/>
      <c r="BD120" s="1036"/>
      <c r="BE120" s="1117"/>
      <c r="BF120" s="1118"/>
      <c r="BG120" s="1324"/>
      <c r="BH120" s="908"/>
      <c r="BI120" s="1036"/>
      <c r="BJ120" s="1039"/>
      <c r="BK120" s="1121"/>
      <c r="BL120" s="1120"/>
      <c r="BM120" s="1320"/>
      <c r="BN120" s="1156"/>
      <c r="BO120" s="1039"/>
      <c r="BP120" s="1036"/>
      <c r="BQ120" s="1117"/>
      <c r="BR120" s="1036"/>
      <c r="BS120" s="1324"/>
      <c r="BT120" s="908"/>
      <c r="BU120" s="1036"/>
      <c r="BV120" s="1039"/>
      <c r="BW120" s="1121"/>
      <c r="BX120" s="1039"/>
      <c r="BY120" s="1320"/>
      <c r="BZ120" s="1156"/>
      <c r="CA120" s="1039"/>
      <c r="CB120" s="1131"/>
      <c r="CC120" s="1036"/>
      <c r="CD120" s="1036"/>
      <c r="CE120" s="1036"/>
      <c r="CF120" s="1036"/>
      <c r="CG120" s="1036"/>
      <c r="CH120" s="1036"/>
      <c r="CI120" s="1036"/>
      <c r="CJ120" s="1036"/>
      <c r="CK120" s="1036"/>
    </row>
    <row r="121" spans="1:89" s="957" customFormat="1" ht="14.25">
      <c r="A121" s="1114"/>
      <c r="B121" s="1115"/>
      <c r="C121" s="1116"/>
      <c r="D121" s="1147"/>
      <c r="E121" s="1114"/>
      <c r="F121" s="1117"/>
      <c r="G121" s="1117"/>
      <c r="H121" s="1118"/>
      <c r="I121" s="1114"/>
      <c r="J121" s="1118"/>
      <c r="K121" s="1410"/>
      <c r="L121" s="1118"/>
      <c r="M121" s="1410"/>
      <c r="N121" s="1410"/>
      <c r="O121" s="1036"/>
      <c r="P121" s="1036"/>
      <c r="Q121" s="1036"/>
      <c r="R121" s="1036"/>
      <c r="S121" s="1036"/>
      <c r="T121" s="1118"/>
      <c r="U121" s="1280"/>
      <c r="V121" s="1118"/>
      <c r="W121" s="1280"/>
      <c r="X121" s="908"/>
      <c r="Y121" s="1036"/>
      <c r="Z121" s="1120"/>
      <c r="AA121" s="1121"/>
      <c r="AB121" s="1120"/>
      <c r="AC121" s="1320"/>
      <c r="AD121" s="1156"/>
      <c r="AE121" s="1039"/>
      <c r="AF121" s="1118"/>
      <c r="AG121" s="1117"/>
      <c r="AH121" s="1118"/>
      <c r="AI121" s="1324"/>
      <c r="AJ121" s="908"/>
      <c r="AK121" s="1036"/>
      <c r="AL121" s="1120"/>
      <c r="AM121" s="1121"/>
      <c r="AN121" s="1120"/>
      <c r="AO121" s="1320"/>
      <c r="AP121" s="1156"/>
      <c r="AQ121" s="1039"/>
      <c r="AR121" s="1118"/>
      <c r="AS121" s="1117"/>
      <c r="AT121" s="1118"/>
      <c r="AU121" s="1324"/>
      <c r="AV121" s="908"/>
      <c r="AW121" s="1036"/>
      <c r="AX121" s="1120"/>
      <c r="AY121" s="1121"/>
      <c r="AZ121" s="1120"/>
      <c r="BA121" s="1320"/>
      <c r="BB121" s="1156"/>
      <c r="BC121" s="1039"/>
      <c r="BD121" s="1036"/>
      <c r="BE121" s="1117"/>
      <c r="BF121" s="1118"/>
      <c r="BG121" s="1324"/>
      <c r="BH121" s="908"/>
      <c r="BI121" s="1036"/>
      <c r="BJ121" s="1039"/>
      <c r="BK121" s="1121"/>
      <c r="BL121" s="1120"/>
      <c r="BM121" s="1320"/>
      <c r="BN121" s="1156"/>
      <c r="BO121" s="1039"/>
      <c r="BP121" s="1036"/>
      <c r="BQ121" s="1117"/>
      <c r="BR121" s="1036"/>
      <c r="BS121" s="1324"/>
      <c r="BT121" s="908"/>
      <c r="BU121" s="1036"/>
      <c r="BV121" s="1039"/>
      <c r="BW121" s="1121"/>
      <c r="BX121" s="1039"/>
      <c r="BY121" s="1320"/>
      <c r="BZ121" s="1156"/>
      <c r="CA121" s="1039"/>
      <c r="CB121" s="1131"/>
      <c r="CC121" s="1036"/>
      <c r="CD121" s="1036"/>
      <c r="CE121" s="1036"/>
      <c r="CF121" s="1036"/>
      <c r="CG121" s="1036"/>
      <c r="CH121" s="1036"/>
      <c r="CI121" s="1036"/>
      <c r="CJ121" s="1036"/>
      <c r="CK121" s="1036"/>
    </row>
    <row r="122" spans="1:89" s="957" customFormat="1" ht="14.25">
      <c r="A122" s="1114"/>
      <c r="B122" s="1115"/>
      <c r="C122" s="1116"/>
      <c r="D122" s="1147"/>
      <c r="E122" s="1114"/>
      <c r="F122" s="1117"/>
      <c r="G122" s="1117"/>
      <c r="H122" s="1118"/>
      <c r="I122" s="1114"/>
      <c r="J122" s="1118"/>
      <c r="K122" s="1410"/>
      <c r="L122" s="1118"/>
      <c r="M122" s="1410"/>
      <c r="N122" s="1410"/>
      <c r="O122" s="1036"/>
      <c r="P122" s="1036"/>
      <c r="Q122" s="1036"/>
      <c r="R122" s="1036"/>
      <c r="S122" s="1036"/>
      <c r="T122" s="1118"/>
      <c r="U122" s="1280"/>
      <c r="V122" s="1118"/>
      <c r="W122" s="1280"/>
      <c r="X122" s="908"/>
      <c r="Y122" s="1036"/>
      <c r="Z122" s="1120"/>
      <c r="AA122" s="1121"/>
      <c r="AB122" s="1120"/>
      <c r="AC122" s="1320"/>
      <c r="AD122" s="1156"/>
      <c r="AE122" s="1039"/>
      <c r="AF122" s="1118"/>
      <c r="AG122" s="1117"/>
      <c r="AH122" s="1118"/>
      <c r="AI122" s="1324"/>
      <c r="AJ122" s="908"/>
      <c r="AK122" s="1036"/>
      <c r="AL122" s="1120"/>
      <c r="AM122" s="1121"/>
      <c r="AN122" s="1120"/>
      <c r="AO122" s="1320"/>
      <c r="AP122" s="1156"/>
      <c r="AQ122" s="1039"/>
      <c r="AR122" s="1118"/>
      <c r="AS122" s="1117"/>
      <c r="AT122" s="1118"/>
      <c r="AU122" s="1324"/>
      <c r="AV122" s="908"/>
      <c r="AW122" s="1036"/>
      <c r="AX122" s="1120"/>
      <c r="AY122" s="1121"/>
      <c r="AZ122" s="1120"/>
      <c r="BA122" s="1320"/>
      <c r="BB122" s="1156"/>
      <c r="BC122" s="1039"/>
      <c r="BD122" s="1036"/>
      <c r="BE122" s="1117"/>
      <c r="BF122" s="1118"/>
      <c r="BG122" s="1324"/>
      <c r="BH122" s="908"/>
      <c r="BI122" s="1036"/>
      <c r="BJ122" s="1039"/>
      <c r="BK122" s="1121"/>
      <c r="BL122" s="1120"/>
      <c r="BM122" s="1320"/>
      <c r="BN122" s="1156"/>
      <c r="BO122" s="1039"/>
      <c r="BP122" s="1036"/>
      <c r="BQ122" s="1117"/>
      <c r="BR122" s="1036"/>
      <c r="BS122" s="1324"/>
      <c r="BT122" s="908"/>
      <c r="BU122" s="1036"/>
      <c r="BV122" s="1039"/>
      <c r="BW122" s="1121"/>
      <c r="BX122" s="1039"/>
      <c r="BY122" s="1320"/>
      <c r="BZ122" s="1156"/>
      <c r="CA122" s="1039"/>
      <c r="CB122" s="1131"/>
      <c r="CC122" s="1036"/>
      <c r="CD122" s="1036"/>
      <c r="CE122" s="1036"/>
      <c r="CF122" s="1036"/>
      <c r="CG122" s="1036"/>
      <c r="CH122" s="1036"/>
      <c r="CI122" s="1036"/>
      <c r="CJ122" s="1036"/>
      <c r="CK122" s="1036"/>
    </row>
    <row r="123" spans="1:89" s="957" customFormat="1" ht="14.25">
      <c r="A123" s="1114"/>
      <c r="B123" s="1115"/>
      <c r="C123" s="1116"/>
      <c r="D123" s="1147"/>
      <c r="E123" s="1114"/>
      <c r="F123" s="1117"/>
      <c r="G123" s="1117"/>
      <c r="H123" s="1118"/>
      <c r="I123" s="1114"/>
      <c r="J123" s="1118"/>
      <c r="K123" s="1410"/>
      <c r="L123" s="1118"/>
      <c r="M123" s="1410"/>
      <c r="N123" s="1410"/>
      <c r="O123" s="1036"/>
      <c r="P123" s="1036"/>
      <c r="Q123" s="1036"/>
      <c r="R123" s="1036"/>
      <c r="S123" s="1036"/>
      <c r="T123" s="1118"/>
      <c r="U123" s="1280"/>
      <c r="V123" s="1118"/>
      <c r="W123" s="1280"/>
      <c r="X123" s="908"/>
      <c r="Y123" s="1036"/>
      <c r="Z123" s="1120"/>
      <c r="AA123" s="1121"/>
      <c r="AB123" s="1120"/>
      <c r="AC123" s="1320"/>
      <c r="AD123" s="1156"/>
      <c r="AE123" s="1039"/>
      <c r="AF123" s="1118"/>
      <c r="AG123" s="1117"/>
      <c r="AH123" s="1118"/>
      <c r="AI123" s="1324"/>
      <c r="AJ123" s="908"/>
      <c r="AK123" s="1036"/>
      <c r="AL123" s="1120"/>
      <c r="AM123" s="1121"/>
      <c r="AN123" s="1120"/>
      <c r="AO123" s="1320"/>
      <c r="AP123" s="1156"/>
      <c r="AQ123" s="1039"/>
      <c r="AR123" s="1118"/>
      <c r="AS123" s="1117"/>
      <c r="AT123" s="1118"/>
      <c r="AU123" s="1324"/>
      <c r="AV123" s="908"/>
      <c r="AW123" s="1036"/>
      <c r="AX123" s="1120"/>
      <c r="AY123" s="1121"/>
      <c r="AZ123" s="1120"/>
      <c r="BA123" s="1320"/>
      <c r="BB123" s="1156"/>
      <c r="BC123" s="1039"/>
      <c r="BD123" s="1036"/>
      <c r="BE123" s="1117"/>
      <c r="BF123" s="1118"/>
      <c r="BG123" s="1324"/>
      <c r="BH123" s="908"/>
      <c r="BI123" s="1036"/>
      <c r="BJ123" s="1039"/>
      <c r="BK123" s="1121"/>
      <c r="BL123" s="1120"/>
      <c r="BM123" s="1320"/>
      <c r="BN123" s="1156"/>
      <c r="BO123" s="1039"/>
      <c r="BP123" s="1036"/>
      <c r="BQ123" s="1117"/>
      <c r="BR123" s="1036"/>
      <c r="BS123" s="1324"/>
      <c r="BT123" s="908"/>
      <c r="BU123" s="1036"/>
      <c r="BV123" s="1039"/>
      <c r="BW123" s="1121"/>
      <c r="BX123" s="1039"/>
      <c r="BY123" s="1320"/>
      <c r="BZ123" s="1156"/>
      <c r="CA123" s="1039"/>
      <c r="CB123" s="1131"/>
      <c r="CC123" s="1036"/>
      <c r="CD123" s="1036"/>
      <c r="CE123" s="1036"/>
      <c r="CF123" s="1036"/>
      <c r="CG123" s="1036"/>
      <c r="CH123" s="1036"/>
      <c r="CI123" s="1036"/>
      <c r="CJ123" s="1036"/>
      <c r="CK123" s="1036"/>
    </row>
    <row r="124" spans="1:89" s="957" customFormat="1" ht="14.25">
      <c r="A124" s="1114"/>
      <c r="B124" s="1115"/>
      <c r="C124" s="1116"/>
      <c r="D124" s="1147"/>
      <c r="E124" s="1114"/>
      <c r="F124" s="1117"/>
      <c r="G124" s="1117"/>
      <c r="H124" s="1118"/>
      <c r="I124" s="1114"/>
      <c r="J124" s="1118"/>
      <c r="K124" s="1410"/>
      <c r="L124" s="1118"/>
      <c r="M124" s="1410"/>
      <c r="N124" s="1410"/>
      <c r="O124" s="1036"/>
      <c r="P124" s="1036"/>
      <c r="Q124" s="1036"/>
      <c r="R124" s="1036"/>
      <c r="S124" s="1036"/>
      <c r="T124" s="1118"/>
      <c r="U124" s="1280"/>
      <c r="V124" s="1118"/>
      <c r="W124" s="1280"/>
      <c r="X124" s="908"/>
      <c r="Y124" s="1036"/>
      <c r="Z124" s="1120"/>
      <c r="AA124" s="1121"/>
      <c r="AB124" s="1120"/>
      <c r="AC124" s="1320"/>
      <c r="AD124" s="1156"/>
      <c r="AE124" s="1039"/>
      <c r="AF124" s="1118"/>
      <c r="AG124" s="1117"/>
      <c r="AH124" s="1118"/>
      <c r="AI124" s="1324"/>
      <c r="AJ124" s="908"/>
      <c r="AK124" s="1036"/>
      <c r="AL124" s="1120"/>
      <c r="AM124" s="1121"/>
      <c r="AN124" s="1120"/>
      <c r="AO124" s="1320"/>
      <c r="AP124" s="1156"/>
      <c r="AQ124" s="1039"/>
      <c r="AR124" s="1118"/>
      <c r="AS124" s="1117"/>
      <c r="AT124" s="1118"/>
      <c r="AU124" s="1324"/>
      <c r="AV124" s="908"/>
      <c r="AW124" s="1036"/>
      <c r="AX124" s="1120"/>
      <c r="AY124" s="1121"/>
      <c r="AZ124" s="1120"/>
      <c r="BA124" s="1320"/>
      <c r="BB124" s="1156"/>
      <c r="BC124" s="1039"/>
      <c r="BD124" s="1036"/>
      <c r="BE124" s="1117"/>
      <c r="BF124" s="1118"/>
      <c r="BG124" s="1324"/>
      <c r="BH124" s="908"/>
      <c r="BI124" s="1036"/>
      <c r="BJ124" s="1039"/>
      <c r="BK124" s="1121"/>
      <c r="BL124" s="1120"/>
      <c r="BM124" s="1320"/>
      <c r="BN124" s="1156"/>
      <c r="BO124" s="1039"/>
      <c r="BP124" s="1036"/>
      <c r="BQ124" s="1117"/>
      <c r="BR124" s="1036"/>
      <c r="BS124" s="1324"/>
      <c r="BT124" s="908"/>
      <c r="BU124" s="1036"/>
      <c r="BV124" s="1039"/>
      <c r="BW124" s="1121"/>
      <c r="BX124" s="1039"/>
      <c r="BY124" s="1320"/>
      <c r="BZ124" s="1156"/>
      <c r="CA124" s="1039"/>
      <c r="CB124" s="1131"/>
      <c r="CC124" s="1036"/>
      <c r="CD124" s="1036"/>
      <c r="CE124" s="1036"/>
      <c r="CF124" s="1036"/>
      <c r="CG124" s="1036"/>
      <c r="CH124" s="1036"/>
      <c r="CI124" s="1036"/>
      <c r="CJ124" s="1036"/>
      <c r="CK124" s="1036"/>
    </row>
    <row r="125" spans="1:89" s="957" customFormat="1" ht="14.25">
      <c r="A125" s="1114"/>
      <c r="B125" s="1115"/>
      <c r="C125" s="1116"/>
      <c r="D125" s="1147"/>
      <c r="E125" s="1114"/>
      <c r="F125" s="1117"/>
      <c r="G125" s="1117"/>
      <c r="H125" s="1118"/>
      <c r="I125" s="1114"/>
      <c r="J125" s="1118"/>
      <c r="K125" s="1410"/>
      <c r="L125" s="1118"/>
      <c r="M125" s="1410"/>
      <c r="N125" s="1410"/>
      <c r="O125" s="1036"/>
      <c r="P125" s="1036"/>
      <c r="Q125" s="1036"/>
      <c r="R125" s="1036"/>
      <c r="S125" s="1036"/>
      <c r="T125" s="1118"/>
      <c r="U125" s="1280"/>
      <c r="V125" s="1118"/>
      <c r="W125" s="1280"/>
      <c r="X125" s="908"/>
      <c r="Y125" s="1036"/>
      <c r="Z125" s="1120"/>
      <c r="AA125" s="1121"/>
      <c r="AB125" s="1120"/>
      <c r="AC125" s="1320"/>
      <c r="AD125" s="1156"/>
      <c r="AE125" s="1039"/>
      <c r="AF125" s="1118"/>
      <c r="AG125" s="1117"/>
      <c r="AH125" s="1118"/>
      <c r="AI125" s="1324"/>
      <c r="AJ125" s="908"/>
      <c r="AK125" s="1036"/>
      <c r="AL125" s="1120"/>
      <c r="AM125" s="1121"/>
      <c r="AN125" s="1120"/>
      <c r="AO125" s="1320"/>
      <c r="AP125" s="1156"/>
      <c r="AQ125" s="1039"/>
      <c r="AR125" s="1118"/>
      <c r="AS125" s="1117"/>
      <c r="AT125" s="1118"/>
      <c r="AU125" s="1324"/>
      <c r="AV125" s="908"/>
      <c r="AW125" s="1036"/>
      <c r="AX125" s="1120"/>
      <c r="AY125" s="1121"/>
      <c r="AZ125" s="1120"/>
      <c r="BA125" s="1320"/>
      <c r="BB125" s="1156"/>
      <c r="BC125" s="1039"/>
      <c r="BD125" s="1036"/>
      <c r="BE125" s="1117"/>
      <c r="BF125" s="1118"/>
      <c r="BG125" s="1324"/>
      <c r="BH125" s="908"/>
      <c r="BI125" s="1036"/>
      <c r="BJ125" s="1039"/>
      <c r="BK125" s="1121"/>
      <c r="BL125" s="1120"/>
      <c r="BM125" s="1320"/>
      <c r="BN125" s="1156"/>
      <c r="BO125" s="1039"/>
      <c r="BP125" s="1036"/>
      <c r="BQ125" s="1117"/>
      <c r="BR125" s="1036"/>
      <c r="BS125" s="1324"/>
      <c r="BT125" s="908"/>
      <c r="BU125" s="1036"/>
      <c r="BV125" s="1039"/>
      <c r="BW125" s="1121"/>
      <c r="BX125" s="1039"/>
      <c r="BY125" s="1320"/>
      <c r="BZ125" s="1156"/>
      <c r="CA125" s="1039"/>
      <c r="CB125" s="1131"/>
      <c r="CC125" s="1036"/>
      <c r="CD125" s="1036"/>
      <c r="CE125" s="1036"/>
      <c r="CF125" s="1036"/>
      <c r="CG125" s="1036"/>
      <c r="CH125" s="1036"/>
      <c r="CI125" s="1036"/>
      <c r="CJ125" s="1036"/>
      <c r="CK125" s="1036"/>
    </row>
    <row r="126" spans="1:89" s="957" customFormat="1" ht="14.25">
      <c r="A126" s="1114"/>
      <c r="B126" s="1115"/>
      <c r="C126" s="1116"/>
      <c r="D126" s="1147"/>
      <c r="E126" s="1114"/>
      <c r="F126" s="1117"/>
      <c r="G126" s="1117"/>
      <c r="H126" s="1118"/>
      <c r="I126" s="1114"/>
      <c r="J126" s="1118"/>
      <c r="K126" s="1410"/>
      <c r="L126" s="1118"/>
      <c r="M126" s="1410"/>
      <c r="N126" s="1410"/>
      <c r="O126" s="1036"/>
      <c r="P126" s="1036"/>
      <c r="Q126" s="1036"/>
      <c r="R126" s="1036"/>
      <c r="S126" s="1036"/>
      <c r="T126" s="1118"/>
      <c r="U126" s="1280"/>
      <c r="V126" s="1118"/>
      <c r="W126" s="1280"/>
      <c r="X126" s="908"/>
      <c r="Y126" s="1036"/>
      <c r="Z126" s="1120"/>
      <c r="AA126" s="1121"/>
      <c r="AB126" s="1120"/>
      <c r="AC126" s="1320"/>
      <c r="AD126" s="1156"/>
      <c r="AE126" s="1039"/>
      <c r="AF126" s="1118"/>
      <c r="AG126" s="1117"/>
      <c r="AH126" s="1118"/>
      <c r="AI126" s="1324"/>
      <c r="AJ126" s="908"/>
      <c r="AK126" s="1036"/>
      <c r="AL126" s="1120"/>
      <c r="AM126" s="1121"/>
      <c r="AN126" s="1120"/>
      <c r="AO126" s="1320"/>
      <c r="AP126" s="1156"/>
      <c r="AQ126" s="1039"/>
      <c r="AR126" s="1118"/>
      <c r="AS126" s="1117"/>
      <c r="AT126" s="1118"/>
      <c r="AU126" s="1324"/>
      <c r="AV126" s="908"/>
      <c r="AW126" s="1036"/>
      <c r="AX126" s="1120"/>
      <c r="AY126" s="1121"/>
      <c r="AZ126" s="1120"/>
      <c r="BA126" s="1320"/>
      <c r="BB126" s="1156"/>
      <c r="BC126" s="1039"/>
      <c r="BD126" s="1036"/>
      <c r="BE126" s="1117"/>
      <c r="BF126" s="1118"/>
      <c r="BG126" s="1324"/>
      <c r="BH126" s="908"/>
      <c r="BI126" s="1036"/>
      <c r="BJ126" s="1039"/>
      <c r="BK126" s="1121"/>
      <c r="BL126" s="1120"/>
      <c r="BM126" s="1320"/>
      <c r="BN126" s="1156"/>
      <c r="BO126" s="1039"/>
      <c r="BP126" s="1036"/>
      <c r="BQ126" s="1117"/>
      <c r="BR126" s="1036"/>
      <c r="BS126" s="1324"/>
      <c r="BT126" s="908"/>
      <c r="BU126" s="1036"/>
      <c r="BV126" s="1039"/>
      <c r="BW126" s="1121"/>
      <c r="BX126" s="1039"/>
      <c r="BY126" s="1320"/>
      <c r="BZ126" s="1156"/>
      <c r="CA126" s="1039"/>
      <c r="CB126" s="1131"/>
      <c r="CC126" s="1036"/>
      <c r="CD126" s="1036"/>
      <c r="CE126" s="1036"/>
      <c r="CF126" s="1036"/>
      <c r="CG126" s="1036"/>
      <c r="CH126" s="1036"/>
      <c r="CI126" s="1036"/>
      <c r="CJ126" s="1036"/>
      <c r="CK126" s="1036"/>
    </row>
    <row r="127" spans="1:89" s="957" customFormat="1" ht="14.25">
      <c r="A127" s="1114"/>
      <c r="B127" s="1115"/>
      <c r="C127" s="1116"/>
      <c r="D127" s="1147"/>
      <c r="E127" s="1114"/>
      <c r="F127" s="1117"/>
      <c r="G127" s="1117"/>
      <c r="H127" s="1118"/>
      <c r="I127" s="1114"/>
      <c r="J127" s="1118"/>
      <c r="K127" s="1410"/>
      <c r="L127" s="1118"/>
      <c r="M127" s="1410"/>
      <c r="N127" s="1410"/>
      <c r="O127" s="1036"/>
      <c r="P127" s="1036"/>
      <c r="Q127" s="1036"/>
      <c r="R127" s="1036"/>
      <c r="S127" s="1036"/>
      <c r="T127" s="1118"/>
      <c r="U127" s="1280"/>
      <c r="V127" s="1118"/>
      <c r="W127" s="1280"/>
      <c r="X127" s="908"/>
      <c r="Y127" s="1036"/>
      <c r="Z127" s="1120"/>
      <c r="AA127" s="1121"/>
      <c r="AB127" s="1120"/>
      <c r="AC127" s="1320"/>
      <c r="AD127" s="1156"/>
      <c r="AE127" s="1039"/>
      <c r="AF127" s="1118"/>
      <c r="AG127" s="1117"/>
      <c r="AH127" s="1118"/>
      <c r="AI127" s="1324"/>
      <c r="AJ127" s="908"/>
      <c r="AK127" s="1036"/>
      <c r="AL127" s="1120"/>
      <c r="AM127" s="1121"/>
      <c r="AN127" s="1120"/>
      <c r="AO127" s="1320"/>
      <c r="AP127" s="1156"/>
      <c r="AQ127" s="1039"/>
      <c r="AR127" s="1118"/>
      <c r="AS127" s="1117"/>
      <c r="AT127" s="1118"/>
      <c r="AU127" s="1324"/>
      <c r="AV127" s="908"/>
      <c r="AW127" s="1036"/>
      <c r="AX127" s="1120"/>
      <c r="AY127" s="1121"/>
      <c r="AZ127" s="1120"/>
      <c r="BA127" s="1320"/>
      <c r="BB127" s="1156"/>
      <c r="BC127" s="1039"/>
      <c r="BD127" s="1036"/>
      <c r="BE127" s="1117"/>
      <c r="BF127" s="1118"/>
      <c r="BG127" s="1324"/>
      <c r="BH127" s="908"/>
      <c r="BI127" s="1036"/>
      <c r="BJ127" s="1039"/>
      <c r="BK127" s="1121"/>
      <c r="BL127" s="1120"/>
      <c r="BM127" s="1320"/>
      <c r="BN127" s="1156"/>
      <c r="BO127" s="1039"/>
      <c r="BP127" s="1036"/>
      <c r="BQ127" s="1117"/>
      <c r="BR127" s="1036"/>
      <c r="BS127" s="1324"/>
      <c r="BT127" s="908"/>
      <c r="BU127" s="1036"/>
      <c r="BV127" s="1039"/>
      <c r="BW127" s="1121"/>
      <c r="BX127" s="1039"/>
      <c r="BY127" s="1320"/>
      <c r="BZ127" s="1156"/>
      <c r="CA127" s="1039"/>
      <c r="CB127" s="1131"/>
      <c r="CC127" s="1036"/>
      <c r="CD127" s="1036"/>
      <c r="CE127" s="1036"/>
      <c r="CF127" s="1036"/>
      <c r="CG127" s="1036"/>
      <c r="CH127" s="1036"/>
      <c r="CI127" s="1036"/>
      <c r="CJ127" s="1036"/>
      <c r="CK127" s="1036"/>
    </row>
    <row r="128" spans="1:89" s="957" customFormat="1" ht="14.25">
      <c r="A128" s="1114"/>
      <c r="B128" s="1115"/>
      <c r="C128" s="1116"/>
      <c r="D128" s="1147"/>
      <c r="E128" s="1114"/>
      <c r="F128" s="1117"/>
      <c r="G128" s="1117"/>
      <c r="H128" s="1118"/>
      <c r="I128" s="1114"/>
      <c r="J128" s="1118"/>
      <c r="K128" s="1410"/>
      <c r="L128" s="1118"/>
      <c r="M128" s="1410"/>
      <c r="N128" s="1410"/>
      <c r="O128" s="1036"/>
      <c r="P128" s="1036"/>
      <c r="Q128" s="1036"/>
      <c r="R128" s="1036"/>
      <c r="S128" s="1036"/>
      <c r="T128" s="1118"/>
      <c r="U128" s="1280"/>
      <c r="V128" s="1118"/>
      <c r="W128" s="1280"/>
      <c r="X128" s="908"/>
      <c r="Y128" s="1036"/>
      <c r="Z128" s="1120"/>
      <c r="AA128" s="1121"/>
      <c r="AB128" s="1120"/>
      <c r="AC128" s="1320"/>
      <c r="AD128" s="1156"/>
      <c r="AE128" s="1039"/>
      <c r="AF128" s="1118"/>
      <c r="AG128" s="1117"/>
      <c r="AH128" s="1118"/>
      <c r="AI128" s="1324"/>
      <c r="AJ128" s="908"/>
      <c r="AK128" s="1036"/>
      <c r="AL128" s="1120"/>
      <c r="AM128" s="1121"/>
      <c r="AN128" s="1120"/>
      <c r="AO128" s="1320"/>
      <c r="AP128" s="1156"/>
      <c r="AQ128" s="1039"/>
      <c r="AR128" s="1118"/>
      <c r="AS128" s="1117"/>
      <c r="AT128" s="1118"/>
      <c r="AU128" s="1324"/>
      <c r="AV128" s="908"/>
      <c r="AW128" s="1036"/>
      <c r="AX128" s="1120"/>
      <c r="AY128" s="1121"/>
      <c r="AZ128" s="1120"/>
      <c r="BA128" s="1320"/>
      <c r="BB128" s="1156"/>
      <c r="BC128" s="1039"/>
      <c r="BD128" s="1036"/>
      <c r="BE128" s="1117"/>
      <c r="BF128" s="1118"/>
      <c r="BG128" s="1324"/>
      <c r="BH128" s="908"/>
      <c r="BI128" s="1036"/>
      <c r="BJ128" s="1039"/>
      <c r="BK128" s="1121"/>
      <c r="BL128" s="1120"/>
      <c r="BM128" s="1320"/>
      <c r="BN128" s="1156"/>
      <c r="BO128" s="1039"/>
      <c r="BP128" s="1036"/>
      <c r="BQ128" s="1117"/>
      <c r="BR128" s="1036"/>
      <c r="BS128" s="1324"/>
      <c r="BT128" s="908"/>
      <c r="BU128" s="1036"/>
      <c r="BV128" s="1039"/>
      <c r="BW128" s="1121"/>
      <c r="BX128" s="1039"/>
      <c r="BY128" s="1320"/>
      <c r="BZ128" s="1156"/>
      <c r="CA128" s="1039"/>
      <c r="CB128" s="1131"/>
      <c r="CC128" s="1036"/>
      <c r="CD128" s="1036"/>
      <c r="CE128" s="1036"/>
      <c r="CF128" s="1036"/>
      <c r="CG128" s="1036"/>
      <c r="CH128" s="1036"/>
      <c r="CI128" s="1036"/>
      <c r="CJ128" s="1036"/>
      <c r="CK128" s="1036"/>
    </row>
    <row r="129" spans="1:89" s="957" customFormat="1" ht="14.25">
      <c r="A129" s="1114"/>
      <c r="B129" s="1115"/>
      <c r="C129" s="1116"/>
      <c r="D129" s="1147"/>
      <c r="E129" s="1114"/>
      <c r="F129" s="1117"/>
      <c r="G129" s="1117"/>
      <c r="H129" s="1118"/>
      <c r="I129" s="1114"/>
      <c r="J129" s="1118"/>
      <c r="K129" s="1410"/>
      <c r="L129" s="1118"/>
      <c r="M129" s="1410"/>
      <c r="N129" s="1410"/>
      <c r="O129" s="1036"/>
      <c r="P129" s="1036"/>
      <c r="Q129" s="1036"/>
      <c r="R129" s="1036"/>
      <c r="S129" s="1036"/>
      <c r="T129" s="1118"/>
      <c r="U129" s="1280"/>
      <c r="V129" s="1118"/>
      <c r="W129" s="1280"/>
      <c r="X129" s="908"/>
      <c r="Y129" s="1036"/>
      <c r="Z129" s="1120"/>
      <c r="AA129" s="1121"/>
      <c r="AB129" s="1120"/>
      <c r="AC129" s="1320"/>
      <c r="AD129" s="1156"/>
      <c r="AE129" s="1039"/>
      <c r="AF129" s="1118"/>
      <c r="AG129" s="1117"/>
      <c r="AH129" s="1118"/>
      <c r="AI129" s="1324"/>
      <c r="AJ129" s="908"/>
      <c r="AK129" s="1036"/>
      <c r="AL129" s="1120"/>
      <c r="AM129" s="1121"/>
      <c r="AN129" s="1120"/>
      <c r="AO129" s="1320"/>
      <c r="AP129" s="1156"/>
      <c r="AQ129" s="1039"/>
      <c r="AR129" s="1118"/>
      <c r="AS129" s="1117"/>
      <c r="AT129" s="1118"/>
      <c r="AU129" s="1324"/>
      <c r="AV129" s="908"/>
      <c r="AW129" s="1036"/>
      <c r="AX129" s="1120"/>
      <c r="AY129" s="1121"/>
      <c r="AZ129" s="1120"/>
      <c r="BA129" s="1320"/>
      <c r="BB129" s="1156"/>
      <c r="BC129" s="1039"/>
      <c r="BD129" s="1036"/>
      <c r="BE129" s="1117"/>
      <c r="BF129" s="1118"/>
      <c r="BG129" s="1324"/>
      <c r="BH129" s="908"/>
      <c r="BI129" s="1036"/>
      <c r="BJ129" s="1039"/>
      <c r="BK129" s="1121"/>
      <c r="BL129" s="1120"/>
      <c r="BM129" s="1320"/>
      <c r="BN129" s="1156"/>
      <c r="BO129" s="1039"/>
      <c r="BP129" s="1036"/>
      <c r="BQ129" s="1117"/>
      <c r="BR129" s="1036"/>
      <c r="BS129" s="1324"/>
      <c r="BT129" s="908"/>
      <c r="BU129" s="1036"/>
      <c r="BV129" s="1039"/>
      <c r="BW129" s="1121"/>
      <c r="BX129" s="1039"/>
      <c r="BY129" s="1320"/>
      <c r="BZ129" s="1156"/>
      <c r="CA129" s="1039"/>
      <c r="CB129" s="1131"/>
      <c r="CC129" s="1036"/>
      <c r="CD129" s="1036"/>
      <c r="CE129" s="1036"/>
      <c r="CF129" s="1036"/>
      <c r="CG129" s="1036"/>
      <c r="CH129" s="1036"/>
      <c r="CI129" s="1036"/>
      <c r="CJ129" s="1036"/>
      <c r="CK129" s="1036"/>
    </row>
    <row r="130" spans="1:89" s="957" customFormat="1" ht="14.25">
      <c r="A130" s="1114"/>
      <c r="B130" s="1115"/>
      <c r="C130" s="1116"/>
      <c r="D130" s="1147"/>
      <c r="E130" s="1114"/>
      <c r="F130" s="1117"/>
      <c r="G130" s="1117"/>
      <c r="H130" s="1118"/>
      <c r="I130" s="1114"/>
      <c r="J130" s="1118"/>
      <c r="K130" s="1410"/>
      <c r="L130" s="1118"/>
      <c r="M130" s="1410"/>
      <c r="N130" s="1410"/>
      <c r="O130" s="1036"/>
      <c r="P130" s="1036"/>
      <c r="Q130" s="1036"/>
      <c r="R130" s="1036"/>
      <c r="S130" s="1036"/>
      <c r="T130" s="1118"/>
      <c r="U130" s="1280"/>
      <c r="V130" s="1118"/>
      <c r="W130" s="1280"/>
      <c r="X130" s="908"/>
      <c r="Y130" s="1036"/>
      <c r="Z130" s="1120"/>
      <c r="AA130" s="1121"/>
      <c r="AB130" s="1120"/>
      <c r="AC130" s="1320"/>
      <c r="AD130" s="1156"/>
      <c r="AE130" s="1039"/>
      <c r="AF130" s="1118"/>
      <c r="AG130" s="1117"/>
      <c r="AH130" s="1118"/>
      <c r="AI130" s="1324"/>
      <c r="AJ130" s="908"/>
      <c r="AK130" s="1036"/>
      <c r="AL130" s="1120"/>
      <c r="AM130" s="1121"/>
      <c r="AN130" s="1120"/>
      <c r="AO130" s="1320"/>
      <c r="AP130" s="1156"/>
      <c r="AQ130" s="1039"/>
      <c r="AR130" s="1118"/>
      <c r="AS130" s="1117"/>
      <c r="AT130" s="1118"/>
      <c r="AU130" s="1324"/>
      <c r="AV130" s="908"/>
      <c r="AW130" s="1036"/>
      <c r="AX130" s="1120"/>
      <c r="AY130" s="1121"/>
      <c r="AZ130" s="1120"/>
      <c r="BA130" s="1320"/>
      <c r="BB130" s="1156"/>
      <c r="BC130" s="1039"/>
      <c r="BD130" s="1036"/>
      <c r="BE130" s="1117"/>
      <c r="BF130" s="1118"/>
      <c r="BG130" s="1324"/>
      <c r="BH130" s="908"/>
      <c r="BI130" s="1036"/>
      <c r="BJ130" s="1039"/>
      <c r="BK130" s="1121"/>
      <c r="BL130" s="1120"/>
      <c r="BM130" s="1320"/>
      <c r="BN130" s="1156"/>
      <c r="BO130" s="1039"/>
      <c r="BP130" s="1036"/>
      <c r="BQ130" s="1117"/>
      <c r="BR130" s="1036"/>
      <c r="BS130" s="1324"/>
      <c r="BT130" s="908"/>
      <c r="BU130" s="1036"/>
      <c r="BV130" s="1039"/>
      <c r="BW130" s="1121"/>
      <c r="BX130" s="1039"/>
      <c r="BY130" s="1320"/>
      <c r="BZ130" s="1156"/>
      <c r="CA130" s="1039"/>
      <c r="CB130" s="1131"/>
      <c r="CC130" s="1036"/>
      <c r="CD130" s="1036"/>
      <c r="CE130" s="1036"/>
      <c r="CF130" s="1036"/>
      <c r="CG130" s="1036"/>
      <c r="CH130" s="1036"/>
      <c r="CI130" s="1036"/>
      <c r="CJ130" s="1036"/>
      <c r="CK130" s="1036"/>
    </row>
    <row r="131" spans="1:89" s="957" customFormat="1" ht="14.25">
      <c r="A131" s="1114"/>
      <c r="B131" s="1115"/>
      <c r="C131" s="1116"/>
      <c r="D131" s="1147"/>
      <c r="E131" s="1114"/>
      <c r="F131" s="1117"/>
      <c r="G131" s="1117"/>
      <c r="H131" s="1118"/>
      <c r="I131" s="1114"/>
      <c r="J131" s="1118"/>
      <c r="K131" s="1410"/>
      <c r="L131" s="1118"/>
      <c r="M131" s="1410"/>
      <c r="N131" s="1410"/>
      <c r="O131" s="1036"/>
      <c r="P131" s="1036"/>
      <c r="Q131" s="1036"/>
      <c r="R131" s="1036"/>
      <c r="S131" s="1036"/>
      <c r="T131" s="1118"/>
      <c r="U131" s="1280"/>
      <c r="V131" s="1118"/>
      <c r="W131" s="1280"/>
      <c r="X131" s="908"/>
      <c r="Y131" s="1036"/>
      <c r="Z131" s="1120"/>
      <c r="AA131" s="1121"/>
      <c r="AB131" s="1120"/>
      <c r="AC131" s="1320"/>
      <c r="AD131" s="1156"/>
      <c r="AE131" s="1039"/>
      <c r="AF131" s="1118"/>
      <c r="AG131" s="1117"/>
      <c r="AH131" s="1118"/>
      <c r="AI131" s="1324"/>
      <c r="AJ131" s="908"/>
      <c r="AK131" s="1036"/>
      <c r="AL131" s="1120"/>
      <c r="AM131" s="1121"/>
      <c r="AN131" s="1120"/>
      <c r="AO131" s="1320"/>
      <c r="AP131" s="1156"/>
      <c r="AQ131" s="1039"/>
      <c r="AR131" s="1118"/>
      <c r="AS131" s="1117"/>
      <c r="AT131" s="1118"/>
      <c r="AU131" s="1324"/>
      <c r="AV131" s="908"/>
      <c r="AW131" s="1036"/>
      <c r="AX131" s="1120"/>
      <c r="AY131" s="1121"/>
      <c r="AZ131" s="1120">
        <v>6</v>
      </c>
      <c r="BA131" s="1320"/>
      <c r="BB131" s="1156"/>
      <c r="BC131" s="1039"/>
      <c r="BD131" s="1036"/>
      <c r="BE131" s="1117"/>
      <c r="BF131" s="1118"/>
      <c r="BG131" s="1324"/>
      <c r="BH131" s="908"/>
      <c r="BI131" s="1036"/>
      <c r="BJ131" s="1039"/>
      <c r="BK131" s="1121"/>
      <c r="BL131" s="1120"/>
      <c r="BM131" s="1320"/>
      <c r="BN131" s="1156"/>
      <c r="BO131" s="1039"/>
      <c r="BP131" s="1036"/>
      <c r="BQ131" s="1117"/>
      <c r="BR131" s="1036"/>
      <c r="BS131" s="1324"/>
      <c r="BT131" s="908"/>
      <c r="BU131" s="1036"/>
      <c r="BV131" s="1039"/>
      <c r="BW131" s="1121"/>
      <c r="BX131" s="1039"/>
      <c r="BY131" s="1320"/>
      <c r="BZ131" s="1156"/>
      <c r="CA131" s="1039"/>
      <c r="CB131" s="1131"/>
      <c r="CC131" s="1036"/>
      <c r="CD131" s="1036"/>
      <c r="CE131" s="1036"/>
      <c r="CF131" s="1036"/>
      <c r="CG131" s="1036"/>
      <c r="CH131" s="1036"/>
      <c r="CI131" s="1036"/>
      <c r="CJ131" s="1036"/>
      <c r="CK131" s="1036"/>
    </row>
    <row r="132" spans="1:89" s="957" customFormat="1" ht="14.25">
      <c r="A132" s="1114"/>
      <c r="B132" s="1115"/>
      <c r="C132" s="1116"/>
      <c r="D132" s="1147"/>
      <c r="E132" s="1114"/>
      <c r="F132" s="1117"/>
      <c r="G132" s="1117"/>
      <c r="H132" s="1118"/>
      <c r="I132" s="1114"/>
      <c r="J132" s="1118"/>
      <c r="K132" s="1410"/>
      <c r="L132" s="1118"/>
      <c r="M132" s="1410"/>
      <c r="N132" s="1410"/>
      <c r="O132" s="1036"/>
      <c r="P132" s="1036"/>
      <c r="Q132" s="1036"/>
      <c r="R132" s="1036"/>
      <c r="S132" s="1036"/>
      <c r="T132" s="1118"/>
      <c r="U132" s="1280"/>
      <c r="V132" s="1118"/>
      <c r="W132" s="1280"/>
      <c r="X132" s="908"/>
      <c r="Y132" s="1036"/>
      <c r="Z132" s="1120"/>
      <c r="AA132" s="1121"/>
      <c r="AB132" s="1120"/>
      <c r="AC132" s="1320"/>
      <c r="AD132" s="1156"/>
      <c r="AE132" s="1039"/>
      <c r="AF132" s="1118"/>
      <c r="AG132" s="1117"/>
      <c r="AH132" s="1118"/>
      <c r="AI132" s="1324"/>
      <c r="AJ132" s="908"/>
      <c r="AK132" s="1036"/>
      <c r="AL132" s="1120"/>
      <c r="AM132" s="1121"/>
      <c r="AN132" s="1120"/>
      <c r="AO132" s="1320"/>
      <c r="AP132" s="1156"/>
      <c r="AQ132" s="1039"/>
      <c r="AR132" s="1118"/>
      <c r="AS132" s="1117"/>
      <c r="AT132" s="1118"/>
      <c r="AU132" s="1324"/>
      <c r="AV132" s="908"/>
      <c r="AW132" s="1036"/>
      <c r="AX132" s="1120"/>
      <c r="AY132" s="1121"/>
      <c r="AZ132" s="1120"/>
      <c r="BA132" s="1320"/>
      <c r="BB132" s="1156"/>
      <c r="BC132" s="1039"/>
      <c r="BD132" s="1036"/>
      <c r="BE132" s="1117"/>
      <c r="BF132" s="1118"/>
      <c r="BG132" s="1324"/>
      <c r="BH132" s="908"/>
      <c r="BI132" s="1036"/>
      <c r="BJ132" s="1039"/>
      <c r="BK132" s="1121"/>
      <c r="BL132" s="1120"/>
      <c r="BM132" s="1320"/>
      <c r="BN132" s="1156"/>
      <c r="BO132" s="1039"/>
      <c r="BP132" s="1036"/>
      <c r="BQ132" s="1117"/>
      <c r="BR132" s="1036"/>
      <c r="BS132" s="1324"/>
      <c r="BT132" s="908"/>
      <c r="BU132" s="1036"/>
      <c r="BV132" s="1039"/>
      <c r="BW132" s="1121"/>
      <c r="BX132" s="1039"/>
      <c r="BY132" s="1320"/>
      <c r="BZ132" s="1156"/>
      <c r="CA132" s="1039"/>
      <c r="CB132" s="1131"/>
      <c r="CC132" s="1036"/>
      <c r="CD132" s="1036"/>
      <c r="CE132" s="1036"/>
      <c r="CF132" s="1036"/>
      <c r="CG132" s="1036"/>
      <c r="CH132" s="1036"/>
      <c r="CI132" s="1036"/>
      <c r="CJ132" s="1036"/>
      <c r="CK132" s="1036"/>
    </row>
    <row r="133" spans="1:89" s="957" customFormat="1" ht="14.25">
      <c r="A133" s="1114"/>
      <c r="B133" s="1115"/>
      <c r="C133" s="1116"/>
      <c r="D133" s="1147"/>
      <c r="E133" s="1114"/>
      <c r="F133" s="1117"/>
      <c r="G133" s="1117"/>
      <c r="H133" s="1118"/>
      <c r="I133" s="1114"/>
      <c r="J133" s="1118"/>
      <c r="K133" s="1410"/>
      <c r="L133" s="1118"/>
      <c r="M133" s="1410"/>
      <c r="N133" s="1410"/>
      <c r="O133" s="1036"/>
      <c r="P133" s="1036"/>
      <c r="Q133" s="1036"/>
      <c r="R133" s="1036"/>
      <c r="S133" s="1036"/>
      <c r="T133" s="1118"/>
      <c r="U133" s="1280"/>
      <c r="V133" s="1118"/>
      <c r="W133" s="1280"/>
      <c r="X133" s="908"/>
      <c r="Y133" s="1036"/>
      <c r="Z133" s="1120"/>
      <c r="AA133" s="1121"/>
      <c r="AB133" s="1120"/>
      <c r="AC133" s="1320"/>
      <c r="AD133" s="1156"/>
      <c r="AE133" s="1039"/>
      <c r="AF133" s="1118"/>
      <c r="AG133" s="1117"/>
      <c r="AH133" s="1118"/>
      <c r="AI133" s="1324"/>
      <c r="AJ133" s="908"/>
      <c r="AK133" s="1036"/>
      <c r="AL133" s="1120"/>
      <c r="AM133" s="1121"/>
      <c r="AN133" s="1120"/>
      <c r="AO133" s="1320"/>
      <c r="AP133" s="1156"/>
      <c r="AQ133" s="1039"/>
      <c r="AR133" s="1118"/>
      <c r="AS133" s="1117"/>
      <c r="AT133" s="1118"/>
      <c r="AU133" s="1324"/>
      <c r="AV133" s="908"/>
      <c r="AW133" s="1036"/>
      <c r="AX133" s="1120"/>
      <c r="AY133" s="1121"/>
      <c r="AZ133" s="1120"/>
      <c r="BA133" s="1320"/>
      <c r="BB133" s="1156"/>
      <c r="BC133" s="1039"/>
      <c r="BD133" s="1036"/>
      <c r="BE133" s="1117"/>
      <c r="BF133" s="1118"/>
      <c r="BG133" s="1324"/>
      <c r="BH133" s="908"/>
      <c r="BI133" s="1036"/>
      <c r="BJ133" s="1039"/>
      <c r="BK133" s="1121"/>
      <c r="BL133" s="1120"/>
      <c r="BM133" s="1320"/>
      <c r="BN133" s="1156"/>
      <c r="BO133" s="1039"/>
      <c r="BP133" s="1036"/>
      <c r="BQ133" s="1117"/>
      <c r="BR133" s="1036"/>
      <c r="BS133" s="1324"/>
      <c r="BT133" s="908"/>
      <c r="BU133" s="1036"/>
      <c r="BV133" s="1039"/>
      <c r="BW133" s="1121"/>
      <c r="BX133" s="1039"/>
      <c r="BY133" s="1320"/>
      <c r="BZ133" s="1156"/>
      <c r="CA133" s="1039"/>
      <c r="CB133" s="1131"/>
      <c r="CC133" s="1036"/>
      <c r="CD133" s="1036"/>
      <c r="CE133" s="1036"/>
      <c r="CF133" s="1036"/>
      <c r="CG133" s="1036"/>
      <c r="CH133" s="1036"/>
      <c r="CI133" s="1036"/>
      <c r="CJ133" s="1036"/>
      <c r="CK133" s="1036"/>
    </row>
    <row r="134" spans="1:89" s="957" customFormat="1" ht="14.25">
      <c r="A134" s="1114"/>
      <c r="B134" s="1115"/>
      <c r="C134" s="1116"/>
      <c r="D134" s="1147"/>
      <c r="E134" s="1114"/>
      <c r="F134" s="1117"/>
      <c r="G134" s="1117"/>
      <c r="H134" s="1118"/>
      <c r="I134" s="1114"/>
      <c r="J134" s="1118"/>
      <c r="K134" s="1410"/>
      <c r="L134" s="1118"/>
      <c r="M134" s="1410"/>
      <c r="N134" s="1410"/>
      <c r="O134" s="1036"/>
      <c r="P134" s="1036"/>
      <c r="Q134" s="1036"/>
      <c r="R134" s="1036"/>
      <c r="S134" s="1036"/>
      <c r="T134" s="1118"/>
      <c r="U134" s="1280"/>
      <c r="V134" s="1118"/>
      <c r="W134" s="1280"/>
      <c r="X134" s="908"/>
      <c r="Y134" s="1036"/>
      <c r="Z134" s="1120"/>
      <c r="AA134" s="1121"/>
      <c r="AB134" s="1120"/>
      <c r="AC134" s="1320"/>
      <c r="AD134" s="1156"/>
      <c r="AE134" s="1039"/>
      <c r="AF134" s="1118"/>
      <c r="AG134" s="1117"/>
      <c r="AH134" s="1118"/>
      <c r="AI134" s="1324"/>
      <c r="AJ134" s="908"/>
      <c r="AK134" s="1036"/>
      <c r="AL134" s="1120"/>
      <c r="AM134" s="1121"/>
      <c r="AN134" s="1120"/>
      <c r="AO134" s="1320"/>
      <c r="AP134" s="1156"/>
      <c r="AQ134" s="1039"/>
      <c r="AR134" s="1118"/>
      <c r="AS134" s="1117"/>
      <c r="AT134" s="1118"/>
      <c r="AU134" s="1324"/>
      <c r="AV134" s="908"/>
      <c r="AW134" s="1036"/>
      <c r="AX134" s="1120"/>
      <c r="AY134" s="1121"/>
      <c r="AZ134" s="1120"/>
      <c r="BA134" s="1320"/>
      <c r="BB134" s="1156"/>
      <c r="BC134" s="1039"/>
      <c r="BD134" s="1036"/>
      <c r="BE134" s="1117"/>
      <c r="BF134" s="1118"/>
      <c r="BG134" s="1324"/>
      <c r="BH134" s="908"/>
      <c r="BI134" s="1036"/>
      <c r="BJ134" s="1039"/>
      <c r="BK134" s="1121"/>
      <c r="BL134" s="1120"/>
      <c r="BM134" s="1320"/>
      <c r="BN134" s="1156"/>
      <c r="BO134" s="1039"/>
      <c r="BP134" s="1036"/>
      <c r="BQ134" s="1117"/>
      <c r="BR134" s="1036"/>
      <c r="BS134" s="1324"/>
      <c r="BT134" s="908"/>
      <c r="BU134" s="1036"/>
      <c r="BV134" s="1039"/>
      <c r="BW134" s="1121"/>
      <c r="BX134" s="1039"/>
      <c r="BY134" s="1320"/>
      <c r="BZ134" s="1156"/>
      <c r="CA134" s="1039"/>
      <c r="CB134" s="1131"/>
      <c r="CC134" s="1036"/>
      <c r="CD134" s="1036"/>
      <c r="CE134" s="1036"/>
      <c r="CF134" s="1036"/>
      <c r="CG134" s="1036"/>
      <c r="CH134" s="1036"/>
      <c r="CI134" s="1036"/>
      <c r="CJ134" s="1036"/>
      <c r="CK134" s="1036"/>
    </row>
    <row r="135" spans="1:89" s="957" customFormat="1" ht="14.25">
      <c r="A135" s="1114"/>
      <c r="B135" s="1115"/>
      <c r="C135" s="1116"/>
      <c r="D135" s="1147"/>
      <c r="E135" s="1114"/>
      <c r="F135" s="1117"/>
      <c r="G135" s="1117"/>
      <c r="H135" s="1118"/>
      <c r="I135" s="1114"/>
      <c r="J135" s="1118"/>
      <c r="K135" s="1410"/>
      <c r="L135" s="1118"/>
      <c r="M135" s="1410"/>
      <c r="N135" s="1410"/>
      <c r="O135" s="1036"/>
      <c r="P135" s="1036"/>
      <c r="Q135" s="1036"/>
      <c r="R135" s="1036"/>
      <c r="S135" s="1036"/>
      <c r="T135" s="1118"/>
      <c r="U135" s="1280"/>
      <c r="V135" s="1118"/>
      <c r="W135" s="1280"/>
      <c r="X135" s="908"/>
      <c r="Y135" s="1036"/>
      <c r="Z135" s="1120"/>
      <c r="AA135" s="1121"/>
      <c r="AB135" s="1120"/>
      <c r="AC135" s="1320"/>
      <c r="AD135" s="1156"/>
      <c r="AE135" s="1039"/>
      <c r="AF135" s="1118"/>
      <c r="AG135" s="1117"/>
      <c r="AH135" s="1118"/>
      <c r="AI135" s="1324"/>
      <c r="AJ135" s="908"/>
      <c r="AK135" s="1036"/>
      <c r="AL135" s="1120"/>
      <c r="AM135" s="1121"/>
      <c r="AN135" s="1120"/>
      <c r="AO135" s="1320"/>
      <c r="AP135" s="1156"/>
      <c r="AQ135" s="1039"/>
      <c r="AR135" s="1118"/>
      <c r="AS135" s="1117"/>
      <c r="AT135" s="1118"/>
      <c r="AU135" s="1324"/>
      <c r="AV135" s="908"/>
      <c r="AW135" s="1036"/>
      <c r="AX135" s="1120"/>
      <c r="AY135" s="1121"/>
      <c r="AZ135" s="1120"/>
      <c r="BA135" s="1320"/>
      <c r="BB135" s="1156"/>
      <c r="BC135" s="1039"/>
      <c r="BD135" s="1036"/>
      <c r="BE135" s="1117"/>
      <c r="BF135" s="1118"/>
      <c r="BG135" s="1324"/>
      <c r="BH135" s="908"/>
      <c r="BI135" s="1036"/>
      <c r="BJ135" s="1039"/>
      <c r="BK135" s="1121"/>
      <c r="BL135" s="1120"/>
      <c r="BM135" s="1320"/>
      <c r="BN135" s="1156"/>
      <c r="BO135" s="1039"/>
      <c r="BP135" s="1036"/>
      <c r="BQ135" s="1117"/>
      <c r="BR135" s="1036"/>
      <c r="BS135" s="1324"/>
      <c r="BT135" s="908"/>
      <c r="BU135" s="1036"/>
      <c r="BV135" s="1039"/>
      <c r="BW135" s="1121"/>
      <c r="BX135" s="1039"/>
      <c r="BY135" s="1320"/>
      <c r="BZ135" s="1156"/>
      <c r="CA135" s="1039"/>
      <c r="CB135" s="1131"/>
      <c r="CC135" s="1036"/>
      <c r="CD135" s="1036"/>
      <c r="CE135" s="1036"/>
      <c r="CF135" s="1036"/>
      <c r="CG135" s="1036"/>
      <c r="CH135" s="1036"/>
      <c r="CI135" s="1036"/>
      <c r="CJ135" s="1036"/>
      <c r="CK135" s="1036"/>
    </row>
    <row r="136" spans="1:89" s="957" customFormat="1" ht="14.25">
      <c r="A136" s="1114"/>
      <c r="B136" s="1115"/>
      <c r="C136" s="1116"/>
      <c r="D136" s="1147"/>
      <c r="E136" s="1114"/>
      <c r="F136" s="1117"/>
      <c r="G136" s="1117"/>
      <c r="H136" s="1118"/>
      <c r="I136" s="1114"/>
      <c r="J136" s="1118"/>
      <c r="K136" s="1410"/>
      <c r="L136" s="1118"/>
      <c r="M136" s="1410"/>
      <c r="N136" s="1410"/>
      <c r="O136" s="1036"/>
      <c r="P136" s="1036"/>
      <c r="Q136" s="1036"/>
      <c r="R136" s="1036"/>
      <c r="S136" s="1036"/>
      <c r="T136" s="1118"/>
      <c r="U136" s="1280"/>
      <c r="V136" s="1118"/>
      <c r="W136" s="1280"/>
      <c r="X136" s="908"/>
      <c r="Y136" s="1036"/>
      <c r="Z136" s="1120"/>
      <c r="AA136" s="1121"/>
      <c r="AB136" s="1120"/>
      <c r="AC136" s="1320"/>
      <c r="AD136" s="1156"/>
      <c r="AE136" s="1039"/>
      <c r="AF136" s="1118"/>
      <c r="AG136" s="1117"/>
      <c r="AH136" s="1118"/>
      <c r="AI136" s="1324"/>
      <c r="AJ136" s="908"/>
      <c r="AK136" s="1036"/>
      <c r="AL136" s="1120"/>
      <c r="AM136" s="1121"/>
      <c r="AN136" s="1120"/>
      <c r="AO136" s="1320"/>
      <c r="AP136" s="1156"/>
      <c r="AQ136" s="1039"/>
      <c r="AR136" s="1118"/>
      <c r="AS136" s="1117"/>
      <c r="AT136" s="1118"/>
      <c r="AU136" s="1324"/>
      <c r="AV136" s="908"/>
      <c r="AW136" s="1036"/>
      <c r="AX136" s="1120"/>
      <c r="AY136" s="1121"/>
      <c r="AZ136" s="1120"/>
      <c r="BA136" s="1320"/>
      <c r="BB136" s="1156"/>
      <c r="BC136" s="1039"/>
      <c r="BD136" s="1036"/>
      <c r="BE136" s="1117"/>
      <c r="BF136" s="1118"/>
      <c r="BG136" s="1324"/>
      <c r="BH136" s="908"/>
      <c r="BI136" s="1036"/>
      <c r="BJ136" s="1039"/>
      <c r="BK136" s="1121"/>
      <c r="BL136" s="1120"/>
      <c r="BM136" s="1320"/>
      <c r="BN136" s="1156"/>
      <c r="BO136" s="1039"/>
      <c r="BP136" s="1036"/>
      <c r="BQ136" s="1117"/>
      <c r="BR136" s="1036"/>
      <c r="BS136" s="1324"/>
      <c r="BT136" s="908"/>
      <c r="BU136" s="1036"/>
      <c r="BV136" s="1039"/>
      <c r="BW136" s="1121"/>
      <c r="BX136" s="1039"/>
      <c r="BY136" s="1320"/>
      <c r="BZ136" s="1156"/>
      <c r="CA136" s="1039"/>
      <c r="CB136" s="1131"/>
      <c r="CC136" s="1036"/>
      <c r="CD136" s="1036"/>
      <c r="CE136" s="1036"/>
      <c r="CF136" s="1036"/>
      <c r="CG136" s="1036"/>
      <c r="CH136" s="1036"/>
      <c r="CI136" s="1036"/>
      <c r="CJ136" s="1036"/>
      <c r="CK136" s="1036"/>
    </row>
    <row r="137" spans="1:89" s="957" customFormat="1" ht="14.25">
      <c r="A137" s="1114"/>
      <c r="B137" s="1115"/>
      <c r="C137" s="1116"/>
      <c r="D137" s="1147"/>
      <c r="E137" s="1114"/>
      <c r="F137" s="1117"/>
      <c r="G137" s="1117"/>
      <c r="H137" s="1118"/>
      <c r="I137" s="1114"/>
      <c r="J137" s="1118"/>
      <c r="K137" s="1410"/>
      <c r="L137" s="1118"/>
      <c r="M137" s="1410"/>
      <c r="N137" s="1410"/>
      <c r="O137" s="1036"/>
      <c r="P137" s="1036"/>
      <c r="Q137" s="1036"/>
      <c r="R137" s="1036"/>
      <c r="S137" s="1036"/>
      <c r="T137" s="1118"/>
      <c r="U137" s="1280"/>
      <c r="V137" s="1118"/>
      <c r="W137" s="1280"/>
      <c r="X137" s="908"/>
      <c r="Y137" s="1036"/>
      <c r="Z137" s="1120"/>
      <c r="AA137" s="1121"/>
      <c r="AB137" s="1120"/>
      <c r="AC137" s="1320"/>
      <c r="AD137" s="1156"/>
      <c r="AE137" s="1039"/>
      <c r="AF137" s="1118"/>
      <c r="AG137" s="1117"/>
      <c r="AH137" s="1118"/>
      <c r="AI137" s="1324"/>
      <c r="AJ137" s="908"/>
      <c r="AK137" s="1036"/>
      <c r="AL137" s="1120"/>
      <c r="AM137" s="1121"/>
      <c r="AN137" s="1120"/>
      <c r="AO137" s="1320"/>
      <c r="AP137" s="1156"/>
      <c r="AQ137" s="1039"/>
      <c r="AR137" s="1118"/>
      <c r="AS137" s="1117"/>
      <c r="AT137" s="1118"/>
      <c r="AU137" s="1324"/>
      <c r="AV137" s="908"/>
      <c r="AW137" s="1036"/>
      <c r="AX137" s="1120"/>
      <c r="AY137" s="1121"/>
      <c r="AZ137" s="1120"/>
      <c r="BA137" s="1320"/>
      <c r="BB137" s="1156"/>
      <c r="BC137" s="1039"/>
      <c r="BD137" s="1036"/>
      <c r="BE137" s="1117"/>
      <c r="BF137" s="1118"/>
      <c r="BG137" s="1324"/>
      <c r="BH137" s="908"/>
      <c r="BI137" s="1036"/>
      <c r="BJ137" s="1039"/>
      <c r="BK137" s="1121"/>
      <c r="BL137" s="1120"/>
      <c r="BM137" s="1320"/>
      <c r="BN137" s="1156"/>
      <c r="BO137" s="1039"/>
      <c r="BP137" s="1036"/>
      <c r="BQ137" s="1117"/>
      <c r="BR137" s="1036"/>
      <c r="BS137" s="1324"/>
      <c r="BT137" s="908"/>
      <c r="BU137" s="1036"/>
      <c r="BV137" s="1039"/>
      <c r="BW137" s="1121"/>
      <c r="BX137" s="1039"/>
      <c r="BY137" s="1320"/>
      <c r="BZ137" s="1156"/>
      <c r="CA137" s="1039"/>
      <c r="CB137" s="1131"/>
      <c r="CC137" s="1036"/>
      <c r="CD137" s="1036"/>
      <c r="CE137" s="1036"/>
      <c r="CF137" s="1036"/>
      <c r="CG137" s="1036"/>
      <c r="CH137" s="1036"/>
      <c r="CI137" s="1036"/>
      <c r="CJ137" s="1036"/>
      <c r="CK137" s="1036"/>
    </row>
    <row r="138" spans="1:89" s="957" customFormat="1" ht="14.25">
      <c r="A138" s="1114"/>
      <c r="B138" s="1115"/>
      <c r="C138" s="1116"/>
      <c r="D138" s="1147"/>
      <c r="E138" s="1114"/>
      <c r="F138" s="1117"/>
      <c r="G138" s="1117"/>
      <c r="H138" s="1118"/>
      <c r="I138" s="1114"/>
      <c r="J138" s="1118"/>
      <c r="K138" s="1410"/>
      <c r="L138" s="1118"/>
      <c r="M138" s="1410"/>
      <c r="N138" s="1410"/>
      <c r="O138" s="1036"/>
      <c r="P138" s="1036"/>
      <c r="Q138" s="1036"/>
      <c r="R138" s="1036"/>
      <c r="S138" s="1036"/>
      <c r="T138" s="1118"/>
      <c r="U138" s="1280"/>
      <c r="V138" s="1118"/>
      <c r="W138" s="1280"/>
      <c r="X138" s="908"/>
      <c r="Y138" s="1036"/>
      <c r="Z138" s="1120"/>
      <c r="AA138" s="1121"/>
      <c r="AB138" s="1120"/>
      <c r="AC138" s="1320"/>
      <c r="AD138" s="1156"/>
      <c r="AE138" s="1039"/>
      <c r="AF138" s="1118"/>
      <c r="AG138" s="1117"/>
      <c r="AH138" s="1118"/>
      <c r="AI138" s="1324"/>
      <c r="AJ138" s="908"/>
      <c r="AK138" s="1036"/>
      <c r="AL138" s="1120"/>
      <c r="AM138" s="1121"/>
      <c r="AN138" s="1120"/>
      <c r="AO138" s="1320"/>
      <c r="AP138" s="1156"/>
      <c r="AQ138" s="1039"/>
      <c r="AR138" s="1118"/>
      <c r="AS138" s="1117"/>
      <c r="AT138" s="1118"/>
      <c r="AU138" s="1324"/>
      <c r="AV138" s="908"/>
      <c r="AW138" s="1036"/>
      <c r="AX138" s="1120"/>
      <c r="AY138" s="1121"/>
      <c r="AZ138" s="1120"/>
      <c r="BA138" s="1320"/>
      <c r="BB138" s="1156"/>
      <c r="BC138" s="1039"/>
      <c r="BD138" s="1036"/>
      <c r="BE138" s="1117"/>
      <c r="BF138" s="1118"/>
      <c r="BG138" s="1324"/>
      <c r="BH138" s="908"/>
      <c r="BI138" s="1036"/>
      <c r="BJ138" s="1039"/>
      <c r="BK138" s="1121"/>
      <c r="BL138" s="1120"/>
      <c r="BM138" s="1320"/>
      <c r="BN138" s="1156"/>
      <c r="BO138" s="1039"/>
      <c r="BP138" s="1036"/>
      <c r="BQ138" s="1117"/>
      <c r="BR138" s="1036"/>
      <c r="BS138" s="1324"/>
      <c r="BT138" s="908"/>
      <c r="BU138" s="1036"/>
      <c r="BV138" s="1039"/>
      <c r="BW138" s="1121"/>
      <c r="BX138" s="1039"/>
      <c r="BY138" s="1320"/>
      <c r="BZ138" s="1156"/>
      <c r="CA138" s="1039"/>
      <c r="CB138" s="1131"/>
      <c r="CC138" s="1036"/>
      <c r="CD138" s="1036"/>
      <c r="CE138" s="1036"/>
      <c r="CF138" s="1036"/>
      <c r="CG138" s="1036"/>
      <c r="CH138" s="1036"/>
      <c r="CI138" s="1036"/>
      <c r="CJ138" s="1036"/>
      <c r="CK138" s="1036"/>
    </row>
    <row r="139" spans="1:89" s="957" customFormat="1" ht="14.25">
      <c r="A139" s="1114"/>
      <c r="B139" s="1115"/>
      <c r="C139" s="1116"/>
      <c r="D139" s="1147"/>
      <c r="E139" s="1114"/>
      <c r="F139" s="1117"/>
      <c r="G139" s="1117"/>
      <c r="H139" s="1118"/>
      <c r="I139" s="1114"/>
      <c r="J139" s="1118"/>
      <c r="K139" s="1410"/>
      <c r="L139" s="1118"/>
      <c r="M139" s="1410"/>
      <c r="N139" s="1410"/>
      <c r="O139" s="1036"/>
      <c r="P139" s="1036"/>
      <c r="Q139" s="1036"/>
      <c r="R139" s="1036"/>
      <c r="S139" s="1036"/>
      <c r="T139" s="1118"/>
      <c r="U139" s="1280"/>
      <c r="V139" s="1118"/>
      <c r="W139" s="1280"/>
      <c r="X139" s="908"/>
      <c r="Y139" s="1036"/>
      <c r="Z139" s="1120"/>
      <c r="AA139" s="1121"/>
      <c r="AB139" s="1120"/>
      <c r="AC139" s="1320"/>
      <c r="AD139" s="1156"/>
      <c r="AE139" s="1039"/>
      <c r="AF139" s="1118"/>
      <c r="AG139" s="1117"/>
      <c r="AH139" s="1118"/>
      <c r="AI139" s="1324"/>
      <c r="AJ139" s="908"/>
      <c r="AK139" s="1036"/>
      <c r="AL139" s="1120"/>
      <c r="AM139" s="1121"/>
      <c r="AN139" s="1120"/>
      <c r="AO139" s="1320"/>
      <c r="AP139" s="1156"/>
      <c r="AQ139" s="1039"/>
      <c r="AR139" s="1118"/>
      <c r="AS139" s="1117"/>
      <c r="AT139" s="1118"/>
      <c r="AU139" s="1324"/>
      <c r="AV139" s="908"/>
      <c r="AW139" s="1036"/>
      <c r="AX139" s="1120"/>
      <c r="AY139" s="1121"/>
      <c r="AZ139" s="1120"/>
      <c r="BA139" s="1320"/>
      <c r="BB139" s="1156"/>
      <c r="BC139" s="1039"/>
      <c r="BD139" s="1036"/>
      <c r="BE139" s="1117"/>
      <c r="BF139" s="1118"/>
      <c r="BG139" s="1324"/>
      <c r="BH139" s="908"/>
      <c r="BI139" s="1036"/>
      <c r="BJ139" s="1039"/>
      <c r="BK139" s="1121"/>
      <c r="BL139" s="1120"/>
      <c r="BM139" s="1320"/>
      <c r="BN139" s="1156"/>
      <c r="BO139" s="1039"/>
      <c r="BP139" s="1036"/>
      <c r="BQ139" s="1117"/>
      <c r="BR139" s="1036"/>
      <c r="BS139" s="1324"/>
      <c r="BT139" s="908"/>
      <c r="BU139" s="1036"/>
      <c r="BV139" s="1039"/>
      <c r="BW139" s="1121"/>
      <c r="BX139" s="1039"/>
      <c r="BY139" s="1320"/>
      <c r="BZ139" s="1156"/>
      <c r="CA139" s="1039"/>
      <c r="CB139" s="1131"/>
      <c r="CC139" s="1036"/>
      <c r="CD139" s="1036"/>
      <c r="CE139" s="1036"/>
      <c r="CF139" s="1036"/>
      <c r="CG139" s="1036"/>
      <c r="CH139" s="1036"/>
      <c r="CI139" s="1036"/>
      <c r="CJ139" s="1036"/>
      <c r="CK139" s="1036"/>
    </row>
    <row r="140" spans="1:89" s="957" customFormat="1" ht="14.25">
      <c r="A140" s="1114"/>
      <c r="B140" s="1115"/>
      <c r="C140" s="1116"/>
      <c r="D140" s="1147"/>
      <c r="E140" s="1114"/>
      <c r="F140" s="1117"/>
      <c r="G140" s="1117"/>
      <c r="H140" s="1118"/>
      <c r="I140" s="1114"/>
      <c r="J140" s="1118"/>
      <c r="K140" s="1410"/>
      <c r="L140" s="1118"/>
      <c r="M140" s="1410"/>
      <c r="N140" s="1410"/>
      <c r="O140" s="1036"/>
      <c r="P140" s="1036"/>
      <c r="Q140" s="1036"/>
      <c r="R140" s="1036"/>
      <c r="S140" s="1036"/>
      <c r="T140" s="1118"/>
      <c r="U140" s="1280"/>
      <c r="V140" s="1118"/>
      <c r="W140" s="1280"/>
      <c r="X140" s="908"/>
      <c r="Y140" s="1036"/>
      <c r="Z140" s="1120"/>
      <c r="AA140" s="1121"/>
      <c r="AB140" s="1120"/>
      <c r="AC140" s="1320"/>
      <c r="AD140" s="1156"/>
      <c r="AE140" s="1039"/>
      <c r="AF140" s="1118"/>
      <c r="AG140" s="1117"/>
      <c r="AH140" s="1118"/>
      <c r="AI140" s="1324"/>
      <c r="AJ140" s="908"/>
      <c r="AK140" s="1036"/>
      <c r="AL140" s="1120"/>
      <c r="AM140" s="1121"/>
      <c r="AN140" s="1120"/>
      <c r="AO140" s="1320"/>
      <c r="AP140" s="1156"/>
      <c r="AQ140" s="1039"/>
      <c r="AR140" s="1118"/>
      <c r="AS140" s="1117"/>
      <c r="AT140" s="1118"/>
      <c r="AU140" s="1324"/>
      <c r="AV140" s="908"/>
      <c r="AW140" s="1036"/>
      <c r="AX140" s="1120"/>
      <c r="AY140" s="1121"/>
      <c r="AZ140" s="1120"/>
      <c r="BA140" s="1320"/>
      <c r="BB140" s="1156"/>
      <c r="BC140" s="1039"/>
      <c r="BD140" s="1036"/>
      <c r="BE140" s="1117"/>
      <c r="BF140" s="1118"/>
      <c r="BG140" s="1324"/>
      <c r="BH140" s="908"/>
      <c r="BI140" s="1036"/>
      <c r="BJ140" s="1039"/>
      <c r="BK140" s="1121"/>
      <c r="BL140" s="1120"/>
      <c r="BM140" s="1320"/>
      <c r="BN140" s="1156"/>
      <c r="BO140" s="1039"/>
      <c r="BP140" s="1036"/>
      <c r="BQ140" s="1117"/>
      <c r="BR140" s="1036"/>
      <c r="BS140" s="1324"/>
      <c r="BT140" s="908"/>
      <c r="BU140" s="1036"/>
      <c r="BV140" s="1039"/>
      <c r="BW140" s="1121"/>
      <c r="BX140" s="1039"/>
      <c r="BY140" s="1320"/>
      <c r="BZ140" s="1156"/>
      <c r="CA140" s="1039"/>
      <c r="CB140" s="1131"/>
      <c r="CC140" s="1036"/>
      <c r="CD140" s="1036"/>
      <c r="CE140" s="1036"/>
      <c r="CF140" s="1036"/>
      <c r="CG140" s="1036"/>
      <c r="CH140" s="1036"/>
      <c r="CI140" s="1036"/>
      <c r="CJ140" s="1036"/>
      <c r="CK140" s="1036"/>
    </row>
    <row r="141" spans="1:89" s="957" customFormat="1" ht="14.25">
      <c r="A141" s="1114"/>
      <c r="B141" s="1115"/>
      <c r="C141" s="1116"/>
      <c r="D141" s="1147"/>
      <c r="E141" s="1114"/>
      <c r="F141" s="1117"/>
      <c r="G141" s="1117"/>
      <c r="H141" s="1118"/>
      <c r="I141" s="1114"/>
      <c r="J141" s="1118"/>
      <c r="K141" s="1410"/>
      <c r="L141" s="1118"/>
      <c r="M141" s="1410"/>
      <c r="N141" s="1410"/>
      <c r="O141" s="1036"/>
      <c r="P141" s="1036"/>
      <c r="Q141" s="1036"/>
      <c r="R141" s="1036"/>
      <c r="S141" s="1036"/>
      <c r="T141" s="1118"/>
      <c r="U141" s="1280"/>
      <c r="V141" s="1118"/>
      <c r="W141" s="1280"/>
      <c r="X141" s="908"/>
      <c r="Y141" s="1036"/>
      <c r="Z141" s="1120"/>
      <c r="AA141" s="1121"/>
      <c r="AB141" s="1120"/>
      <c r="AC141" s="1320"/>
      <c r="AD141" s="1156"/>
      <c r="AE141" s="1039"/>
      <c r="AF141" s="1118"/>
      <c r="AG141" s="1117"/>
      <c r="AH141" s="1118"/>
      <c r="AI141" s="1324"/>
      <c r="AJ141" s="908"/>
      <c r="AK141" s="1036"/>
      <c r="AL141" s="1120"/>
      <c r="AM141" s="1121"/>
      <c r="AN141" s="1120"/>
      <c r="AO141" s="1320"/>
      <c r="AP141" s="1156"/>
      <c r="AQ141" s="1039"/>
      <c r="AR141" s="1118"/>
      <c r="AS141" s="1117"/>
      <c r="AT141" s="1118"/>
      <c r="AU141" s="1324"/>
      <c r="AV141" s="908"/>
      <c r="AW141" s="1036"/>
      <c r="AX141" s="1120"/>
      <c r="AY141" s="1121"/>
      <c r="AZ141" s="1120"/>
      <c r="BA141" s="1320"/>
      <c r="BB141" s="1156"/>
      <c r="BC141" s="1039"/>
      <c r="BD141" s="1036"/>
      <c r="BE141" s="1117"/>
      <c r="BF141" s="1118"/>
      <c r="BG141" s="1324"/>
      <c r="BH141" s="908"/>
      <c r="BI141" s="1036"/>
      <c r="BJ141" s="1039"/>
      <c r="BK141" s="1121"/>
      <c r="BL141" s="1120"/>
      <c r="BM141" s="1320"/>
      <c r="BN141" s="1156"/>
      <c r="BO141" s="1039"/>
      <c r="BP141" s="1036"/>
      <c r="BQ141" s="1117"/>
      <c r="BR141" s="1036"/>
      <c r="BS141" s="1324"/>
      <c r="BT141" s="908"/>
      <c r="BU141" s="1036"/>
      <c r="BV141" s="1039"/>
      <c r="BW141" s="1121"/>
      <c r="BX141" s="1039"/>
      <c r="BY141" s="1320"/>
      <c r="BZ141" s="1156"/>
      <c r="CA141" s="1039"/>
      <c r="CB141" s="1131"/>
      <c r="CC141" s="1036"/>
      <c r="CD141" s="1036"/>
      <c r="CE141" s="1036"/>
      <c r="CF141" s="1036"/>
      <c r="CG141" s="1036"/>
      <c r="CH141" s="1036"/>
      <c r="CI141" s="1036"/>
      <c r="CJ141" s="1036"/>
      <c r="CK141" s="1036"/>
    </row>
    <row r="142" spans="1:89" s="957" customFormat="1" ht="14.25">
      <c r="A142" s="1114"/>
      <c r="B142" s="1115"/>
      <c r="C142" s="1116"/>
      <c r="D142" s="1147"/>
      <c r="E142" s="1114"/>
      <c r="F142" s="1117"/>
      <c r="G142" s="1117"/>
      <c r="H142" s="1118"/>
      <c r="I142" s="1114"/>
      <c r="J142" s="1118"/>
      <c r="K142" s="1410"/>
      <c r="L142" s="1118"/>
      <c r="M142" s="1410"/>
      <c r="N142" s="1410"/>
      <c r="O142" s="1036"/>
      <c r="P142" s="1036"/>
      <c r="Q142" s="1036"/>
      <c r="R142" s="1036"/>
      <c r="S142" s="1036"/>
      <c r="T142" s="1118"/>
      <c r="U142" s="1280"/>
      <c r="V142" s="1118"/>
      <c r="W142" s="1280"/>
      <c r="X142" s="908"/>
      <c r="Y142" s="1036"/>
      <c r="Z142" s="1120"/>
      <c r="AA142" s="1121"/>
      <c r="AB142" s="1120"/>
      <c r="AC142" s="1320"/>
      <c r="AD142" s="1156"/>
      <c r="AE142" s="1039"/>
      <c r="AF142" s="1118"/>
      <c r="AG142" s="1117"/>
      <c r="AH142" s="1118"/>
      <c r="AI142" s="1324"/>
      <c r="AJ142" s="908"/>
      <c r="AK142" s="1036"/>
      <c r="AL142" s="1120"/>
      <c r="AM142" s="1121"/>
      <c r="AN142" s="1120"/>
      <c r="AO142" s="1320"/>
      <c r="AP142" s="1156"/>
      <c r="AQ142" s="1039"/>
      <c r="AR142" s="1118"/>
      <c r="AS142" s="1117"/>
      <c r="AT142" s="1118"/>
      <c r="AU142" s="1324"/>
      <c r="AV142" s="908"/>
      <c r="AW142" s="1036"/>
      <c r="AX142" s="1120"/>
      <c r="AY142" s="1121"/>
      <c r="AZ142" s="1120"/>
      <c r="BA142" s="1320"/>
      <c r="BB142" s="1156"/>
      <c r="BC142" s="1039"/>
      <c r="BD142" s="1036"/>
      <c r="BE142" s="1117"/>
      <c r="BF142" s="1118"/>
      <c r="BG142" s="1324"/>
      <c r="BH142" s="908"/>
      <c r="BI142" s="1036"/>
      <c r="BJ142" s="1039"/>
      <c r="BK142" s="1121"/>
      <c r="BL142" s="1120"/>
      <c r="BM142" s="1320"/>
      <c r="BN142" s="1156"/>
      <c r="BO142" s="1039"/>
      <c r="BP142" s="1036"/>
      <c r="BQ142" s="1117"/>
      <c r="BR142" s="1036"/>
      <c r="BS142" s="1324"/>
      <c r="BT142" s="908"/>
      <c r="BU142" s="1036"/>
      <c r="BV142" s="1039"/>
      <c r="BW142" s="1121"/>
      <c r="BX142" s="1039"/>
      <c r="BY142" s="1320"/>
      <c r="BZ142" s="1156"/>
      <c r="CA142" s="1039"/>
      <c r="CB142" s="1131"/>
      <c r="CC142" s="1036"/>
      <c r="CD142" s="1036"/>
      <c r="CE142" s="1036"/>
      <c r="CF142" s="1036"/>
      <c r="CG142" s="1036"/>
      <c r="CH142" s="1036"/>
      <c r="CI142" s="1036"/>
      <c r="CJ142" s="1036"/>
      <c r="CK142" s="1036"/>
    </row>
    <row r="143" spans="1:89" s="957" customFormat="1" ht="14.25">
      <c r="A143" s="1114"/>
      <c r="B143" s="1115"/>
      <c r="C143" s="1116"/>
      <c r="D143" s="1147"/>
      <c r="E143" s="1114"/>
      <c r="F143" s="1117"/>
      <c r="G143" s="1117"/>
      <c r="H143" s="1118"/>
      <c r="I143" s="1114"/>
      <c r="J143" s="1118"/>
      <c r="K143" s="1410"/>
      <c r="L143" s="1118"/>
      <c r="M143" s="1410"/>
      <c r="N143" s="1410"/>
      <c r="O143" s="1036"/>
      <c r="P143" s="1036"/>
      <c r="Q143" s="1036"/>
      <c r="R143" s="1036"/>
      <c r="S143" s="1036"/>
      <c r="T143" s="1118"/>
      <c r="U143" s="1280"/>
      <c r="V143" s="1118"/>
      <c r="W143" s="1280"/>
      <c r="X143" s="908"/>
      <c r="Y143" s="1036"/>
      <c r="Z143" s="1120"/>
      <c r="AA143" s="1121"/>
      <c r="AB143" s="1120"/>
      <c r="AC143" s="1320"/>
      <c r="AD143" s="1156"/>
      <c r="AE143" s="1039"/>
      <c r="AF143" s="1118"/>
      <c r="AG143" s="1117"/>
      <c r="AH143" s="1118"/>
      <c r="AI143" s="1324"/>
      <c r="AJ143" s="908"/>
      <c r="AK143" s="1036"/>
      <c r="AL143" s="1120"/>
      <c r="AM143" s="1121"/>
      <c r="AN143" s="1120"/>
      <c r="AO143" s="1320"/>
      <c r="AP143" s="1156"/>
      <c r="AQ143" s="1039"/>
      <c r="AR143" s="1118"/>
      <c r="AS143" s="1117"/>
      <c r="AT143" s="1118"/>
      <c r="AU143" s="1324"/>
      <c r="AV143" s="908"/>
      <c r="AW143" s="1036"/>
      <c r="AX143" s="1120"/>
      <c r="AY143" s="1121"/>
      <c r="AZ143" s="1120"/>
      <c r="BA143" s="1320"/>
      <c r="BB143" s="1156"/>
      <c r="BC143" s="1039"/>
      <c r="BD143" s="1036"/>
      <c r="BE143" s="1117"/>
      <c r="BF143" s="1118"/>
      <c r="BG143" s="1324"/>
      <c r="BH143" s="908"/>
      <c r="BI143" s="1036"/>
      <c r="BJ143" s="1039"/>
      <c r="BK143" s="1121"/>
      <c r="BL143" s="1120"/>
      <c r="BM143" s="1320"/>
      <c r="BN143" s="1156"/>
      <c r="BO143" s="1039"/>
      <c r="BP143" s="1036"/>
      <c r="BQ143" s="1117"/>
      <c r="BR143" s="1036"/>
      <c r="BS143" s="1324"/>
      <c r="BT143" s="908"/>
      <c r="BU143" s="1036"/>
      <c r="BV143" s="1039"/>
      <c r="BW143" s="1121"/>
      <c r="BX143" s="1039"/>
      <c r="BY143" s="1320"/>
      <c r="BZ143" s="1156"/>
      <c r="CA143" s="1039"/>
      <c r="CB143" s="1131"/>
      <c r="CC143" s="1036"/>
      <c r="CD143" s="1036"/>
      <c r="CE143" s="1036"/>
      <c r="CF143" s="1036"/>
      <c r="CG143" s="1036"/>
      <c r="CH143" s="1036"/>
      <c r="CI143" s="1036"/>
      <c r="CJ143" s="1036"/>
      <c r="CK143" s="1036"/>
    </row>
    <row r="144" spans="1:89" s="957" customFormat="1" ht="14.25">
      <c r="A144" s="1114"/>
      <c r="B144" s="1115"/>
      <c r="C144" s="1116"/>
      <c r="D144" s="1147"/>
      <c r="E144" s="1114"/>
      <c r="F144" s="1117"/>
      <c r="G144" s="1117"/>
      <c r="H144" s="1118"/>
      <c r="I144" s="1114"/>
      <c r="J144" s="1118"/>
      <c r="K144" s="1410"/>
      <c r="L144" s="1118"/>
      <c r="M144" s="1410"/>
      <c r="N144" s="1410"/>
      <c r="O144" s="1036"/>
      <c r="P144" s="1036"/>
      <c r="Q144" s="1036"/>
      <c r="R144" s="1036"/>
      <c r="S144" s="1036"/>
      <c r="T144" s="1118"/>
      <c r="U144" s="1280"/>
      <c r="V144" s="1118"/>
      <c r="W144" s="1280"/>
      <c r="X144" s="908"/>
      <c r="Y144" s="1036"/>
      <c r="Z144" s="1120"/>
      <c r="AA144" s="1121"/>
      <c r="AB144" s="1120"/>
      <c r="AC144" s="1320"/>
      <c r="AD144" s="1156"/>
      <c r="AE144" s="1039"/>
      <c r="AF144" s="1118"/>
      <c r="AG144" s="1117"/>
      <c r="AH144" s="1118"/>
      <c r="AI144" s="1324"/>
      <c r="AJ144" s="908"/>
      <c r="AK144" s="1036"/>
      <c r="AL144" s="1120"/>
      <c r="AM144" s="1121"/>
      <c r="AN144" s="1120"/>
      <c r="AO144" s="1320"/>
      <c r="AP144" s="1156"/>
      <c r="AQ144" s="1039"/>
      <c r="AR144" s="1118"/>
      <c r="AS144" s="1117"/>
      <c r="AT144" s="1118"/>
      <c r="AU144" s="1324"/>
      <c r="AV144" s="908"/>
      <c r="AW144" s="1036"/>
      <c r="AX144" s="1120"/>
      <c r="AY144" s="1121"/>
      <c r="AZ144" s="1120"/>
      <c r="BA144" s="1320"/>
      <c r="BB144" s="1156"/>
      <c r="BC144" s="1039"/>
      <c r="BD144" s="1036"/>
      <c r="BE144" s="1117"/>
      <c r="BF144" s="1118"/>
      <c r="BG144" s="1324"/>
      <c r="BH144" s="908"/>
      <c r="BI144" s="1036"/>
      <c r="BJ144" s="1039"/>
      <c r="BK144" s="1121"/>
      <c r="BL144" s="1120"/>
      <c r="BM144" s="1320"/>
      <c r="BN144" s="1156"/>
      <c r="BO144" s="1039"/>
      <c r="BP144" s="1036"/>
      <c r="BQ144" s="1117"/>
      <c r="BR144" s="1036"/>
      <c r="BS144" s="1324"/>
      <c r="BT144" s="908"/>
      <c r="BU144" s="1036"/>
      <c r="BV144" s="1039"/>
      <c r="BW144" s="1121"/>
      <c r="BX144" s="1039"/>
      <c r="BY144" s="1320"/>
      <c r="BZ144" s="1156"/>
      <c r="CA144" s="1039"/>
      <c r="CB144" s="1131"/>
      <c r="CC144" s="1036"/>
      <c r="CD144" s="1036"/>
      <c r="CE144" s="1036"/>
      <c r="CF144" s="1036"/>
      <c r="CG144" s="1036"/>
      <c r="CH144" s="1036"/>
      <c r="CI144" s="1036"/>
      <c r="CJ144" s="1036"/>
      <c r="CK144" s="1036"/>
    </row>
    <row r="145" spans="1:89" s="957" customFormat="1" ht="14.25">
      <c r="A145" s="1114"/>
      <c r="B145" s="1115"/>
      <c r="C145" s="1116"/>
      <c r="D145" s="1147"/>
      <c r="E145" s="1114"/>
      <c r="F145" s="1117"/>
      <c r="G145" s="1117"/>
      <c r="H145" s="1118"/>
      <c r="I145" s="1114"/>
      <c r="J145" s="1118"/>
      <c r="K145" s="1410"/>
      <c r="L145" s="1118"/>
      <c r="M145" s="1410"/>
      <c r="N145" s="1410"/>
      <c r="O145" s="1036"/>
      <c r="P145" s="1036"/>
      <c r="Q145" s="1036"/>
      <c r="R145" s="1036"/>
      <c r="S145" s="1036"/>
      <c r="T145" s="1118"/>
      <c r="U145" s="1280"/>
      <c r="V145" s="1118"/>
      <c r="W145" s="1280"/>
      <c r="X145" s="908"/>
      <c r="Y145" s="1036"/>
      <c r="Z145" s="1120"/>
      <c r="AA145" s="1121"/>
      <c r="AB145" s="1120"/>
      <c r="AC145" s="1320"/>
      <c r="AD145" s="1156"/>
      <c r="AE145" s="1039"/>
      <c r="AF145" s="1118"/>
      <c r="AG145" s="1117"/>
      <c r="AH145" s="1118"/>
      <c r="AI145" s="1324"/>
      <c r="AJ145" s="908"/>
      <c r="AK145" s="1036"/>
      <c r="AL145" s="1120"/>
      <c r="AM145" s="1121"/>
      <c r="AN145" s="1120"/>
      <c r="AO145" s="1320"/>
      <c r="AP145" s="1156"/>
      <c r="AQ145" s="1039"/>
      <c r="AR145" s="1118"/>
      <c r="AS145" s="1117"/>
      <c r="AT145" s="1118"/>
      <c r="AU145" s="1324"/>
      <c r="AV145" s="908"/>
      <c r="AW145" s="1036"/>
      <c r="AX145" s="1120"/>
      <c r="AY145" s="1121"/>
      <c r="AZ145" s="1120"/>
      <c r="BA145" s="1320"/>
      <c r="BB145" s="1156"/>
      <c r="BC145" s="1039"/>
      <c r="BD145" s="1036"/>
      <c r="BE145" s="1117"/>
      <c r="BF145" s="1118"/>
      <c r="BG145" s="1324"/>
      <c r="BH145" s="908"/>
      <c r="BI145" s="1036"/>
      <c r="BJ145" s="1039"/>
      <c r="BK145" s="1121"/>
      <c r="BL145" s="1120"/>
      <c r="BM145" s="1320"/>
      <c r="BN145" s="1156"/>
      <c r="BO145" s="1039"/>
      <c r="BP145" s="1036"/>
      <c r="BQ145" s="1117"/>
      <c r="BR145" s="1036"/>
      <c r="BS145" s="1324"/>
      <c r="BT145" s="908"/>
      <c r="BU145" s="1036"/>
      <c r="BV145" s="1039"/>
      <c r="BW145" s="1121"/>
      <c r="BX145" s="1039"/>
      <c r="BY145" s="1320"/>
      <c r="BZ145" s="1156"/>
      <c r="CA145" s="1039"/>
      <c r="CB145" s="1131"/>
      <c r="CC145" s="1036"/>
      <c r="CD145" s="1036"/>
      <c r="CE145" s="1036"/>
      <c r="CF145" s="1036"/>
      <c r="CG145" s="1036"/>
      <c r="CH145" s="1036"/>
      <c r="CI145" s="1036"/>
      <c r="CJ145" s="1036"/>
      <c r="CK145" s="1036"/>
    </row>
    <row r="146" spans="1:89" s="957" customFormat="1" ht="14.25">
      <c r="A146" s="1114"/>
      <c r="B146" s="1115"/>
      <c r="C146" s="1116"/>
      <c r="D146" s="1147"/>
      <c r="E146" s="1114"/>
      <c r="F146" s="1117"/>
      <c r="G146" s="1117"/>
      <c r="H146" s="1118"/>
      <c r="I146" s="1114"/>
      <c r="J146" s="1118"/>
      <c r="K146" s="1410"/>
      <c r="L146" s="1118"/>
      <c r="M146" s="1410"/>
      <c r="N146" s="1410"/>
      <c r="O146" s="1036"/>
      <c r="P146" s="1036"/>
      <c r="Q146" s="1036"/>
      <c r="R146" s="1036"/>
      <c r="S146" s="1036"/>
      <c r="T146" s="1118"/>
      <c r="U146" s="1280"/>
      <c r="V146" s="1118"/>
      <c r="W146" s="1280"/>
      <c r="X146" s="908"/>
      <c r="Y146" s="1036"/>
      <c r="Z146" s="1120"/>
      <c r="AA146" s="1121"/>
      <c r="AB146" s="1120"/>
      <c r="AC146" s="1320"/>
      <c r="AD146" s="1156"/>
      <c r="AE146" s="1039"/>
      <c r="AF146" s="1118"/>
      <c r="AG146" s="1117"/>
      <c r="AH146" s="1118"/>
      <c r="AI146" s="1324"/>
      <c r="AJ146" s="908"/>
      <c r="AK146" s="1036"/>
      <c r="AL146" s="1120"/>
      <c r="AM146" s="1121"/>
      <c r="AN146" s="1120"/>
      <c r="AO146" s="1320"/>
      <c r="AP146" s="1156"/>
      <c r="AQ146" s="1039"/>
      <c r="AR146" s="1118"/>
      <c r="AS146" s="1117"/>
      <c r="AT146" s="1118"/>
      <c r="AU146" s="1324"/>
      <c r="AV146" s="908"/>
      <c r="AW146" s="1036"/>
      <c r="AX146" s="1120"/>
      <c r="AY146" s="1121"/>
      <c r="AZ146" s="1120"/>
      <c r="BA146" s="1320"/>
      <c r="BB146" s="1156"/>
      <c r="BC146" s="1039"/>
      <c r="BD146" s="1036"/>
      <c r="BE146" s="1117"/>
      <c r="BF146" s="1118"/>
      <c r="BG146" s="1324"/>
      <c r="BH146" s="908"/>
      <c r="BI146" s="1036"/>
      <c r="BJ146" s="1039"/>
      <c r="BK146" s="1121"/>
      <c r="BL146" s="1120"/>
      <c r="BM146" s="1320"/>
      <c r="BN146" s="1156"/>
      <c r="BO146" s="1039"/>
      <c r="BP146" s="1036"/>
      <c r="BQ146" s="1117"/>
      <c r="BR146" s="1036"/>
      <c r="BS146" s="1324"/>
      <c r="BT146" s="908"/>
      <c r="BU146" s="1036"/>
      <c r="BV146" s="1039"/>
      <c r="BW146" s="1121"/>
      <c r="BX146" s="1039"/>
      <c r="BY146" s="1320"/>
      <c r="BZ146" s="1156"/>
      <c r="CA146" s="1039"/>
      <c r="CB146" s="1131"/>
      <c r="CC146" s="1036"/>
      <c r="CD146" s="1036"/>
      <c r="CE146" s="1036"/>
      <c r="CF146" s="1036"/>
      <c r="CG146" s="1036"/>
      <c r="CH146" s="1036"/>
      <c r="CI146" s="1036"/>
      <c r="CJ146" s="1036"/>
      <c r="CK146" s="1036"/>
    </row>
    <row r="147" spans="1:89" s="957" customFormat="1" ht="14.25">
      <c r="A147" s="1114"/>
      <c r="B147" s="1115"/>
      <c r="C147" s="1116"/>
      <c r="D147" s="1147"/>
      <c r="E147" s="1114"/>
      <c r="F147" s="1117"/>
      <c r="G147" s="1117"/>
      <c r="H147" s="1118"/>
      <c r="I147" s="1114"/>
      <c r="J147" s="1118"/>
      <c r="K147" s="1410"/>
      <c r="L147" s="1118"/>
      <c r="M147" s="1410"/>
      <c r="N147" s="1410"/>
      <c r="O147" s="1036"/>
      <c r="P147" s="1036"/>
      <c r="Q147" s="1036"/>
      <c r="R147" s="1036"/>
      <c r="S147" s="1036"/>
      <c r="T147" s="1118"/>
      <c r="U147" s="1280"/>
      <c r="V147" s="1118"/>
      <c r="W147" s="1280"/>
      <c r="X147" s="908"/>
      <c r="Y147" s="1036"/>
      <c r="Z147" s="1120"/>
      <c r="AA147" s="1121"/>
      <c r="AB147" s="1120"/>
      <c r="AC147" s="1320"/>
      <c r="AD147" s="1156"/>
      <c r="AE147" s="1039"/>
      <c r="AF147" s="1118"/>
      <c r="AG147" s="1117"/>
      <c r="AH147" s="1118"/>
      <c r="AI147" s="1324"/>
      <c r="AJ147" s="908"/>
      <c r="AK147" s="1036"/>
      <c r="AL147" s="1120"/>
      <c r="AM147" s="1121"/>
      <c r="AN147" s="1120"/>
      <c r="AO147" s="1320"/>
      <c r="AP147" s="1156"/>
      <c r="AQ147" s="1039"/>
      <c r="AR147" s="1118"/>
      <c r="AS147" s="1117"/>
      <c r="AT147" s="1118"/>
      <c r="AU147" s="1324"/>
      <c r="AV147" s="908"/>
      <c r="AW147" s="1036"/>
      <c r="AX147" s="1120"/>
      <c r="AY147" s="1121"/>
      <c r="AZ147" s="1120"/>
      <c r="BA147" s="1320"/>
      <c r="BB147" s="1156"/>
      <c r="BC147" s="1039"/>
      <c r="BD147" s="1036"/>
      <c r="BE147" s="1117"/>
      <c r="BF147" s="1118"/>
      <c r="BG147" s="1324"/>
      <c r="BH147" s="908"/>
      <c r="BI147" s="1036"/>
      <c r="BJ147" s="1039"/>
      <c r="BK147" s="1121"/>
      <c r="BL147" s="1120"/>
      <c r="BM147" s="1320"/>
      <c r="BN147" s="1156"/>
      <c r="BO147" s="1039"/>
      <c r="BP147" s="1036"/>
      <c r="BQ147" s="1117"/>
      <c r="BR147" s="1036"/>
      <c r="BS147" s="1324"/>
      <c r="BT147" s="908"/>
      <c r="BU147" s="1036"/>
      <c r="BV147" s="1039"/>
      <c r="BW147" s="1121"/>
      <c r="BX147" s="1039"/>
      <c r="BY147" s="1320"/>
      <c r="BZ147" s="1156"/>
      <c r="CA147" s="1039"/>
      <c r="CB147" s="1131"/>
      <c r="CC147" s="1036"/>
      <c r="CD147" s="1036"/>
      <c r="CE147" s="1036"/>
      <c r="CF147" s="1036"/>
      <c r="CG147" s="1036"/>
      <c r="CH147" s="1036"/>
      <c r="CI147" s="1036"/>
      <c r="CJ147" s="1036"/>
      <c r="CK147" s="1036"/>
    </row>
    <row r="148" spans="1:89" s="957" customFormat="1" ht="14.25">
      <c r="A148" s="1114"/>
      <c r="B148" s="1115"/>
      <c r="C148" s="1116"/>
      <c r="D148" s="1147"/>
      <c r="E148" s="1114"/>
      <c r="F148" s="1117"/>
      <c r="G148" s="1117"/>
      <c r="H148" s="1118"/>
      <c r="I148" s="1114"/>
      <c r="J148" s="1118"/>
      <c r="K148" s="1410"/>
      <c r="L148" s="1118"/>
      <c r="M148" s="1410"/>
      <c r="N148" s="1410"/>
      <c r="O148" s="1036"/>
      <c r="P148" s="1036"/>
      <c r="Q148" s="1036"/>
      <c r="R148" s="1036"/>
      <c r="S148" s="1036"/>
      <c r="T148" s="1118"/>
      <c r="U148" s="1280"/>
      <c r="V148" s="1118"/>
      <c r="W148" s="1280"/>
      <c r="X148" s="908"/>
      <c r="Y148" s="1036"/>
      <c r="Z148" s="1120"/>
      <c r="AA148" s="1121"/>
      <c r="AB148" s="1120"/>
      <c r="AC148" s="1320"/>
      <c r="AD148" s="1156"/>
      <c r="AE148" s="1039"/>
      <c r="AF148" s="1118"/>
      <c r="AG148" s="1117"/>
      <c r="AH148" s="1118"/>
      <c r="AI148" s="1324"/>
      <c r="AJ148" s="908"/>
      <c r="AK148" s="1036"/>
      <c r="AL148" s="1120"/>
      <c r="AM148" s="1121"/>
      <c r="AN148" s="1120"/>
      <c r="AO148" s="1320"/>
      <c r="AP148" s="1156"/>
      <c r="AQ148" s="1039"/>
      <c r="AR148" s="1118"/>
      <c r="AS148" s="1117"/>
      <c r="AT148" s="1118"/>
      <c r="AU148" s="1324"/>
      <c r="AV148" s="908"/>
      <c r="AW148" s="1036"/>
      <c r="AX148" s="1120"/>
      <c r="AY148" s="1121"/>
      <c r="AZ148" s="1120"/>
      <c r="BA148" s="1320"/>
      <c r="BB148" s="1156"/>
      <c r="BC148" s="1039"/>
      <c r="BD148" s="1036"/>
      <c r="BE148" s="1117"/>
      <c r="BF148" s="1118"/>
      <c r="BG148" s="1324"/>
      <c r="BH148" s="908"/>
      <c r="BI148" s="1036"/>
      <c r="BJ148" s="1039"/>
      <c r="BK148" s="1121"/>
      <c r="BL148" s="1120"/>
      <c r="BM148" s="1320"/>
      <c r="BN148" s="1156"/>
      <c r="BO148" s="1039"/>
      <c r="BP148" s="1036"/>
      <c r="BQ148" s="1117"/>
      <c r="BR148" s="1036"/>
      <c r="BS148" s="1324"/>
      <c r="BT148" s="908"/>
      <c r="BU148" s="1036"/>
      <c r="BV148" s="1039"/>
      <c r="BW148" s="1121"/>
      <c r="BX148" s="1039"/>
      <c r="BY148" s="1320"/>
      <c r="BZ148" s="1156"/>
      <c r="CA148" s="1039"/>
      <c r="CB148" s="1131"/>
      <c r="CC148" s="1036"/>
      <c r="CD148" s="1036"/>
      <c r="CE148" s="1036"/>
      <c r="CF148" s="1036"/>
      <c r="CG148" s="1036"/>
      <c r="CH148" s="1036"/>
      <c r="CI148" s="1036"/>
      <c r="CJ148" s="1036"/>
      <c r="CK148" s="1036"/>
    </row>
    <row r="149" spans="1:89" s="957" customFormat="1" ht="14.25">
      <c r="A149" s="1114"/>
      <c r="B149" s="1115"/>
      <c r="C149" s="1116"/>
      <c r="D149" s="1147"/>
      <c r="E149" s="1114"/>
      <c r="F149" s="1117"/>
      <c r="G149" s="1117"/>
      <c r="H149" s="1118"/>
      <c r="I149" s="1114"/>
      <c r="J149" s="1118"/>
      <c r="K149" s="1410"/>
      <c r="L149" s="1118"/>
      <c r="M149" s="1410"/>
      <c r="N149" s="1410"/>
      <c r="O149" s="1036"/>
      <c r="P149" s="1036"/>
      <c r="Q149" s="1036"/>
      <c r="R149" s="1036"/>
      <c r="S149" s="1036"/>
      <c r="T149" s="1118"/>
      <c r="U149" s="1280"/>
      <c r="V149" s="1118"/>
      <c r="W149" s="1280"/>
      <c r="X149" s="908"/>
      <c r="Y149" s="1036"/>
      <c r="Z149" s="1120"/>
      <c r="AA149" s="1121"/>
      <c r="AB149" s="1120"/>
      <c r="AC149" s="1320"/>
      <c r="AD149" s="1156"/>
      <c r="AE149" s="1039"/>
      <c r="AF149" s="1118"/>
      <c r="AG149" s="1117"/>
      <c r="AH149" s="1118"/>
      <c r="AI149" s="1324"/>
      <c r="AJ149" s="908"/>
      <c r="AK149" s="1036"/>
      <c r="AL149" s="1120"/>
      <c r="AM149" s="1121"/>
      <c r="AN149" s="1120"/>
      <c r="AO149" s="1320"/>
      <c r="AP149" s="1156"/>
      <c r="AQ149" s="1039"/>
      <c r="AR149" s="1118"/>
      <c r="AS149" s="1117"/>
      <c r="AT149" s="1118"/>
      <c r="AU149" s="1324"/>
      <c r="AV149" s="908"/>
      <c r="AW149" s="1036"/>
      <c r="AX149" s="1120"/>
      <c r="AY149" s="1121"/>
      <c r="AZ149" s="1120"/>
      <c r="BA149" s="1320"/>
      <c r="BB149" s="1156"/>
      <c r="BC149" s="1039"/>
      <c r="BD149" s="1036"/>
      <c r="BE149" s="1117"/>
      <c r="BF149" s="1118"/>
      <c r="BG149" s="1324"/>
      <c r="BH149" s="908"/>
      <c r="BI149" s="1036"/>
      <c r="BJ149" s="1039"/>
      <c r="BK149" s="1121"/>
      <c r="BL149" s="1120"/>
      <c r="BM149" s="1320"/>
      <c r="BN149" s="1156"/>
      <c r="BO149" s="1039"/>
      <c r="BP149" s="1036"/>
      <c r="BQ149" s="1117"/>
      <c r="BR149" s="1036"/>
      <c r="BS149" s="1324"/>
      <c r="BT149" s="908"/>
      <c r="BU149" s="1036"/>
      <c r="BV149" s="1039"/>
      <c r="BW149" s="1121"/>
      <c r="BX149" s="1039"/>
      <c r="BY149" s="1320"/>
      <c r="BZ149" s="1156"/>
      <c r="CA149" s="1039"/>
      <c r="CB149" s="1131"/>
      <c r="CC149" s="1036"/>
      <c r="CD149" s="1036"/>
      <c r="CE149" s="1036"/>
      <c r="CF149" s="1036"/>
      <c r="CG149" s="1036"/>
      <c r="CH149" s="1036"/>
      <c r="CI149" s="1036"/>
      <c r="CJ149" s="1036"/>
      <c r="CK149" s="1036"/>
    </row>
    <row r="150" spans="1:89" s="957" customFormat="1" ht="14.25">
      <c r="A150" s="1114"/>
      <c r="B150" s="1115"/>
      <c r="C150" s="1116"/>
      <c r="D150" s="1147"/>
      <c r="E150" s="1114"/>
      <c r="F150" s="1117"/>
      <c r="G150" s="1117"/>
      <c r="H150" s="1118"/>
      <c r="I150" s="1114"/>
      <c r="J150" s="1118"/>
      <c r="K150" s="1410"/>
      <c r="L150" s="1118"/>
      <c r="M150" s="1410"/>
      <c r="N150" s="1410"/>
      <c r="O150" s="1036"/>
      <c r="P150" s="1036"/>
      <c r="Q150" s="1036"/>
      <c r="R150" s="1036"/>
      <c r="S150" s="1036"/>
      <c r="T150" s="1118"/>
      <c r="U150" s="1280"/>
      <c r="V150" s="1118"/>
      <c r="W150" s="1280"/>
      <c r="X150" s="908"/>
      <c r="Y150" s="1036"/>
      <c r="Z150" s="1120"/>
      <c r="AA150" s="1121"/>
      <c r="AB150" s="1120"/>
      <c r="AC150" s="1320"/>
      <c r="AD150" s="1156"/>
      <c r="AE150" s="1039"/>
      <c r="AF150" s="1118"/>
      <c r="AG150" s="1117"/>
      <c r="AH150" s="1118"/>
      <c r="AI150" s="1324"/>
      <c r="AJ150" s="908"/>
      <c r="AK150" s="1036"/>
      <c r="AL150" s="1120"/>
      <c r="AM150" s="1121"/>
      <c r="AN150" s="1120"/>
      <c r="AO150" s="1320"/>
      <c r="AP150" s="1156"/>
      <c r="AQ150" s="1039"/>
      <c r="AR150" s="1118"/>
      <c r="AS150" s="1117"/>
      <c r="AT150" s="1118"/>
      <c r="AU150" s="1324"/>
      <c r="AV150" s="908"/>
      <c r="AW150" s="1036"/>
      <c r="AX150" s="1120"/>
      <c r="AY150" s="1121"/>
      <c r="AZ150" s="1120"/>
      <c r="BA150" s="1320"/>
      <c r="BB150" s="1156"/>
      <c r="BC150" s="1039"/>
      <c r="BD150" s="1036"/>
      <c r="BE150" s="1117"/>
      <c r="BF150" s="1118"/>
      <c r="BG150" s="1324"/>
      <c r="BH150" s="908"/>
      <c r="BI150" s="1036"/>
      <c r="BJ150" s="1039"/>
      <c r="BK150" s="1121"/>
      <c r="BL150" s="1120"/>
      <c r="BM150" s="1320"/>
      <c r="BN150" s="1156"/>
      <c r="BO150" s="1039"/>
      <c r="BP150" s="1036"/>
      <c r="BQ150" s="1117"/>
      <c r="BR150" s="1036"/>
      <c r="BS150" s="1324"/>
      <c r="BT150" s="908"/>
      <c r="BU150" s="1036"/>
      <c r="BV150" s="1039"/>
      <c r="BW150" s="1121"/>
      <c r="BX150" s="1039"/>
      <c r="BY150" s="1320"/>
      <c r="BZ150" s="1156"/>
      <c r="CA150" s="1039"/>
      <c r="CB150" s="1131"/>
      <c r="CC150" s="1036"/>
      <c r="CD150" s="1036"/>
      <c r="CE150" s="1036"/>
      <c r="CF150" s="1036"/>
      <c r="CG150" s="1036"/>
      <c r="CH150" s="1036"/>
      <c r="CI150" s="1036"/>
      <c r="CJ150" s="1036"/>
      <c r="CK150" s="1036"/>
    </row>
    <row r="151" spans="1:89" s="957" customFormat="1" ht="14.25">
      <c r="A151" s="1114"/>
      <c r="B151" s="1115"/>
      <c r="C151" s="1116"/>
      <c r="D151" s="1147"/>
      <c r="E151" s="1114"/>
      <c r="F151" s="1117"/>
      <c r="G151" s="1117"/>
      <c r="H151" s="1118"/>
      <c r="I151" s="1114"/>
      <c r="J151" s="1118"/>
      <c r="K151" s="1410"/>
      <c r="L151" s="1118"/>
      <c r="M151" s="1410"/>
      <c r="N151" s="1410"/>
      <c r="O151" s="1036"/>
      <c r="P151" s="1036"/>
      <c r="Q151" s="1036"/>
      <c r="R151" s="1036"/>
      <c r="S151" s="1036"/>
      <c r="T151" s="1118"/>
      <c r="U151" s="1280"/>
      <c r="V151" s="1118"/>
      <c r="W151" s="1280"/>
      <c r="X151" s="908"/>
      <c r="Y151" s="1036"/>
      <c r="Z151" s="1120"/>
      <c r="AA151" s="1121"/>
      <c r="AB151" s="1120"/>
      <c r="AC151" s="1320"/>
      <c r="AD151" s="1156"/>
      <c r="AE151" s="1039"/>
      <c r="AF151" s="1118"/>
      <c r="AG151" s="1117"/>
      <c r="AH151" s="1118"/>
      <c r="AI151" s="1324"/>
      <c r="AJ151" s="908"/>
      <c r="AK151" s="1036"/>
      <c r="AL151" s="1120"/>
      <c r="AM151" s="1121"/>
      <c r="AN151" s="1120"/>
      <c r="AO151" s="1320"/>
      <c r="AP151" s="1156"/>
      <c r="AQ151" s="1039"/>
      <c r="AR151" s="1118"/>
      <c r="AS151" s="1117"/>
      <c r="AT151" s="1118"/>
      <c r="AU151" s="1324"/>
      <c r="AV151" s="908"/>
      <c r="AW151" s="1036"/>
      <c r="AX151" s="1120"/>
      <c r="AY151" s="1121"/>
      <c r="AZ151" s="1120"/>
      <c r="BA151" s="1320"/>
      <c r="BB151" s="1156"/>
      <c r="BC151" s="1039"/>
      <c r="BD151" s="1036"/>
      <c r="BE151" s="1117"/>
      <c r="BF151" s="1118"/>
      <c r="BG151" s="1324"/>
      <c r="BH151" s="908"/>
      <c r="BI151" s="1036"/>
      <c r="BJ151" s="1039"/>
      <c r="BK151" s="1121"/>
      <c r="BL151" s="1120"/>
      <c r="BM151" s="1320"/>
      <c r="BN151" s="1156"/>
      <c r="BO151" s="1039"/>
      <c r="BP151" s="1036"/>
      <c r="BQ151" s="1117"/>
      <c r="BR151" s="1036"/>
      <c r="BS151" s="1324"/>
      <c r="BT151" s="908"/>
      <c r="BU151" s="1036"/>
      <c r="BV151" s="1039"/>
      <c r="BW151" s="1121"/>
      <c r="BX151" s="1039"/>
      <c r="BY151" s="1320"/>
      <c r="BZ151" s="1156"/>
      <c r="CA151" s="1039"/>
      <c r="CB151" s="1131"/>
      <c r="CC151" s="1036"/>
      <c r="CD151" s="1036"/>
      <c r="CE151" s="1036"/>
      <c r="CF151" s="1036"/>
      <c r="CG151" s="1036"/>
      <c r="CH151" s="1036"/>
      <c r="CI151" s="1036"/>
      <c r="CJ151" s="1036"/>
      <c r="CK151" s="1036"/>
    </row>
    <row r="152" spans="1:89" s="957" customFormat="1" ht="14.25">
      <c r="A152" s="1114"/>
      <c r="B152" s="1115"/>
      <c r="C152" s="1116"/>
      <c r="D152" s="1147"/>
      <c r="E152" s="1114"/>
      <c r="F152" s="1117"/>
      <c r="G152" s="1117"/>
      <c r="H152" s="1118"/>
      <c r="I152" s="1114"/>
      <c r="J152" s="1118"/>
      <c r="K152" s="1410"/>
      <c r="L152" s="1118"/>
      <c r="M152" s="1410"/>
      <c r="N152" s="1410"/>
      <c r="O152" s="1036"/>
      <c r="P152" s="1036"/>
      <c r="Q152" s="1036"/>
      <c r="R152" s="1036"/>
      <c r="S152" s="1036"/>
      <c r="T152" s="1118"/>
      <c r="U152" s="1280"/>
      <c r="V152" s="1118"/>
      <c r="W152" s="1280"/>
      <c r="X152" s="908"/>
      <c r="Y152" s="1036"/>
      <c r="Z152" s="1120"/>
      <c r="AA152" s="1121"/>
      <c r="AB152" s="1120"/>
      <c r="AC152" s="1320"/>
      <c r="AD152" s="1156"/>
      <c r="AE152" s="1039"/>
      <c r="AF152" s="1118"/>
      <c r="AG152" s="1117"/>
      <c r="AH152" s="1118"/>
      <c r="AI152" s="1324"/>
      <c r="AJ152" s="908"/>
      <c r="AK152" s="1036"/>
      <c r="AL152" s="1120"/>
      <c r="AM152" s="1121"/>
      <c r="AN152" s="1120"/>
      <c r="AO152" s="1320"/>
      <c r="AP152" s="1156"/>
      <c r="AQ152" s="1039"/>
      <c r="AR152" s="1118"/>
      <c r="AS152" s="1117"/>
      <c r="AT152" s="1118"/>
      <c r="AU152" s="1324"/>
      <c r="AV152" s="908"/>
      <c r="AW152" s="1036"/>
      <c r="AX152" s="1120"/>
      <c r="AY152" s="1121"/>
      <c r="AZ152" s="1120"/>
      <c r="BA152" s="1320"/>
      <c r="BB152" s="1156"/>
      <c r="BC152" s="1039"/>
      <c r="BD152" s="1036"/>
      <c r="BE152" s="1117"/>
      <c r="BF152" s="1118"/>
      <c r="BG152" s="1324"/>
      <c r="BH152" s="908"/>
      <c r="BI152" s="1036"/>
      <c r="BJ152" s="1039"/>
      <c r="BK152" s="1121"/>
      <c r="BL152" s="1120"/>
      <c r="BM152" s="1320"/>
      <c r="BN152" s="1156"/>
      <c r="BO152" s="1039"/>
      <c r="BP152" s="1036"/>
      <c r="BQ152" s="1117"/>
      <c r="BR152" s="1036"/>
      <c r="BS152" s="1324"/>
      <c r="BT152" s="908"/>
      <c r="BU152" s="1036"/>
      <c r="BV152" s="1039"/>
      <c r="BW152" s="1121"/>
      <c r="BX152" s="1039"/>
      <c r="BY152" s="1320"/>
      <c r="BZ152" s="1156"/>
      <c r="CA152" s="1039"/>
      <c r="CB152" s="1131"/>
      <c r="CC152" s="1036"/>
      <c r="CD152" s="1036"/>
      <c r="CE152" s="1036"/>
      <c r="CF152" s="1036"/>
      <c r="CG152" s="1036"/>
      <c r="CH152" s="1036"/>
      <c r="CI152" s="1036"/>
      <c r="CJ152" s="1036"/>
      <c r="CK152" s="1036"/>
    </row>
    <row r="153" spans="1:89" s="957" customFormat="1" ht="14.25">
      <c r="A153" s="1114"/>
      <c r="B153" s="1115"/>
      <c r="C153" s="1116"/>
      <c r="D153" s="1147"/>
      <c r="E153" s="1114"/>
      <c r="F153" s="1117"/>
      <c r="G153" s="1117"/>
      <c r="H153" s="1118"/>
      <c r="I153" s="1114"/>
      <c r="J153" s="1118"/>
      <c r="K153" s="1410"/>
      <c r="L153" s="1118"/>
      <c r="M153" s="1410"/>
      <c r="N153" s="1410"/>
      <c r="O153" s="1036"/>
      <c r="P153" s="1036"/>
      <c r="Q153" s="1036"/>
      <c r="R153" s="1036"/>
      <c r="S153" s="1036"/>
      <c r="T153" s="1118"/>
      <c r="U153" s="1280"/>
      <c r="V153" s="1118"/>
      <c r="W153" s="1280"/>
      <c r="X153" s="908"/>
      <c r="Y153" s="1036"/>
      <c r="Z153" s="1120"/>
      <c r="AA153" s="1121"/>
      <c r="AB153" s="1120"/>
      <c r="AC153" s="1320"/>
      <c r="AD153" s="1156"/>
      <c r="AE153" s="1039"/>
      <c r="AF153" s="1118"/>
      <c r="AG153" s="1117"/>
      <c r="AH153" s="1118"/>
      <c r="AI153" s="1324"/>
      <c r="AJ153" s="908"/>
      <c r="AK153" s="1036"/>
      <c r="AL153" s="1120"/>
      <c r="AM153" s="1121"/>
      <c r="AN153" s="1120"/>
      <c r="AO153" s="1320"/>
      <c r="AP153" s="1156"/>
      <c r="AQ153" s="1039"/>
      <c r="AR153" s="1118"/>
      <c r="AS153" s="1117"/>
      <c r="AT153" s="1118"/>
      <c r="AU153" s="1324"/>
      <c r="AV153" s="908"/>
      <c r="AW153" s="1036"/>
      <c r="AX153" s="1120"/>
      <c r="AY153" s="1121"/>
      <c r="AZ153" s="1120"/>
      <c r="BA153" s="1320"/>
      <c r="BB153" s="1156"/>
      <c r="BC153" s="1039"/>
      <c r="BD153" s="1036"/>
      <c r="BE153" s="1117"/>
      <c r="BF153" s="1118"/>
      <c r="BG153" s="1324"/>
      <c r="BH153" s="908"/>
      <c r="BI153" s="1036"/>
      <c r="BJ153" s="1039"/>
      <c r="BK153" s="1121"/>
      <c r="BL153" s="1120"/>
      <c r="BM153" s="1320"/>
      <c r="BN153" s="1156"/>
      <c r="BO153" s="1039"/>
      <c r="BP153" s="1036"/>
      <c r="BQ153" s="1117"/>
      <c r="BR153" s="1036"/>
      <c r="BS153" s="1324"/>
      <c r="BT153" s="908"/>
      <c r="BU153" s="1036"/>
      <c r="BV153" s="1039"/>
      <c r="BW153" s="1121"/>
      <c r="BX153" s="1039"/>
      <c r="BY153" s="1320"/>
      <c r="BZ153" s="1156"/>
      <c r="CA153" s="1039"/>
      <c r="CB153" s="1131"/>
      <c r="CC153" s="1036"/>
      <c r="CD153" s="1036"/>
      <c r="CE153" s="1036"/>
      <c r="CF153" s="1036"/>
      <c r="CG153" s="1036"/>
      <c r="CH153" s="1036"/>
      <c r="CI153" s="1036"/>
      <c r="CJ153" s="1036"/>
      <c r="CK153" s="1036"/>
    </row>
    <row r="154" spans="1:89" s="957" customFormat="1" ht="14.25">
      <c r="A154" s="1114"/>
      <c r="B154" s="1115"/>
      <c r="C154" s="1116"/>
      <c r="D154" s="1147"/>
      <c r="E154" s="1114"/>
      <c r="F154" s="1117"/>
      <c r="G154" s="1117"/>
      <c r="H154" s="1118"/>
      <c r="I154" s="1114"/>
      <c r="J154" s="1118"/>
      <c r="K154" s="1410"/>
      <c r="L154" s="1118"/>
      <c r="M154" s="1410"/>
      <c r="N154" s="1410"/>
      <c r="O154" s="1036"/>
      <c r="P154" s="1036"/>
      <c r="Q154" s="1036"/>
      <c r="R154" s="1036"/>
      <c r="S154" s="1036"/>
      <c r="T154" s="1118"/>
      <c r="U154" s="1280"/>
      <c r="V154" s="1118"/>
      <c r="W154" s="1280"/>
      <c r="X154" s="908"/>
      <c r="Y154" s="1036"/>
      <c r="Z154" s="1120"/>
      <c r="AA154" s="1121"/>
      <c r="AB154" s="1120"/>
      <c r="AC154" s="1320"/>
      <c r="AD154" s="1156"/>
      <c r="AE154" s="1039"/>
      <c r="AF154" s="1118"/>
      <c r="AG154" s="1117"/>
      <c r="AH154" s="1118"/>
      <c r="AI154" s="1324"/>
      <c r="AJ154" s="908"/>
      <c r="AK154" s="1036"/>
      <c r="AL154" s="1120"/>
      <c r="AM154" s="1121"/>
      <c r="AN154" s="1120"/>
      <c r="AO154" s="1320"/>
      <c r="AP154" s="1156"/>
      <c r="AQ154" s="1039"/>
      <c r="AR154" s="1118"/>
      <c r="AS154" s="1117"/>
      <c r="AT154" s="1118"/>
      <c r="AU154" s="1324"/>
      <c r="AV154" s="908"/>
      <c r="AW154" s="1036"/>
      <c r="AX154" s="1120"/>
      <c r="AY154" s="1121"/>
      <c r="AZ154" s="1120"/>
      <c r="BA154" s="1320"/>
      <c r="BB154" s="1156"/>
      <c r="BC154" s="1039"/>
      <c r="BD154" s="1036"/>
      <c r="BE154" s="1117"/>
      <c r="BF154" s="1118"/>
      <c r="BG154" s="1324"/>
      <c r="BH154" s="908"/>
      <c r="BI154" s="1036"/>
      <c r="BJ154" s="1039"/>
      <c r="BK154" s="1121"/>
      <c r="BL154" s="1120"/>
      <c r="BM154" s="1320"/>
      <c r="BN154" s="1156"/>
      <c r="BO154" s="1039"/>
      <c r="BP154" s="1036"/>
      <c r="BQ154" s="1117"/>
      <c r="BR154" s="1036"/>
      <c r="BS154" s="1324"/>
      <c r="BT154" s="908"/>
      <c r="BU154" s="1036"/>
      <c r="BV154" s="1039"/>
      <c r="BW154" s="1121"/>
      <c r="BX154" s="1039"/>
      <c r="BY154" s="1320"/>
      <c r="BZ154" s="1156"/>
      <c r="CA154" s="1039"/>
      <c r="CB154" s="1131"/>
      <c r="CC154" s="1036"/>
      <c r="CD154" s="1036"/>
      <c r="CE154" s="1036"/>
      <c r="CF154" s="1036"/>
      <c r="CG154" s="1036"/>
      <c r="CH154" s="1036"/>
      <c r="CI154" s="1036"/>
      <c r="CJ154" s="1036"/>
      <c r="CK154" s="1036"/>
    </row>
    <row r="155" spans="1:89" s="957" customFormat="1" ht="14.25">
      <c r="A155" s="1114"/>
      <c r="B155" s="1115"/>
      <c r="C155" s="1116"/>
      <c r="D155" s="1147"/>
      <c r="E155" s="1114"/>
      <c r="F155" s="1117"/>
      <c r="G155" s="1117"/>
      <c r="H155" s="1118"/>
      <c r="I155" s="1114"/>
      <c r="J155" s="1118"/>
      <c r="K155" s="1410"/>
      <c r="L155" s="1118"/>
      <c r="M155" s="1410"/>
      <c r="N155" s="1410"/>
      <c r="O155" s="1036"/>
      <c r="P155" s="1036"/>
      <c r="Q155" s="1036"/>
      <c r="R155" s="1036"/>
      <c r="S155" s="1036"/>
      <c r="T155" s="1118"/>
      <c r="U155" s="1280"/>
      <c r="V155" s="1118"/>
      <c r="W155" s="1280"/>
      <c r="X155" s="908"/>
      <c r="Y155" s="1036"/>
      <c r="Z155" s="1120"/>
      <c r="AA155" s="1121"/>
      <c r="AB155" s="1120"/>
      <c r="AC155" s="1320"/>
      <c r="AD155" s="1156"/>
      <c r="AE155" s="1039"/>
      <c r="AF155" s="1118"/>
      <c r="AG155" s="1117"/>
      <c r="AH155" s="1118"/>
      <c r="AI155" s="1324"/>
      <c r="AJ155" s="908"/>
      <c r="AK155" s="1036"/>
      <c r="AL155" s="1120"/>
      <c r="AM155" s="1121"/>
      <c r="AN155" s="1120"/>
      <c r="AO155" s="1320"/>
      <c r="AP155" s="1156"/>
      <c r="AQ155" s="1039"/>
      <c r="AR155" s="1118"/>
      <c r="AS155" s="1117"/>
      <c r="AT155" s="1118"/>
      <c r="AU155" s="1324"/>
      <c r="AV155" s="908"/>
      <c r="AW155" s="1036"/>
      <c r="AX155" s="1120"/>
      <c r="AY155" s="1121"/>
      <c r="AZ155" s="1120"/>
      <c r="BA155" s="1320"/>
      <c r="BB155" s="1156"/>
      <c r="BC155" s="1039"/>
      <c r="BD155" s="1036"/>
      <c r="BE155" s="1117"/>
      <c r="BF155" s="1118"/>
      <c r="BG155" s="1324"/>
      <c r="BH155" s="908"/>
      <c r="BI155" s="1036"/>
      <c r="BJ155" s="1039"/>
      <c r="BK155" s="1121"/>
      <c r="BL155" s="1120"/>
      <c r="BM155" s="1320"/>
      <c r="BN155" s="1156"/>
      <c r="BO155" s="1039"/>
      <c r="BP155" s="1036"/>
      <c r="BQ155" s="1117"/>
      <c r="BR155" s="1036"/>
      <c r="BS155" s="1324"/>
      <c r="BT155" s="908"/>
      <c r="BU155" s="1036"/>
      <c r="BV155" s="1039"/>
      <c r="BW155" s="1121"/>
      <c r="BX155" s="1039"/>
      <c r="BY155" s="1320"/>
      <c r="BZ155" s="1156"/>
      <c r="CA155" s="1039"/>
      <c r="CB155" s="1131"/>
      <c r="CC155" s="1036"/>
      <c r="CD155" s="1036"/>
      <c r="CE155" s="1036"/>
      <c r="CF155" s="1036"/>
      <c r="CG155" s="1036"/>
      <c r="CH155" s="1036"/>
      <c r="CI155" s="1036"/>
      <c r="CJ155" s="1036"/>
      <c r="CK155" s="1036"/>
    </row>
    <row r="156" spans="1:89" s="957" customFormat="1" ht="14.25">
      <c r="A156" s="1114"/>
      <c r="B156" s="1115"/>
      <c r="C156" s="1116"/>
      <c r="D156" s="1147"/>
      <c r="E156" s="1114"/>
      <c r="F156" s="1117"/>
      <c r="G156" s="1117"/>
      <c r="H156" s="1118"/>
      <c r="I156" s="1114"/>
      <c r="J156" s="1118"/>
      <c r="K156" s="1410"/>
      <c r="L156" s="1118"/>
      <c r="M156" s="1410"/>
      <c r="N156" s="1410"/>
      <c r="O156" s="1036"/>
      <c r="P156" s="1036"/>
      <c r="Q156" s="1036"/>
      <c r="R156" s="1036"/>
      <c r="S156" s="1036"/>
      <c r="T156" s="1118"/>
      <c r="U156" s="1280"/>
      <c r="V156" s="1118"/>
      <c r="W156" s="1280"/>
      <c r="X156" s="908"/>
      <c r="Y156" s="1036"/>
      <c r="Z156" s="1120"/>
      <c r="AA156" s="1121"/>
      <c r="AB156" s="1120"/>
      <c r="AC156" s="1320"/>
      <c r="AD156" s="1156"/>
      <c r="AE156" s="1039"/>
      <c r="AF156" s="1118"/>
      <c r="AG156" s="1117"/>
      <c r="AH156" s="1118"/>
      <c r="AI156" s="1324"/>
      <c r="AJ156" s="908"/>
      <c r="AK156" s="1036"/>
      <c r="AL156" s="1120"/>
      <c r="AM156" s="1121"/>
      <c r="AN156" s="1120"/>
      <c r="AO156" s="1320"/>
      <c r="AP156" s="1156"/>
      <c r="AQ156" s="1039"/>
      <c r="AR156" s="1118"/>
      <c r="AS156" s="1117"/>
      <c r="AT156" s="1118"/>
      <c r="AU156" s="1324"/>
      <c r="AV156" s="908"/>
      <c r="AW156" s="1036"/>
      <c r="AX156" s="1120"/>
      <c r="AY156" s="1121"/>
      <c r="AZ156" s="1120"/>
      <c r="BA156" s="1320"/>
      <c r="BB156" s="1156"/>
      <c r="BC156" s="1039"/>
      <c r="BD156" s="1036"/>
      <c r="BE156" s="1117"/>
      <c r="BF156" s="1118"/>
      <c r="BG156" s="1324"/>
      <c r="BH156" s="908"/>
      <c r="BI156" s="1036"/>
      <c r="BJ156" s="1039"/>
      <c r="BK156" s="1121"/>
      <c r="BL156" s="1120"/>
      <c r="BM156" s="1320"/>
      <c r="BN156" s="1156"/>
      <c r="BO156" s="1039"/>
      <c r="BP156" s="1036"/>
      <c r="BQ156" s="1117"/>
      <c r="BR156" s="1036"/>
      <c r="BS156" s="1324"/>
      <c r="BT156" s="908"/>
      <c r="BU156" s="1036"/>
      <c r="BV156" s="1039"/>
      <c r="BW156" s="1121"/>
      <c r="BX156" s="1039"/>
      <c r="BY156" s="1320"/>
      <c r="BZ156" s="1156"/>
      <c r="CA156" s="1039"/>
      <c r="CB156" s="1131"/>
      <c r="CC156" s="1036"/>
      <c r="CD156" s="1036"/>
      <c r="CE156" s="1036"/>
      <c r="CF156" s="1036"/>
      <c r="CG156" s="1036"/>
      <c r="CH156" s="1036"/>
      <c r="CI156" s="1036"/>
      <c r="CJ156" s="1036"/>
      <c r="CK156" s="1036"/>
    </row>
    <row r="157" spans="1:89" s="957" customFormat="1" ht="14.25">
      <c r="A157" s="1114"/>
      <c r="B157" s="1115"/>
      <c r="C157" s="1116"/>
      <c r="D157" s="1147"/>
      <c r="E157" s="1114"/>
      <c r="F157" s="1117"/>
      <c r="G157" s="1117"/>
      <c r="H157" s="1118"/>
      <c r="I157" s="1114"/>
      <c r="J157" s="1118"/>
      <c r="K157" s="1410"/>
      <c r="L157" s="1118"/>
      <c r="M157" s="1410"/>
      <c r="N157" s="1410"/>
      <c r="O157" s="1036"/>
      <c r="P157" s="1036"/>
      <c r="Q157" s="1036"/>
      <c r="R157" s="1036"/>
      <c r="S157" s="1036"/>
      <c r="T157" s="1118"/>
      <c r="U157" s="1280"/>
      <c r="V157" s="1118"/>
      <c r="W157" s="1280"/>
      <c r="X157" s="908"/>
      <c r="Y157" s="1036"/>
      <c r="Z157" s="1120"/>
      <c r="AA157" s="1121"/>
      <c r="AB157" s="1120"/>
      <c r="AC157" s="1320"/>
      <c r="AD157" s="1156"/>
      <c r="AE157" s="1039"/>
      <c r="AF157" s="1118"/>
      <c r="AG157" s="1117"/>
      <c r="AH157" s="1118"/>
      <c r="AI157" s="1324"/>
      <c r="AJ157" s="908"/>
      <c r="AK157" s="1036"/>
      <c r="AL157" s="1120"/>
      <c r="AM157" s="1121"/>
      <c r="AN157" s="1120"/>
      <c r="AO157" s="1320"/>
      <c r="AP157" s="1156"/>
      <c r="AQ157" s="1039"/>
      <c r="AR157" s="1118"/>
      <c r="AS157" s="1117"/>
      <c r="AT157" s="1118"/>
      <c r="AU157" s="1324"/>
      <c r="AV157" s="908"/>
      <c r="AW157" s="1036"/>
      <c r="AX157" s="1120"/>
      <c r="AY157" s="1121"/>
      <c r="AZ157" s="1120"/>
      <c r="BA157" s="1320"/>
      <c r="BB157" s="1156"/>
      <c r="BC157" s="1039"/>
      <c r="BD157" s="1036"/>
      <c r="BE157" s="1117"/>
      <c r="BF157" s="1118"/>
      <c r="BG157" s="1324"/>
      <c r="BH157" s="908"/>
      <c r="BI157" s="1036"/>
      <c r="BJ157" s="1039"/>
      <c r="BK157" s="1121"/>
      <c r="BL157" s="1120"/>
      <c r="BM157" s="1320"/>
      <c r="BN157" s="1156"/>
      <c r="BO157" s="1039"/>
      <c r="BP157" s="1036"/>
      <c r="BQ157" s="1117"/>
      <c r="BR157" s="1036"/>
      <c r="BS157" s="1324"/>
      <c r="BT157" s="908"/>
      <c r="BU157" s="1036"/>
      <c r="BV157" s="1039"/>
      <c r="BW157" s="1121"/>
      <c r="BX157" s="1039"/>
      <c r="BY157" s="1320"/>
      <c r="BZ157" s="1156"/>
      <c r="CA157" s="1039"/>
      <c r="CB157" s="1131"/>
      <c r="CC157" s="1036"/>
      <c r="CD157" s="1036"/>
      <c r="CE157" s="1036"/>
      <c r="CF157" s="1036"/>
      <c r="CG157" s="1036"/>
      <c r="CH157" s="1036"/>
      <c r="CI157" s="1036"/>
      <c r="CJ157" s="1036"/>
      <c r="CK157" s="1036"/>
    </row>
    <row r="158" spans="1:89" s="957" customFormat="1" ht="14.25">
      <c r="A158" s="1114"/>
      <c r="B158" s="1115"/>
      <c r="C158" s="1116"/>
      <c r="D158" s="1147"/>
      <c r="E158" s="1114"/>
      <c r="F158" s="1117"/>
      <c r="G158" s="1117"/>
      <c r="H158" s="1118"/>
      <c r="I158" s="1114"/>
      <c r="J158" s="1118"/>
      <c r="K158" s="1410"/>
      <c r="L158" s="1118"/>
      <c r="M158" s="1410"/>
      <c r="N158" s="1410"/>
      <c r="O158" s="1036"/>
      <c r="P158" s="1036"/>
      <c r="Q158" s="1036"/>
      <c r="R158" s="1036"/>
      <c r="S158" s="1036"/>
      <c r="T158" s="1118"/>
      <c r="U158" s="1280"/>
      <c r="V158" s="1118"/>
      <c r="W158" s="1280"/>
      <c r="X158" s="908"/>
      <c r="Y158" s="1036"/>
      <c r="Z158" s="1120"/>
      <c r="AA158" s="1121"/>
      <c r="AB158" s="1120"/>
      <c r="AC158" s="1320"/>
      <c r="AD158" s="1156"/>
      <c r="AE158" s="1039"/>
      <c r="AF158" s="1118"/>
      <c r="AG158" s="1117"/>
      <c r="AH158" s="1118"/>
      <c r="AI158" s="1324"/>
      <c r="AJ158" s="908"/>
      <c r="AK158" s="1036"/>
      <c r="AL158" s="1120"/>
      <c r="AM158" s="1121"/>
      <c r="AN158" s="1120"/>
      <c r="AO158" s="1320"/>
      <c r="AP158" s="1156"/>
      <c r="AQ158" s="1039"/>
      <c r="AR158" s="1118"/>
      <c r="AS158" s="1117"/>
      <c r="AT158" s="1118"/>
      <c r="AU158" s="1324"/>
      <c r="AV158" s="908"/>
      <c r="AW158" s="1036"/>
      <c r="AX158" s="1120"/>
      <c r="AY158" s="1121"/>
      <c r="AZ158" s="1120"/>
      <c r="BA158" s="1320"/>
      <c r="BB158" s="1156"/>
      <c r="BC158" s="1039"/>
      <c r="BD158" s="1036"/>
      <c r="BE158" s="1117"/>
      <c r="BF158" s="1118"/>
      <c r="BG158" s="1324"/>
      <c r="BH158" s="908"/>
      <c r="BI158" s="1036"/>
      <c r="BJ158" s="1039"/>
      <c r="BK158" s="1121"/>
      <c r="BL158" s="1120"/>
      <c r="BM158" s="1320"/>
      <c r="BN158" s="1156"/>
      <c r="BO158" s="1039"/>
      <c r="BP158" s="1036"/>
      <c r="BQ158" s="1117"/>
      <c r="BR158" s="1036"/>
      <c r="BS158" s="1324"/>
      <c r="BT158" s="908"/>
      <c r="BU158" s="1036"/>
      <c r="BV158" s="1039"/>
      <c r="BW158" s="1121"/>
      <c r="BX158" s="1039"/>
      <c r="BY158" s="1320"/>
      <c r="BZ158" s="1156"/>
      <c r="CA158" s="1039"/>
      <c r="CB158" s="1131"/>
      <c r="CC158" s="1036"/>
      <c r="CD158" s="1036"/>
      <c r="CE158" s="1036"/>
      <c r="CF158" s="1036"/>
      <c r="CG158" s="1036"/>
      <c r="CH158" s="1036"/>
      <c r="CI158" s="1036"/>
      <c r="CJ158" s="1036"/>
      <c r="CK158" s="1036"/>
    </row>
    <row r="159" spans="1:89" s="957" customFormat="1" ht="14.25">
      <c r="A159" s="1114"/>
      <c r="B159" s="1115"/>
      <c r="C159" s="1116"/>
      <c r="D159" s="1147"/>
      <c r="E159" s="1114"/>
      <c r="F159" s="1117"/>
      <c r="G159" s="1117"/>
      <c r="H159" s="1118"/>
      <c r="I159" s="1114"/>
      <c r="J159" s="1118"/>
      <c r="K159" s="1410"/>
      <c r="L159" s="1118"/>
      <c r="M159" s="1410"/>
      <c r="N159" s="1410"/>
      <c r="O159" s="1036"/>
      <c r="P159" s="1036"/>
      <c r="Q159" s="1036"/>
      <c r="R159" s="1036"/>
      <c r="S159" s="1036"/>
      <c r="T159" s="1118"/>
      <c r="U159" s="1280"/>
      <c r="V159" s="1118"/>
      <c r="W159" s="1280"/>
      <c r="X159" s="908"/>
      <c r="Y159" s="1036"/>
      <c r="Z159" s="1120"/>
      <c r="AA159" s="1121"/>
      <c r="AB159" s="1120"/>
      <c r="AC159" s="1320"/>
      <c r="AD159" s="1156"/>
      <c r="AE159" s="1039"/>
      <c r="AF159" s="1118"/>
      <c r="AG159" s="1117"/>
      <c r="AH159" s="1118"/>
      <c r="AI159" s="1324"/>
      <c r="AJ159" s="908"/>
      <c r="AK159" s="1036"/>
      <c r="AL159" s="1120"/>
      <c r="AM159" s="1121"/>
      <c r="AN159" s="1120"/>
      <c r="AO159" s="1320"/>
      <c r="AP159" s="1156"/>
      <c r="AQ159" s="1039"/>
      <c r="AR159" s="1118"/>
      <c r="AS159" s="1117"/>
      <c r="AT159" s="1118"/>
      <c r="AU159" s="1324"/>
      <c r="AV159" s="908"/>
      <c r="AW159" s="1036"/>
      <c r="AX159" s="1120"/>
      <c r="AY159" s="1121"/>
      <c r="AZ159" s="1120"/>
      <c r="BA159" s="1320"/>
      <c r="BB159" s="1156"/>
      <c r="BC159" s="1039"/>
      <c r="BD159" s="1036"/>
      <c r="BE159" s="1117"/>
      <c r="BF159" s="1118"/>
      <c r="BG159" s="1324"/>
      <c r="BH159" s="908"/>
      <c r="BI159" s="1036"/>
      <c r="BJ159" s="1039"/>
      <c r="BK159" s="1121"/>
      <c r="BL159" s="1120"/>
      <c r="BM159" s="1320"/>
      <c r="BN159" s="1156"/>
      <c r="BO159" s="1039"/>
      <c r="BP159" s="1036"/>
      <c r="BQ159" s="1117"/>
      <c r="BR159" s="1036"/>
      <c r="BS159" s="1324"/>
      <c r="BT159" s="908"/>
      <c r="BU159" s="1036"/>
      <c r="BV159" s="1039"/>
      <c r="BW159" s="1121"/>
      <c r="BX159" s="1039"/>
      <c r="BY159" s="1320"/>
      <c r="BZ159" s="1156"/>
      <c r="CA159" s="1039"/>
      <c r="CB159" s="1131"/>
      <c r="CC159" s="1036"/>
      <c r="CD159" s="1036"/>
      <c r="CE159" s="1036"/>
      <c r="CF159" s="1036"/>
      <c r="CG159" s="1036"/>
      <c r="CH159" s="1036"/>
      <c r="CI159" s="1036"/>
      <c r="CJ159" s="1036"/>
      <c r="CK159" s="1036"/>
    </row>
    <row r="160" spans="1:89" s="957" customFormat="1" ht="14.25">
      <c r="A160" s="1114"/>
      <c r="B160" s="1115"/>
      <c r="C160" s="1116"/>
      <c r="D160" s="1147"/>
      <c r="E160" s="1114"/>
      <c r="F160" s="1117"/>
      <c r="G160" s="1117"/>
      <c r="H160" s="1118"/>
      <c r="I160" s="1114"/>
      <c r="J160" s="1118"/>
      <c r="K160" s="1410"/>
      <c r="L160" s="1118"/>
      <c r="M160" s="1410"/>
      <c r="N160" s="1410"/>
      <c r="O160" s="1036"/>
      <c r="P160" s="1036"/>
      <c r="Q160" s="1036"/>
      <c r="R160" s="1036"/>
      <c r="S160" s="1036"/>
      <c r="T160" s="1118"/>
      <c r="U160" s="1280"/>
      <c r="V160" s="1118"/>
      <c r="W160" s="1280"/>
      <c r="X160" s="908"/>
      <c r="Y160" s="1036"/>
      <c r="Z160" s="1120"/>
      <c r="AA160" s="1121"/>
      <c r="AB160" s="1120"/>
      <c r="AC160" s="1320"/>
      <c r="AD160" s="1156"/>
      <c r="AE160" s="1039"/>
      <c r="AF160" s="1118"/>
      <c r="AG160" s="1117"/>
      <c r="AH160" s="1118"/>
      <c r="AI160" s="1324"/>
      <c r="AJ160" s="908"/>
      <c r="AK160" s="1036"/>
      <c r="AL160" s="1120"/>
      <c r="AM160" s="1121"/>
      <c r="AN160" s="1120"/>
      <c r="AO160" s="1320"/>
      <c r="AP160" s="1156"/>
      <c r="AQ160" s="1039"/>
      <c r="AR160" s="1118"/>
      <c r="AS160" s="1117"/>
      <c r="AT160" s="1118"/>
      <c r="AU160" s="1324"/>
      <c r="AV160" s="908"/>
      <c r="AW160" s="1036"/>
      <c r="AX160" s="1120"/>
      <c r="AY160" s="1121"/>
      <c r="AZ160" s="1120"/>
      <c r="BA160" s="1320"/>
      <c r="BB160" s="1156"/>
      <c r="BC160" s="1039"/>
      <c r="BD160" s="1036"/>
      <c r="BE160" s="1117"/>
      <c r="BF160" s="1118"/>
      <c r="BG160" s="1324"/>
      <c r="BH160" s="908"/>
      <c r="BI160" s="1036"/>
      <c r="BJ160" s="1039"/>
      <c r="BK160" s="1121"/>
      <c r="BL160" s="1120"/>
      <c r="BM160" s="1320"/>
      <c r="BN160" s="1156"/>
      <c r="BO160" s="1039"/>
      <c r="BP160" s="1036"/>
      <c r="BQ160" s="1117"/>
      <c r="BR160" s="1036"/>
      <c r="BS160" s="1324"/>
      <c r="BT160" s="908"/>
      <c r="BU160" s="1036"/>
      <c r="BV160" s="1039"/>
      <c r="BW160" s="1121"/>
      <c r="BX160" s="1039"/>
      <c r="BY160" s="1320"/>
      <c r="BZ160" s="1156"/>
      <c r="CA160" s="1039"/>
      <c r="CB160" s="1131"/>
      <c r="CC160" s="1036"/>
      <c r="CD160" s="1036"/>
      <c r="CE160" s="1036"/>
      <c r="CF160" s="1036"/>
      <c r="CG160" s="1036"/>
      <c r="CH160" s="1036"/>
      <c r="CI160" s="1036"/>
      <c r="CJ160" s="1036"/>
      <c r="CK160" s="1036"/>
    </row>
    <row r="161" spans="1:89" s="957" customFormat="1" ht="14.25">
      <c r="A161" s="1114"/>
      <c r="B161" s="1115"/>
      <c r="C161" s="1116"/>
      <c r="D161" s="1147"/>
      <c r="E161" s="1114"/>
      <c r="F161" s="1117"/>
      <c r="G161" s="1117"/>
      <c r="H161" s="1118"/>
      <c r="I161" s="1114"/>
      <c r="J161" s="1118"/>
      <c r="K161" s="1410"/>
      <c r="L161" s="1118"/>
      <c r="M161" s="1410"/>
      <c r="N161" s="1410"/>
      <c r="O161" s="1036"/>
      <c r="P161" s="1036"/>
      <c r="Q161" s="1036"/>
      <c r="R161" s="1036"/>
      <c r="S161" s="1036"/>
      <c r="T161" s="1118"/>
      <c r="U161" s="1280"/>
      <c r="V161" s="1118"/>
      <c r="W161" s="1280"/>
      <c r="X161" s="908"/>
      <c r="Y161" s="1036"/>
      <c r="Z161" s="1120"/>
      <c r="AA161" s="1121"/>
      <c r="AB161" s="1120"/>
      <c r="AC161" s="1320"/>
      <c r="AD161" s="1156"/>
      <c r="AE161" s="1039"/>
      <c r="AF161" s="1118"/>
      <c r="AG161" s="1117"/>
      <c r="AH161" s="1118"/>
      <c r="AI161" s="1324"/>
      <c r="AJ161" s="908"/>
      <c r="AK161" s="1036"/>
      <c r="AL161" s="1120"/>
      <c r="AM161" s="1121"/>
      <c r="AN161" s="1120"/>
      <c r="AO161" s="1320"/>
      <c r="AP161" s="1156"/>
      <c r="AQ161" s="1039"/>
      <c r="AR161" s="1118"/>
      <c r="AS161" s="1117"/>
      <c r="AT161" s="1118"/>
      <c r="AU161" s="1324"/>
      <c r="AV161" s="908"/>
      <c r="AW161" s="1036"/>
      <c r="AX161" s="1120"/>
      <c r="AY161" s="1121"/>
      <c r="AZ161" s="1120"/>
      <c r="BA161" s="1320"/>
      <c r="BB161" s="1156"/>
      <c r="BC161" s="1039"/>
      <c r="BD161" s="1036"/>
      <c r="BE161" s="1117"/>
      <c r="BF161" s="1118"/>
      <c r="BG161" s="1324"/>
      <c r="BH161" s="908"/>
      <c r="BI161" s="1036"/>
      <c r="BJ161" s="1039"/>
      <c r="BK161" s="1121"/>
      <c r="BL161" s="1120"/>
      <c r="BM161" s="1320"/>
      <c r="BN161" s="1156"/>
      <c r="BO161" s="1039"/>
      <c r="BP161" s="1036"/>
      <c r="BQ161" s="1117"/>
      <c r="BR161" s="1036"/>
      <c r="BS161" s="1324"/>
      <c r="BT161" s="908"/>
      <c r="BU161" s="1036"/>
      <c r="BV161" s="1039"/>
      <c r="BW161" s="1121"/>
      <c r="BX161" s="1039"/>
      <c r="BY161" s="1320"/>
      <c r="BZ161" s="1156"/>
      <c r="CA161" s="1039"/>
      <c r="CB161" s="1131"/>
      <c r="CC161" s="1036"/>
      <c r="CD161" s="1036"/>
      <c r="CE161" s="1036"/>
      <c r="CF161" s="1036"/>
      <c r="CG161" s="1036"/>
      <c r="CH161" s="1036"/>
      <c r="CI161" s="1036"/>
      <c r="CJ161" s="1036"/>
      <c r="CK161" s="1036"/>
    </row>
    <row r="162" spans="1:89" s="957" customFormat="1" ht="14.25">
      <c r="A162" s="1114"/>
      <c r="B162" s="1115"/>
      <c r="C162" s="1116"/>
      <c r="D162" s="1147"/>
      <c r="E162" s="1114"/>
      <c r="F162" s="1117"/>
      <c r="G162" s="1117"/>
      <c r="H162" s="1118"/>
      <c r="I162" s="1114"/>
      <c r="J162" s="1118"/>
      <c r="K162" s="1410"/>
      <c r="L162" s="1118"/>
      <c r="M162" s="1410"/>
      <c r="N162" s="1410"/>
      <c r="O162" s="1036"/>
      <c r="P162" s="1036"/>
      <c r="Q162" s="1036"/>
      <c r="R162" s="1036"/>
      <c r="S162" s="1036"/>
      <c r="T162" s="1118"/>
      <c r="U162" s="1280"/>
      <c r="V162" s="1118"/>
      <c r="W162" s="1280"/>
      <c r="X162" s="908"/>
      <c r="Y162" s="1036"/>
      <c r="Z162" s="1120"/>
      <c r="AA162" s="1121"/>
      <c r="AB162" s="1120"/>
      <c r="AC162" s="1320"/>
      <c r="AD162" s="1156"/>
      <c r="AE162" s="1039"/>
      <c r="AF162" s="1118"/>
      <c r="AG162" s="1117"/>
      <c r="AH162" s="1118"/>
      <c r="AI162" s="1324"/>
      <c r="AJ162" s="908"/>
      <c r="AK162" s="1036"/>
      <c r="AL162" s="1120"/>
      <c r="AM162" s="1121"/>
      <c r="AN162" s="1120"/>
      <c r="AO162" s="1320"/>
      <c r="AP162" s="1156"/>
      <c r="AQ162" s="1039"/>
      <c r="AR162" s="1118"/>
      <c r="AS162" s="1117"/>
      <c r="AT162" s="1118"/>
      <c r="AU162" s="1324"/>
      <c r="AV162" s="908"/>
      <c r="AW162" s="1036"/>
      <c r="AX162" s="1120"/>
      <c r="AY162" s="1121"/>
      <c r="AZ162" s="1120"/>
      <c r="BA162" s="1320"/>
      <c r="BB162" s="1156"/>
      <c r="BC162" s="1039"/>
      <c r="BD162" s="1036"/>
      <c r="BE162" s="1117"/>
      <c r="BF162" s="1118"/>
      <c r="BG162" s="1324"/>
      <c r="BH162" s="908"/>
      <c r="BI162" s="1036"/>
      <c r="BJ162" s="1039"/>
      <c r="BK162" s="1121"/>
      <c r="BL162" s="1120"/>
      <c r="BM162" s="1320"/>
      <c r="BN162" s="1156"/>
      <c r="BO162" s="1039"/>
      <c r="BP162" s="1036"/>
      <c r="BQ162" s="1117"/>
      <c r="BR162" s="1036"/>
      <c r="BS162" s="1324"/>
      <c r="BT162" s="908"/>
      <c r="BU162" s="1036"/>
      <c r="BV162" s="1039"/>
      <c r="BW162" s="1121"/>
      <c r="BX162" s="1039"/>
      <c r="BY162" s="1320"/>
      <c r="BZ162" s="1156"/>
      <c r="CA162" s="1039"/>
      <c r="CB162" s="1131"/>
      <c r="CC162" s="1036"/>
      <c r="CD162" s="1036"/>
      <c r="CE162" s="1036"/>
      <c r="CF162" s="1036"/>
      <c r="CG162" s="1036"/>
      <c r="CH162" s="1036"/>
      <c r="CI162" s="1036"/>
      <c r="CJ162" s="1036"/>
      <c r="CK162" s="1036"/>
    </row>
    <row r="163" spans="1:89" s="957" customFormat="1" ht="14.25">
      <c r="A163" s="1114"/>
      <c r="B163" s="1115"/>
      <c r="C163" s="1116"/>
      <c r="D163" s="1147"/>
      <c r="E163" s="1114"/>
      <c r="F163" s="1117"/>
      <c r="G163" s="1117"/>
      <c r="H163" s="1118"/>
      <c r="I163" s="1114"/>
      <c r="J163" s="1118"/>
      <c r="K163" s="1410"/>
      <c r="L163" s="1118"/>
      <c r="M163" s="1410"/>
      <c r="N163" s="1410"/>
      <c r="O163" s="1036"/>
      <c r="P163" s="1036"/>
      <c r="Q163" s="1036"/>
      <c r="R163" s="1036"/>
      <c r="S163" s="1036"/>
      <c r="T163" s="1118"/>
      <c r="U163" s="1280"/>
      <c r="V163" s="1118"/>
      <c r="W163" s="1280"/>
      <c r="X163" s="908"/>
      <c r="Y163" s="1036"/>
      <c r="Z163" s="1120"/>
      <c r="AA163" s="1121"/>
      <c r="AB163" s="1120"/>
      <c r="AC163" s="1320"/>
      <c r="AD163" s="1156"/>
      <c r="AE163" s="1039"/>
      <c r="AF163" s="1118"/>
      <c r="AG163" s="1117"/>
      <c r="AH163" s="1118"/>
      <c r="AI163" s="1324"/>
      <c r="AJ163" s="908"/>
      <c r="AK163" s="1036"/>
      <c r="AL163" s="1120"/>
      <c r="AM163" s="1121"/>
      <c r="AN163" s="1120"/>
      <c r="AO163" s="1320"/>
      <c r="AP163" s="1156"/>
      <c r="AQ163" s="1039"/>
      <c r="AR163" s="1118"/>
      <c r="AS163" s="1117"/>
      <c r="AT163" s="1118"/>
      <c r="AU163" s="1324"/>
      <c r="AV163" s="908"/>
      <c r="AW163" s="1036"/>
      <c r="AX163" s="1120"/>
      <c r="AY163" s="1121"/>
      <c r="AZ163" s="1120"/>
      <c r="BA163" s="1320"/>
      <c r="BB163" s="1156"/>
      <c r="BC163" s="1039"/>
      <c r="BD163" s="1036"/>
      <c r="BE163" s="1117"/>
      <c r="BF163" s="1118"/>
      <c r="BG163" s="1324"/>
      <c r="BH163" s="908"/>
      <c r="BI163" s="1036"/>
      <c r="BJ163" s="1039"/>
      <c r="BK163" s="1121"/>
      <c r="BL163" s="1120"/>
      <c r="BM163" s="1320"/>
      <c r="BN163" s="1156"/>
      <c r="BO163" s="1039"/>
      <c r="BP163" s="1036"/>
      <c r="BQ163" s="1117"/>
      <c r="BR163" s="1036"/>
      <c r="BS163" s="1324"/>
      <c r="BT163" s="908"/>
      <c r="BU163" s="1036"/>
      <c r="BV163" s="1039"/>
      <c r="BW163" s="1121"/>
      <c r="BX163" s="1039"/>
      <c r="BY163" s="1320"/>
      <c r="BZ163" s="1156"/>
      <c r="CA163" s="1039"/>
      <c r="CB163" s="1131"/>
      <c r="CC163" s="1036"/>
      <c r="CD163" s="1036"/>
      <c r="CE163" s="1036"/>
      <c r="CF163" s="1036"/>
      <c r="CG163" s="1036"/>
      <c r="CH163" s="1036"/>
      <c r="CI163" s="1036"/>
      <c r="CJ163" s="1036"/>
      <c r="CK163" s="1036"/>
    </row>
    <row r="164" spans="1:89" s="957" customFormat="1" ht="14.25">
      <c r="A164" s="1114"/>
      <c r="B164" s="1115"/>
      <c r="C164" s="1116"/>
      <c r="D164" s="1147"/>
      <c r="E164" s="1114"/>
      <c r="F164" s="1117"/>
      <c r="G164" s="1117"/>
      <c r="H164" s="1118"/>
      <c r="I164" s="1114"/>
      <c r="J164" s="1118"/>
      <c r="K164" s="1410"/>
      <c r="L164" s="1118"/>
      <c r="M164" s="1410"/>
      <c r="N164" s="1410"/>
      <c r="O164" s="1036"/>
      <c r="P164" s="1036"/>
      <c r="Q164" s="1036"/>
      <c r="R164" s="1036"/>
      <c r="S164" s="1036"/>
      <c r="T164" s="1118"/>
      <c r="U164" s="1280"/>
      <c r="V164" s="1118"/>
      <c r="W164" s="1280"/>
      <c r="X164" s="908"/>
      <c r="Y164" s="1036"/>
      <c r="Z164" s="1120"/>
      <c r="AA164" s="1121"/>
      <c r="AB164" s="1120"/>
      <c r="AC164" s="1320"/>
      <c r="AD164" s="1156"/>
      <c r="AE164" s="1039"/>
      <c r="AF164" s="1118"/>
      <c r="AG164" s="1117"/>
      <c r="AH164" s="1118"/>
      <c r="AI164" s="1324"/>
      <c r="AJ164" s="908"/>
      <c r="AK164" s="1036"/>
      <c r="AL164" s="1120"/>
      <c r="AM164" s="1121"/>
      <c r="AN164" s="1120"/>
      <c r="AO164" s="1320"/>
      <c r="AP164" s="1156"/>
      <c r="AQ164" s="1039"/>
      <c r="AR164" s="1118"/>
      <c r="AS164" s="1117"/>
      <c r="AT164" s="1118"/>
      <c r="AU164" s="1324"/>
      <c r="AV164" s="908"/>
      <c r="AW164" s="1036"/>
      <c r="AX164" s="1120"/>
      <c r="AY164" s="1121"/>
      <c r="AZ164" s="1120"/>
      <c r="BA164" s="1320"/>
      <c r="BB164" s="1156"/>
      <c r="BC164" s="1039"/>
      <c r="BD164" s="1036"/>
      <c r="BE164" s="1117"/>
      <c r="BF164" s="1118"/>
      <c r="BG164" s="1324"/>
      <c r="BH164" s="908"/>
      <c r="BI164" s="1036"/>
      <c r="BJ164" s="1039"/>
      <c r="BK164" s="1121"/>
      <c r="BL164" s="1120"/>
      <c r="BM164" s="1320"/>
      <c r="BN164" s="1156"/>
      <c r="BO164" s="1039"/>
      <c r="BP164" s="1036"/>
      <c r="BQ164" s="1117"/>
      <c r="BR164" s="1036"/>
      <c r="BS164" s="1324"/>
      <c r="BT164" s="908"/>
      <c r="BU164" s="1036"/>
      <c r="BV164" s="1039"/>
      <c r="BW164" s="1121"/>
      <c r="BX164" s="1039"/>
      <c r="BY164" s="1320"/>
      <c r="BZ164" s="1156"/>
      <c r="CA164" s="1039"/>
      <c r="CB164" s="1131"/>
      <c r="CC164" s="1036"/>
      <c r="CD164" s="1036"/>
      <c r="CE164" s="1036"/>
      <c r="CF164" s="1036"/>
      <c r="CG164" s="1036"/>
      <c r="CH164" s="1036"/>
      <c r="CI164" s="1036"/>
      <c r="CJ164" s="1036"/>
      <c r="CK164" s="1036"/>
    </row>
    <row r="165" spans="1:89" s="957" customFormat="1" ht="14.25">
      <c r="A165" s="1114"/>
      <c r="B165" s="1115"/>
      <c r="C165" s="1116"/>
      <c r="D165" s="1147"/>
      <c r="E165" s="1114"/>
      <c r="F165" s="1117"/>
      <c r="G165" s="1117"/>
      <c r="H165" s="1118"/>
      <c r="I165" s="1114"/>
      <c r="J165" s="1118"/>
      <c r="K165" s="1410"/>
      <c r="L165" s="1118"/>
      <c r="M165" s="1410"/>
      <c r="N165" s="1410"/>
      <c r="O165" s="1036"/>
      <c r="P165" s="1036"/>
      <c r="Q165" s="1036"/>
      <c r="R165" s="1036"/>
      <c r="S165" s="1036"/>
      <c r="T165" s="1118"/>
      <c r="U165" s="1280"/>
      <c r="V165" s="1118"/>
      <c r="W165" s="1280"/>
      <c r="X165" s="908"/>
      <c r="Y165" s="1036"/>
      <c r="Z165" s="1120"/>
      <c r="AA165" s="1121"/>
      <c r="AB165" s="1120"/>
      <c r="AC165" s="1320"/>
      <c r="AD165" s="1156"/>
      <c r="AE165" s="1039"/>
      <c r="AF165" s="1118"/>
      <c r="AG165" s="1117"/>
      <c r="AH165" s="1118"/>
      <c r="AI165" s="1324"/>
      <c r="AJ165" s="908"/>
      <c r="AK165" s="1036"/>
      <c r="AL165" s="1120"/>
      <c r="AM165" s="1121"/>
      <c r="AN165" s="1120"/>
      <c r="AO165" s="1320"/>
      <c r="AP165" s="1156"/>
      <c r="AQ165" s="1039"/>
      <c r="AR165" s="1118"/>
      <c r="AS165" s="1117"/>
      <c r="AT165" s="1118"/>
      <c r="AU165" s="1324"/>
      <c r="AV165" s="908"/>
      <c r="AW165" s="1036"/>
      <c r="AX165" s="1120"/>
      <c r="AY165" s="1121"/>
      <c r="AZ165" s="1120"/>
      <c r="BA165" s="1320"/>
      <c r="BB165" s="1156"/>
      <c r="BC165" s="1039"/>
      <c r="BD165" s="1036"/>
      <c r="BE165" s="1117"/>
      <c r="BF165" s="1118"/>
      <c r="BG165" s="1324"/>
      <c r="BH165" s="908"/>
      <c r="BI165" s="1036"/>
      <c r="BJ165" s="1039"/>
      <c r="BK165" s="1121"/>
      <c r="BL165" s="1120"/>
      <c r="BM165" s="1320"/>
      <c r="BN165" s="1156"/>
      <c r="BO165" s="1039"/>
      <c r="BP165" s="1036"/>
      <c r="BQ165" s="1117"/>
      <c r="BR165" s="1036"/>
      <c r="BS165" s="1324"/>
      <c r="BT165" s="908"/>
      <c r="BU165" s="1036"/>
      <c r="BV165" s="1039"/>
      <c r="BW165" s="1121"/>
      <c r="BX165" s="1039"/>
      <c r="BY165" s="1320"/>
      <c r="BZ165" s="1156"/>
      <c r="CA165" s="1039"/>
      <c r="CB165" s="1131"/>
      <c r="CC165" s="1036"/>
      <c r="CD165" s="1036"/>
      <c r="CE165" s="1036"/>
      <c r="CF165" s="1036"/>
      <c r="CG165" s="1036"/>
      <c r="CH165" s="1036"/>
      <c r="CI165" s="1036"/>
      <c r="CJ165" s="1036"/>
      <c r="CK165" s="1036"/>
    </row>
    <row r="166" spans="1:89" s="957" customFormat="1" ht="14.25">
      <c r="A166" s="1114"/>
      <c r="B166" s="1115"/>
      <c r="C166" s="1116"/>
      <c r="D166" s="1147"/>
      <c r="E166" s="1114"/>
      <c r="F166" s="1117"/>
      <c r="G166" s="1117"/>
      <c r="H166" s="1118"/>
      <c r="I166" s="1114"/>
      <c r="J166" s="1118"/>
      <c r="K166" s="1410"/>
      <c r="L166" s="1118"/>
      <c r="M166" s="1410"/>
      <c r="N166" s="1410"/>
      <c r="O166" s="1036"/>
      <c r="P166" s="1036"/>
      <c r="Q166" s="1036"/>
      <c r="R166" s="1036"/>
      <c r="S166" s="1036"/>
      <c r="T166" s="1118"/>
      <c r="U166" s="1280"/>
      <c r="V166" s="1118"/>
      <c r="W166" s="1280"/>
      <c r="X166" s="908"/>
      <c r="Y166" s="1036"/>
      <c r="Z166" s="1120"/>
      <c r="AA166" s="1121"/>
      <c r="AB166" s="1120"/>
      <c r="AC166" s="1320"/>
      <c r="AD166" s="1156"/>
      <c r="AE166" s="1039"/>
      <c r="AF166" s="1118"/>
      <c r="AG166" s="1117"/>
      <c r="AH166" s="1118"/>
      <c r="AI166" s="1324"/>
      <c r="AJ166" s="908"/>
      <c r="AK166" s="1036"/>
      <c r="AL166" s="1120"/>
      <c r="AM166" s="1121"/>
      <c r="AN166" s="1120"/>
      <c r="AO166" s="1320"/>
      <c r="AP166" s="1156"/>
      <c r="AQ166" s="1039"/>
      <c r="AR166" s="1118"/>
      <c r="AS166" s="1117"/>
      <c r="AT166" s="1118"/>
      <c r="AU166" s="1324"/>
      <c r="AV166" s="908"/>
      <c r="AW166" s="1036"/>
      <c r="AX166" s="1120"/>
      <c r="AY166" s="1121"/>
      <c r="AZ166" s="1120"/>
      <c r="BA166" s="1320"/>
      <c r="BB166" s="1156"/>
      <c r="BC166" s="1039"/>
      <c r="BD166" s="1036"/>
      <c r="BE166" s="1117"/>
      <c r="BF166" s="1118"/>
      <c r="BG166" s="1324"/>
      <c r="BH166" s="908"/>
      <c r="BI166" s="1036"/>
      <c r="BJ166" s="1039"/>
      <c r="BK166" s="1121"/>
      <c r="BL166" s="1120"/>
      <c r="BM166" s="1320"/>
      <c r="BN166" s="1156"/>
      <c r="BO166" s="1039"/>
      <c r="BP166" s="1036"/>
      <c r="BQ166" s="1117"/>
      <c r="BR166" s="1036"/>
      <c r="BS166" s="1324"/>
      <c r="BT166" s="908"/>
      <c r="BU166" s="1036"/>
      <c r="BV166" s="1039"/>
      <c r="BW166" s="1121"/>
      <c r="BX166" s="1039"/>
      <c r="BY166" s="1320"/>
      <c r="BZ166" s="1156"/>
      <c r="CA166" s="1039"/>
      <c r="CB166" s="1131"/>
      <c r="CC166" s="1036"/>
      <c r="CD166" s="1036"/>
      <c r="CE166" s="1036"/>
      <c r="CF166" s="1036"/>
      <c r="CG166" s="1036"/>
      <c r="CH166" s="1036"/>
      <c r="CI166" s="1036"/>
      <c r="CJ166" s="1036"/>
      <c r="CK166" s="1036"/>
    </row>
    <row r="167" spans="1:89" s="957" customFormat="1" ht="14.25">
      <c r="A167" s="1114"/>
      <c r="B167" s="1115"/>
      <c r="C167" s="1116"/>
      <c r="D167" s="1147"/>
      <c r="E167" s="1114"/>
      <c r="F167" s="1117"/>
      <c r="G167" s="1117"/>
      <c r="H167" s="1118"/>
      <c r="I167" s="1114"/>
      <c r="J167" s="1118"/>
      <c r="K167" s="1410"/>
      <c r="L167" s="1118"/>
      <c r="M167" s="1410"/>
      <c r="N167" s="1410"/>
      <c r="O167" s="1036"/>
      <c r="P167" s="1036"/>
      <c r="Q167" s="1036"/>
      <c r="R167" s="1036"/>
      <c r="S167" s="1036"/>
      <c r="T167" s="1118"/>
      <c r="U167" s="1280"/>
      <c r="V167" s="1118"/>
      <c r="W167" s="1280"/>
      <c r="X167" s="908"/>
      <c r="Y167" s="1036"/>
      <c r="Z167" s="1120"/>
      <c r="AA167" s="1121"/>
      <c r="AB167" s="1120"/>
      <c r="AC167" s="1320"/>
      <c r="AD167" s="1156"/>
      <c r="AE167" s="1039"/>
      <c r="AF167" s="1118"/>
      <c r="AG167" s="1117"/>
      <c r="AH167" s="1118"/>
      <c r="AI167" s="1324"/>
      <c r="AJ167" s="908"/>
      <c r="AK167" s="1036"/>
      <c r="AL167" s="1120"/>
      <c r="AM167" s="1121"/>
      <c r="AN167" s="1120"/>
      <c r="AO167" s="1320"/>
      <c r="AP167" s="1156"/>
      <c r="AQ167" s="1039"/>
      <c r="AR167" s="1118"/>
      <c r="AS167" s="1117"/>
      <c r="AT167" s="1118"/>
      <c r="AU167" s="1324"/>
      <c r="AV167" s="908"/>
      <c r="AW167" s="1036"/>
      <c r="AX167" s="1120"/>
      <c r="AY167" s="1121"/>
      <c r="AZ167" s="1120"/>
      <c r="BA167" s="1320"/>
      <c r="BB167" s="1156"/>
      <c r="BC167" s="1039"/>
      <c r="BD167" s="1036"/>
      <c r="BE167" s="1117"/>
      <c r="BF167" s="1118"/>
      <c r="BG167" s="1324"/>
      <c r="BH167" s="908"/>
      <c r="BI167" s="1036"/>
      <c r="BJ167" s="1039"/>
      <c r="BK167" s="1121"/>
      <c r="BL167" s="1120"/>
      <c r="BM167" s="1320"/>
      <c r="BN167" s="1156"/>
      <c r="BO167" s="1039"/>
      <c r="BP167" s="1036"/>
      <c r="BQ167" s="1117"/>
      <c r="BR167" s="1036"/>
      <c r="BS167" s="1324"/>
      <c r="BT167" s="908"/>
      <c r="BU167" s="1036"/>
      <c r="BV167" s="1039"/>
      <c r="BW167" s="1121"/>
      <c r="BX167" s="1039"/>
      <c r="BY167" s="1320"/>
      <c r="BZ167" s="1156"/>
      <c r="CA167" s="1039"/>
      <c r="CB167" s="1131"/>
      <c r="CC167" s="1036"/>
      <c r="CD167" s="1036"/>
      <c r="CE167" s="1036"/>
      <c r="CF167" s="1036"/>
      <c r="CG167" s="1036"/>
      <c r="CH167" s="1036"/>
      <c r="CI167" s="1036"/>
      <c r="CJ167" s="1036"/>
      <c r="CK167" s="1036"/>
    </row>
    <row r="168" spans="1:89" s="957" customFormat="1" ht="14.25">
      <c r="A168" s="1114"/>
      <c r="B168" s="1115"/>
      <c r="C168" s="1116"/>
      <c r="D168" s="1147"/>
      <c r="E168" s="1114"/>
      <c r="F168" s="1117"/>
      <c r="G168" s="1117"/>
      <c r="H168" s="1118"/>
      <c r="I168" s="1114"/>
      <c r="J168" s="1118"/>
      <c r="K168" s="1410"/>
      <c r="L168" s="1118"/>
      <c r="M168" s="1410"/>
      <c r="N168" s="1410"/>
      <c r="O168" s="1036"/>
      <c r="P168" s="1036"/>
      <c r="Q168" s="1036"/>
      <c r="R168" s="1036"/>
      <c r="S168" s="1036"/>
      <c r="T168" s="1118"/>
      <c r="U168" s="1280"/>
      <c r="V168" s="1118"/>
      <c r="W168" s="1280"/>
      <c r="X168" s="908"/>
      <c r="Y168" s="1036"/>
      <c r="Z168" s="1120"/>
      <c r="AA168" s="1121"/>
      <c r="AB168" s="1120"/>
      <c r="AC168" s="1320"/>
      <c r="AD168" s="1156"/>
      <c r="AE168" s="1039"/>
      <c r="AF168" s="1118"/>
      <c r="AG168" s="1117"/>
      <c r="AH168" s="1118"/>
      <c r="AI168" s="1324"/>
      <c r="AJ168" s="908"/>
      <c r="AK168" s="1036"/>
      <c r="AL168" s="1120"/>
      <c r="AM168" s="1121"/>
      <c r="AN168" s="1120"/>
      <c r="AO168" s="1320"/>
      <c r="AP168" s="1156"/>
      <c r="AQ168" s="1039"/>
      <c r="AR168" s="1118"/>
      <c r="AS168" s="1117"/>
      <c r="AT168" s="1118"/>
      <c r="AU168" s="1324"/>
      <c r="AV168" s="908"/>
      <c r="AW168" s="1036"/>
      <c r="AX168" s="1120"/>
      <c r="AY168" s="1121"/>
      <c r="AZ168" s="1120"/>
      <c r="BA168" s="1320"/>
      <c r="BB168" s="1156"/>
      <c r="BC168" s="1039"/>
      <c r="BD168" s="1036"/>
      <c r="BE168" s="1117"/>
      <c r="BF168" s="1118"/>
      <c r="BG168" s="1324"/>
      <c r="BH168" s="908"/>
      <c r="BI168" s="1036"/>
      <c r="BJ168" s="1039"/>
      <c r="BK168" s="1121"/>
      <c r="BL168" s="1120"/>
      <c r="BM168" s="1320"/>
      <c r="BN168" s="1156"/>
      <c r="BO168" s="1039"/>
      <c r="BP168" s="1036"/>
      <c r="BQ168" s="1117"/>
      <c r="BR168" s="1036"/>
      <c r="BS168" s="1324"/>
      <c r="BT168" s="908"/>
      <c r="BU168" s="1036"/>
      <c r="BV168" s="1039"/>
      <c r="BW168" s="1121"/>
      <c r="BX168" s="1039"/>
      <c r="BY168" s="1320"/>
      <c r="BZ168" s="1156"/>
      <c r="CA168" s="1039"/>
      <c r="CB168" s="1131"/>
      <c r="CC168" s="1036"/>
      <c r="CD168" s="1036"/>
      <c r="CE168" s="1036"/>
      <c r="CF168" s="1036"/>
      <c r="CG168" s="1036"/>
      <c r="CH168" s="1036"/>
      <c r="CI168" s="1036"/>
      <c r="CJ168" s="1036"/>
      <c r="CK168" s="1036"/>
    </row>
    <row r="169" spans="1:89" s="957" customFormat="1" ht="14.25">
      <c r="A169" s="1114"/>
      <c r="B169" s="1115"/>
      <c r="C169" s="1116"/>
      <c r="D169" s="1147"/>
      <c r="E169" s="1114"/>
      <c r="F169" s="1117"/>
      <c r="G169" s="1117"/>
      <c r="H169" s="1118"/>
      <c r="I169" s="1114"/>
      <c r="J169" s="1118"/>
      <c r="K169" s="1410"/>
      <c r="L169" s="1118"/>
      <c r="M169" s="1410"/>
      <c r="N169" s="1410"/>
      <c r="O169" s="1036"/>
      <c r="P169" s="1036"/>
      <c r="Q169" s="1036"/>
      <c r="R169" s="1036"/>
      <c r="S169" s="1036"/>
      <c r="T169" s="1118"/>
      <c r="U169" s="1280"/>
      <c r="V169" s="1118"/>
      <c r="W169" s="1280"/>
      <c r="X169" s="908"/>
      <c r="Y169" s="1036"/>
      <c r="Z169" s="1120"/>
      <c r="AA169" s="1121"/>
      <c r="AB169" s="1120"/>
      <c r="AC169" s="1320"/>
      <c r="AD169" s="1156"/>
      <c r="AE169" s="1039"/>
      <c r="AF169" s="1118"/>
      <c r="AG169" s="1117"/>
      <c r="AH169" s="1118"/>
      <c r="AI169" s="1324"/>
      <c r="AJ169" s="908"/>
      <c r="AK169" s="1036"/>
      <c r="AL169" s="1120"/>
      <c r="AM169" s="1121"/>
      <c r="AN169" s="1120"/>
      <c r="AO169" s="1320"/>
      <c r="AP169" s="1156"/>
      <c r="AQ169" s="1039"/>
      <c r="AR169" s="1118"/>
      <c r="AS169" s="1117"/>
      <c r="AT169" s="1118"/>
      <c r="AU169" s="1324"/>
      <c r="AV169" s="908"/>
      <c r="AW169" s="1036"/>
      <c r="AX169" s="1120"/>
      <c r="AY169" s="1121"/>
      <c r="AZ169" s="1120"/>
      <c r="BA169" s="1320"/>
      <c r="BB169" s="1156"/>
      <c r="BC169" s="1039"/>
      <c r="BD169" s="1036"/>
      <c r="BE169" s="1117"/>
      <c r="BF169" s="1118"/>
      <c r="BG169" s="1324"/>
      <c r="BH169" s="908"/>
      <c r="BI169" s="1036"/>
      <c r="BJ169" s="1039"/>
      <c r="BK169" s="1121"/>
      <c r="BL169" s="1120"/>
      <c r="BM169" s="1320"/>
      <c r="BN169" s="1156"/>
      <c r="BO169" s="1039"/>
      <c r="BP169" s="1036"/>
      <c r="BQ169" s="1117"/>
      <c r="BR169" s="1036"/>
      <c r="BS169" s="1324"/>
      <c r="BT169" s="908"/>
      <c r="BU169" s="1036"/>
      <c r="BV169" s="1039"/>
      <c r="BW169" s="1121"/>
      <c r="BX169" s="1039"/>
      <c r="BY169" s="1320"/>
      <c r="BZ169" s="1156"/>
      <c r="CA169" s="1039"/>
      <c r="CB169" s="1131"/>
      <c r="CC169" s="1036"/>
      <c r="CD169" s="1036"/>
      <c r="CE169" s="1036"/>
      <c r="CF169" s="1036"/>
      <c r="CG169" s="1036"/>
      <c r="CH169" s="1036"/>
      <c r="CI169" s="1036"/>
      <c r="CJ169" s="1036"/>
      <c r="CK169" s="1036"/>
    </row>
    <row r="170" spans="1:89" s="957" customFormat="1" ht="14.25">
      <c r="A170" s="1114"/>
      <c r="B170" s="1115"/>
      <c r="C170" s="1116"/>
      <c r="D170" s="1147"/>
      <c r="E170" s="1114"/>
      <c r="F170" s="1117"/>
      <c r="G170" s="1117"/>
      <c r="H170" s="1118"/>
      <c r="I170" s="1114"/>
      <c r="J170" s="1118"/>
      <c r="K170" s="1410"/>
      <c r="L170" s="1118"/>
      <c r="M170" s="1410"/>
      <c r="N170" s="1410"/>
      <c r="O170" s="1036"/>
      <c r="P170" s="1036"/>
      <c r="Q170" s="1036"/>
      <c r="R170" s="1036"/>
      <c r="S170" s="1036"/>
      <c r="T170" s="1118"/>
      <c r="U170" s="1280"/>
      <c r="V170" s="1118"/>
      <c r="W170" s="1280"/>
      <c r="X170" s="908"/>
      <c r="Y170" s="1036"/>
      <c r="Z170" s="1120"/>
      <c r="AA170" s="1121"/>
      <c r="AB170" s="1120"/>
      <c r="AC170" s="1320"/>
      <c r="AD170" s="1156"/>
      <c r="AE170" s="1039"/>
      <c r="AF170" s="1118"/>
      <c r="AG170" s="1117"/>
      <c r="AH170" s="1118"/>
      <c r="AI170" s="1324"/>
      <c r="AJ170" s="908"/>
      <c r="AK170" s="1036"/>
      <c r="AL170" s="1120"/>
      <c r="AM170" s="1121"/>
      <c r="AN170" s="1120"/>
      <c r="AO170" s="1320"/>
      <c r="AP170" s="1156"/>
      <c r="AQ170" s="1039"/>
      <c r="AR170" s="1118"/>
      <c r="AS170" s="1117"/>
      <c r="AT170" s="1118"/>
      <c r="AU170" s="1324"/>
      <c r="AV170" s="908"/>
      <c r="AW170" s="1036"/>
      <c r="AX170" s="1120"/>
      <c r="AY170" s="1121"/>
      <c r="AZ170" s="1120"/>
      <c r="BA170" s="1320"/>
      <c r="BB170" s="1156"/>
      <c r="BC170" s="1039"/>
      <c r="BD170" s="1036"/>
      <c r="BE170" s="1117"/>
      <c r="BF170" s="1118"/>
      <c r="BG170" s="1324"/>
      <c r="BH170" s="908"/>
      <c r="BI170" s="1036"/>
      <c r="BJ170" s="1039"/>
      <c r="BK170" s="1121"/>
      <c r="BL170" s="1120"/>
      <c r="BM170" s="1320"/>
      <c r="BN170" s="1156"/>
      <c r="BO170" s="1039"/>
      <c r="BP170" s="1036"/>
      <c r="BQ170" s="1117"/>
      <c r="BR170" s="1036"/>
      <c r="BS170" s="1324"/>
      <c r="BT170" s="908"/>
      <c r="BU170" s="1036"/>
      <c r="BV170" s="1039"/>
      <c r="BW170" s="1121"/>
      <c r="BX170" s="1039"/>
      <c r="BY170" s="1320"/>
      <c r="BZ170" s="1156"/>
      <c r="CA170" s="1039"/>
      <c r="CB170" s="1131"/>
      <c r="CC170" s="1036"/>
      <c r="CD170" s="1036"/>
      <c r="CE170" s="1036"/>
      <c r="CF170" s="1036"/>
      <c r="CG170" s="1036"/>
      <c r="CH170" s="1036"/>
      <c r="CI170" s="1036"/>
      <c r="CJ170" s="1036"/>
      <c r="CK170" s="1036"/>
    </row>
    <row r="171" spans="1:89" s="957" customFormat="1" ht="14.25">
      <c r="A171" s="1114"/>
      <c r="B171" s="1115"/>
      <c r="C171" s="1116"/>
      <c r="D171" s="1147"/>
      <c r="E171" s="1114"/>
      <c r="F171" s="1117"/>
      <c r="G171" s="1117"/>
      <c r="H171" s="1118"/>
      <c r="I171" s="1114"/>
      <c r="J171" s="1118"/>
      <c r="K171" s="1410"/>
      <c r="L171" s="1118"/>
      <c r="M171" s="1410"/>
      <c r="N171" s="1410"/>
      <c r="O171" s="1036"/>
      <c r="P171" s="1036"/>
      <c r="Q171" s="1036"/>
      <c r="R171" s="1036"/>
      <c r="S171" s="1036"/>
      <c r="T171" s="1118"/>
      <c r="U171" s="1280"/>
      <c r="V171" s="1118"/>
      <c r="W171" s="1280"/>
      <c r="X171" s="908"/>
      <c r="Y171" s="1036"/>
      <c r="Z171" s="1120"/>
      <c r="AA171" s="1121"/>
      <c r="AB171" s="1120"/>
      <c r="AC171" s="1320"/>
      <c r="AD171" s="1156"/>
      <c r="AE171" s="1039"/>
      <c r="AF171" s="1118"/>
      <c r="AG171" s="1117"/>
      <c r="AH171" s="1118"/>
      <c r="AI171" s="1324"/>
      <c r="AJ171" s="908"/>
      <c r="AK171" s="1036"/>
      <c r="AL171" s="1120"/>
      <c r="AM171" s="1121"/>
      <c r="AN171" s="1120"/>
      <c r="AO171" s="1320"/>
      <c r="AP171" s="1156"/>
      <c r="AQ171" s="1039"/>
      <c r="AR171" s="1118"/>
      <c r="AS171" s="1117"/>
      <c r="AT171" s="1118"/>
      <c r="AU171" s="1324"/>
      <c r="AV171" s="908"/>
      <c r="AW171" s="1036"/>
      <c r="AX171" s="1120"/>
      <c r="AY171" s="1121"/>
      <c r="AZ171" s="1120"/>
      <c r="BA171" s="1320"/>
      <c r="BB171" s="1156"/>
      <c r="BC171" s="1039"/>
      <c r="BD171" s="1036"/>
      <c r="BE171" s="1117"/>
      <c r="BF171" s="1118"/>
      <c r="BG171" s="1324"/>
      <c r="BH171" s="908"/>
      <c r="BI171" s="1036"/>
      <c r="BJ171" s="1039"/>
      <c r="BK171" s="1121"/>
      <c r="BL171" s="1120"/>
      <c r="BM171" s="1320"/>
      <c r="BN171" s="1156"/>
      <c r="BO171" s="1039"/>
      <c r="BP171" s="1036"/>
      <c r="BQ171" s="1117"/>
      <c r="BR171" s="1036"/>
      <c r="BS171" s="1324"/>
      <c r="BT171" s="908"/>
      <c r="BU171" s="1036"/>
      <c r="BV171" s="1039"/>
      <c r="BW171" s="1121"/>
      <c r="BX171" s="1039"/>
      <c r="BY171" s="1320"/>
      <c r="BZ171" s="1156"/>
      <c r="CA171" s="1039"/>
      <c r="CB171" s="1131"/>
      <c r="CC171" s="1036"/>
      <c r="CD171" s="1036"/>
      <c r="CE171" s="1036"/>
      <c r="CF171" s="1036"/>
      <c r="CG171" s="1036"/>
      <c r="CH171" s="1036"/>
      <c r="CI171" s="1036"/>
      <c r="CJ171" s="1036"/>
      <c r="CK171" s="1036"/>
    </row>
    <row r="172" spans="1:89" s="957" customFormat="1" ht="14.25">
      <c r="A172" s="1114"/>
      <c r="B172" s="1115"/>
      <c r="C172" s="1116"/>
      <c r="D172" s="1147"/>
      <c r="E172" s="1114"/>
      <c r="F172" s="1117"/>
      <c r="G172" s="1117"/>
      <c r="H172" s="1118"/>
      <c r="I172" s="1114"/>
      <c r="J172" s="1118"/>
      <c r="K172" s="1410"/>
      <c r="L172" s="1118"/>
      <c r="M172" s="1410"/>
      <c r="N172" s="1410"/>
      <c r="O172" s="1036"/>
      <c r="P172" s="1036"/>
      <c r="Q172" s="1036"/>
      <c r="R172" s="1036"/>
      <c r="S172" s="1036"/>
      <c r="T172" s="1118"/>
      <c r="U172" s="1280"/>
      <c r="V172" s="1118"/>
      <c r="W172" s="1280"/>
      <c r="X172" s="908"/>
      <c r="Y172" s="1036"/>
      <c r="Z172" s="1120"/>
      <c r="AA172" s="1121"/>
      <c r="AB172" s="1120"/>
      <c r="AC172" s="1320"/>
      <c r="AD172" s="1156"/>
      <c r="AE172" s="1039"/>
      <c r="AF172" s="1118"/>
      <c r="AG172" s="1117"/>
      <c r="AH172" s="1118"/>
      <c r="AI172" s="1324"/>
      <c r="AJ172" s="908"/>
      <c r="AK172" s="1036"/>
      <c r="AL172" s="1120"/>
      <c r="AM172" s="1121"/>
      <c r="AN172" s="1120"/>
      <c r="AO172" s="1320"/>
      <c r="AP172" s="1156"/>
      <c r="AQ172" s="1039"/>
      <c r="AR172" s="1118"/>
      <c r="AS172" s="1117"/>
      <c r="AT172" s="1118"/>
      <c r="AU172" s="1324"/>
      <c r="AV172" s="908"/>
      <c r="AW172" s="1036"/>
      <c r="AX172" s="1120"/>
      <c r="AY172" s="1121"/>
      <c r="AZ172" s="1120"/>
      <c r="BA172" s="1320"/>
      <c r="BB172" s="1156"/>
      <c r="BC172" s="1039"/>
      <c r="BD172" s="1036"/>
      <c r="BE172" s="1117"/>
      <c r="BF172" s="1118"/>
      <c r="BG172" s="1324"/>
      <c r="BH172" s="908"/>
      <c r="BI172" s="1036"/>
      <c r="BJ172" s="1039"/>
      <c r="BK172" s="1121"/>
      <c r="BL172" s="1120"/>
      <c r="BM172" s="1320"/>
      <c r="BN172" s="1156"/>
      <c r="BO172" s="1039"/>
      <c r="BP172" s="1036"/>
      <c r="BQ172" s="1117"/>
      <c r="BR172" s="1036"/>
      <c r="BS172" s="1324"/>
      <c r="BT172" s="908"/>
      <c r="BU172" s="1036"/>
      <c r="BV172" s="1039"/>
      <c r="BW172" s="1121"/>
      <c r="BX172" s="1039"/>
      <c r="BY172" s="1320"/>
      <c r="BZ172" s="1156"/>
      <c r="CA172" s="1039"/>
      <c r="CB172" s="1131"/>
      <c r="CC172" s="1036"/>
      <c r="CD172" s="1036"/>
      <c r="CE172" s="1036"/>
      <c r="CF172" s="1036"/>
      <c r="CG172" s="1036"/>
      <c r="CH172" s="1036"/>
      <c r="CI172" s="1036"/>
      <c r="CJ172" s="1036"/>
      <c r="CK172" s="1036"/>
    </row>
    <row r="173" spans="1:89" s="957" customFormat="1" ht="14.25">
      <c r="A173" s="1114"/>
      <c r="B173" s="1115"/>
      <c r="C173" s="1116"/>
      <c r="D173" s="1147"/>
      <c r="E173" s="1114"/>
      <c r="F173" s="1117"/>
      <c r="G173" s="1117"/>
      <c r="H173" s="1118"/>
      <c r="I173" s="1114"/>
      <c r="J173" s="1118"/>
      <c r="K173" s="1410"/>
      <c r="L173" s="1118"/>
      <c r="M173" s="1410"/>
      <c r="N173" s="1410"/>
      <c r="O173" s="1036"/>
      <c r="P173" s="1036"/>
      <c r="Q173" s="1036"/>
      <c r="R173" s="1036"/>
      <c r="S173" s="1036"/>
      <c r="T173" s="1118"/>
      <c r="U173" s="1280"/>
      <c r="V173" s="1118"/>
      <c r="W173" s="1280"/>
      <c r="X173" s="908"/>
      <c r="Y173" s="1036"/>
      <c r="Z173" s="1120"/>
      <c r="AA173" s="1121"/>
      <c r="AB173" s="1120"/>
      <c r="AC173" s="1320"/>
      <c r="AD173" s="1156"/>
      <c r="AE173" s="1039"/>
      <c r="AF173" s="1118"/>
      <c r="AG173" s="1117"/>
      <c r="AH173" s="1118"/>
      <c r="AI173" s="1324"/>
      <c r="AJ173" s="908"/>
      <c r="AK173" s="1036"/>
      <c r="AL173" s="1120"/>
      <c r="AM173" s="1121"/>
      <c r="AN173" s="1120"/>
      <c r="AO173" s="1320"/>
      <c r="AP173" s="1156"/>
      <c r="AQ173" s="1039"/>
      <c r="AR173" s="1118"/>
      <c r="AS173" s="1117"/>
      <c r="AT173" s="1118"/>
      <c r="AU173" s="1324"/>
      <c r="AV173" s="908"/>
      <c r="AW173" s="1036"/>
      <c r="AX173" s="1120"/>
      <c r="AY173" s="1121"/>
      <c r="AZ173" s="1120"/>
      <c r="BA173" s="1320"/>
      <c r="BB173" s="1156"/>
      <c r="BC173" s="1039"/>
      <c r="BD173" s="1036"/>
      <c r="BE173" s="1117"/>
      <c r="BF173" s="1118"/>
      <c r="BG173" s="1324"/>
      <c r="BH173" s="908"/>
      <c r="BI173" s="1036"/>
      <c r="BJ173" s="1039"/>
      <c r="BK173" s="1121"/>
      <c r="BL173" s="1120"/>
      <c r="BM173" s="1320"/>
      <c r="BN173" s="1156"/>
      <c r="BO173" s="1039"/>
      <c r="BP173" s="1036"/>
      <c r="BQ173" s="1117"/>
      <c r="BR173" s="1036"/>
      <c r="BS173" s="1324"/>
      <c r="BT173" s="908"/>
      <c r="BU173" s="1036"/>
      <c r="BV173" s="1039"/>
      <c r="BW173" s="1121"/>
      <c r="BX173" s="1039"/>
      <c r="BY173" s="1320"/>
      <c r="BZ173" s="1156"/>
      <c r="CA173" s="1039"/>
      <c r="CB173" s="1131"/>
      <c r="CC173" s="1036"/>
      <c r="CD173" s="1036"/>
      <c r="CE173" s="1036"/>
      <c r="CF173" s="1036"/>
      <c r="CG173" s="1036"/>
      <c r="CH173" s="1036"/>
      <c r="CI173" s="1036"/>
      <c r="CJ173" s="1036"/>
      <c r="CK173" s="1036"/>
    </row>
    <row r="174" spans="1:89" s="957" customFormat="1" ht="14.25">
      <c r="A174" s="1114"/>
      <c r="B174" s="1115"/>
      <c r="C174" s="1116"/>
      <c r="D174" s="1147"/>
      <c r="E174" s="1114"/>
      <c r="F174" s="1117"/>
      <c r="G174" s="1117"/>
      <c r="H174" s="1118"/>
      <c r="I174" s="1114"/>
      <c r="J174" s="1118"/>
      <c r="K174" s="1410"/>
      <c r="L174" s="1118"/>
      <c r="M174" s="1410"/>
      <c r="N174" s="1410"/>
      <c r="O174" s="1036"/>
      <c r="P174" s="1036"/>
      <c r="Q174" s="1036"/>
      <c r="R174" s="1036"/>
      <c r="S174" s="1036"/>
      <c r="T174" s="1118"/>
      <c r="U174" s="1280"/>
      <c r="V174" s="1118"/>
      <c r="W174" s="1280"/>
      <c r="X174" s="908"/>
      <c r="Y174" s="1036"/>
      <c r="Z174" s="1120"/>
      <c r="AA174" s="1121"/>
      <c r="AB174" s="1120"/>
      <c r="AC174" s="1320"/>
      <c r="AD174" s="1156"/>
      <c r="AE174" s="1039"/>
      <c r="AF174" s="1118"/>
      <c r="AG174" s="1117"/>
      <c r="AH174" s="1118"/>
      <c r="AI174" s="1324"/>
      <c r="AJ174" s="908"/>
      <c r="AK174" s="1036"/>
      <c r="AL174" s="1120"/>
      <c r="AM174" s="1121"/>
      <c r="AN174" s="1120"/>
      <c r="AO174" s="1320"/>
      <c r="AP174" s="1156"/>
      <c r="AQ174" s="1039"/>
      <c r="AR174" s="1118"/>
      <c r="AS174" s="1117"/>
      <c r="AT174" s="1118"/>
      <c r="AU174" s="1324"/>
      <c r="AV174" s="908"/>
      <c r="AW174" s="1036"/>
      <c r="AX174" s="1120"/>
      <c r="AY174" s="1121"/>
      <c r="AZ174" s="1120"/>
      <c r="BA174" s="1320"/>
      <c r="BB174" s="1156"/>
      <c r="BC174" s="1039"/>
      <c r="BD174" s="1036"/>
      <c r="BE174" s="1117"/>
      <c r="BF174" s="1118"/>
      <c r="BG174" s="1324"/>
      <c r="BH174" s="908"/>
      <c r="BI174" s="1036"/>
      <c r="BJ174" s="1039"/>
      <c r="BK174" s="1121"/>
      <c r="BL174" s="1120"/>
      <c r="BM174" s="1320"/>
      <c r="BN174" s="1156"/>
      <c r="BO174" s="1039"/>
      <c r="BP174" s="1036"/>
      <c r="BQ174" s="1117"/>
      <c r="BR174" s="1036"/>
      <c r="BS174" s="1324"/>
      <c r="BT174" s="908"/>
      <c r="BU174" s="1036"/>
      <c r="BV174" s="1039"/>
      <c r="BW174" s="1121"/>
      <c r="BX174" s="1039"/>
      <c r="BY174" s="1320"/>
      <c r="BZ174" s="1156"/>
      <c r="CA174" s="1039"/>
      <c r="CB174" s="1131"/>
      <c r="CC174" s="1036"/>
      <c r="CD174" s="1036"/>
      <c r="CE174" s="1036"/>
      <c r="CF174" s="1036"/>
      <c r="CG174" s="1036"/>
      <c r="CH174" s="1036"/>
      <c r="CI174" s="1036"/>
      <c r="CJ174" s="1036"/>
      <c r="CK174" s="1036"/>
    </row>
    <row r="175" spans="1:89" s="957" customFormat="1" ht="14.25">
      <c r="A175" s="1114"/>
      <c r="B175" s="1115"/>
      <c r="C175" s="1116"/>
      <c r="D175" s="1147"/>
      <c r="E175" s="1114"/>
      <c r="F175" s="1117"/>
      <c r="G175" s="1117"/>
      <c r="H175" s="1118"/>
      <c r="I175" s="1114"/>
      <c r="J175" s="1118"/>
      <c r="K175" s="1410"/>
      <c r="L175" s="1118"/>
      <c r="M175" s="1410"/>
      <c r="N175" s="1410"/>
      <c r="O175" s="1036"/>
      <c r="P175" s="1036"/>
      <c r="Q175" s="1036"/>
      <c r="R175" s="1036"/>
      <c r="S175" s="1036"/>
      <c r="T175" s="1118"/>
      <c r="U175" s="1280"/>
      <c r="V175" s="1118"/>
      <c r="W175" s="1280"/>
      <c r="X175" s="908"/>
      <c r="Y175" s="1036"/>
      <c r="Z175" s="1120"/>
      <c r="AA175" s="1121"/>
      <c r="AB175" s="1120"/>
      <c r="AC175" s="1320"/>
      <c r="AD175" s="1156"/>
      <c r="AE175" s="1039"/>
      <c r="AF175" s="1118"/>
      <c r="AG175" s="1117"/>
      <c r="AH175" s="1118"/>
      <c r="AI175" s="1324"/>
      <c r="AJ175" s="908"/>
      <c r="AK175" s="1036"/>
      <c r="AL175" s="1120"/>
      <c r="AM175" s="1121"/>
      <c r="AN175" s="1120"/>
      <c r="AO175" s="1320"/>
      <c r="AP175" s="1156"/>
      <c r="AQ175" s="1039"/>
      <c r="AR175" s="1118"/>
      <c r="AS175" s="1117"/>
      <c r="AT175" s="1118"/>
      <c r="AU175" s="1324"/>
      <c r="AV175" s="908"/>
      <c r="AW175" s="1036"/>
      <c r="AX175" s="1120"/>
      <c r="AY175" s="1121"/>
      <c r="AZ175" s="1120"/>
      <c r="BA175" s="1320"/>
      <c r="BB175" s="1156"/>
      <c r="BC175" s="1039"/>
      <c r="BD175" s="1036"/>
      <c r="BE175" s="1117"/>
      <c r="BF175" s="1118"/>
      <c r="BG175" s="1324"/>
      <c r="BH175" s="908"/>
      <c r="BI175" s="1036"/>
      <c r="BJ175" s="1039"/>
      <c r="BK175" s="1121"/>
      <c r="BL175" s="1120"/>
      <c r="BM175" s="1320"/>
      <c r="BN175" s="1156"/>
      <c r="BO175" s="1039"/>
      <c r="BP175" s="1036"/>
      <c r="BQ175" s="1117"/>
      <c r="BR175" s="1036"/>
      <c r="BS175" s="1324"/>
      <c r="BT175" s="908"/>
      <c r="BU175" s="1036"/>
      <c r="BV175" s="1039"/>
      <c r="BW175" s="1121"/>
      <c r="BX175" s="1039"/>
      <c r="BY175" s="1320"/>
      <c r="BZ175" s="1156"/>
      <c r="CA175" s="1039"/>
      <c r="CB175" s="1131"/>
      <c r="CC175" s="1036"/>
      <c r="CD175" s="1036"/>
      <c r="CE175" s="1036"/>
      <c r="CF175" s="1036"/>
      <c r="CG175" s="1036"/>
      <c r="CH175" s="1036"/>
      <c r="CI175" s="1036"/>
      <c r="CJ175" s="1036"/>
      <c r="CK175" s="1036"/>
    </row>
    <row r="176" spans="1:89" s="957" customFormat="1" ht="14.25">
      <c r="A176" s="1114"/>
      <c r="B176" s="1115"/>
      <c r="C176" s="1116"/>
      <c r="D176" s="1147"/>
      <c r="E176" s="1114"/>
      <c r="F176" s="1117"/>
      <c r="G176" s="1117"/>
      <c r="H176" s="1118"/>
      <c r="I176" s="1114"/>
      <c r="J176" s="1118"/>
      <c r="K176" s="1410"/>
      <c r="L176" s="1118"/>
      <c r="M176" s="1410"/>
      <c r="N176" s="1410"/>
      <c r="O176" s="1036"/>
      <c r="P176" s="1036"/>
      <c r="Q176" s="1036"/>
      <c r="R176" s="1036"/>
      <c r="S176" s="1036"/>
      <c r="T176" s="1118"/>
      <c r="U176" s="1280"/>
      <c r="V176" s="1118"/>
      <c r="W176" s="1280"/>
      <c r="X176" s="908"/>
      <c r="Y176" s="1036"/>
      <c r="Z176" s="1120"/>
      <c r="AA176" s="1121"/>
      <c r="AB176" s="1120"/>
      <c r="AC176" s="1320"/>
      <c r="AD176" s="1156"/>
      <c r="AE176" s="1039"/>
      <c r="AF176" s="1118"/>
      <c r="AG176" s="1117"/>
      <c r="AH176" s="1118"/>
      <c r="AI176" s="1324"/>
      <c r="AJ176" s="908"/>
      <c r="AK176" s="1036"/>
      <c r="AL176" s="1120"/>
      <c r="AM176" s="1121"/>
      <c r="AN176" s="1120"/>
      <c r="AO176" s="1320"/>
      <c r="AP176" s="1156"/>
      <c r="AQ176" s="1039"/>
      <c r="AR176" s="1118"/>
      <c r="AS176" s="1117"/>
      <c r="AT176" s="1118"/>
      <c r="AU176" s="1324"/>
      <c r="AV176" s="908"/>
      <c r="AW176" s="1036"/>
      <c r="AX176" s="1120"/>
      <c r="AY176" s="1121"/>
      <c r="AZ176" s="1120"/>
      <c r="BA176" s="1320"/>
      <c r="BB176" s="1156"/>
      <c r="BC176" s="1039"/>
      <c r="BD176" s="1036"/>
      <c r="BE176" s="1117"/>
      <c r="BF176" s="1118"/>
      <c r="BG176" s="1324"/>
      <c r="BH176" s="908"/>
      <c r="BI176" s="1036"/>
      <c r="BJ176" s="1039"/>
      <c r="BK176" s="1121"/>
      <c r="BL176" s="1120"/>
      <c r="BM176" s="1320"/>
      <c r="BN176" s="1156"/>
      <c r="BO176" s="1039"/>
      <c r="BP176" s="1036"/>
      <c r="BQ176" s="1117"/>
      <c r="BR176" s="1036"/>
      <c r="BS176" s="1324"/>
      <c r="BT176" s="908"/>
      <c r="BU176" s="1036"/>
      <c r="BV176" s="1039"/>
      <c r="BW176" s="1121"/>
      <c r="BX176" s="1039"/>
      <c r="BY176" s="1320"/>
      <c r="BZ176" s="1156"/>
      <c r="CA176" s="1039"/>
      <c r="CB176" s="1131"/>
      <c r="CC176" s="1036"/>
      <c r="CD176" s="1036"/>
      <c r="CE176" s="1036"/>
      <c r="CF176" s="1036"/>
      <c r="CG176" s="1036"/>
      <c r="CH176" s="1036"/>
      <c r="CI176" s="1036"/>
      <c r="CJ176" s="1036"/>
      <c r="CK176" s="1036"/>
    </row>
    <row r="177" spans="1:89" s="957" customFormat="1" ht="14.25">
      <c r="A177" s="1114"/>
      <c r="B177" s="1115"/>
      <c r="C177" s="1116"/>
      <c r="D177" s="1147"/>
      <c r="E177" s="1114"/>
      <c r="F177" s="1117"/>
      <c r="G177" s="1117"/>
      <c r="H177" s="1118"/>
      <c r="I177" s="1114"/>
      <c r="J177" s="1118"/>
      <c r="K177" s="1410"/>
      <c r="L177" s="1118"/>
      <c r="M177" s="1410"/>
      <c r="N177" s="1410"/>
      <c r="O177" s="1036"/>
      <c r="P177" s="1036"/>
      <c r="Q177" s="1036"/>
      <c r="R177" s="1036"/>
      <c r="S177" s="1036"/>
      <c r="T177" s="1118"/>
      <c r="U177" s="1280"/>
      <c r="V177" s="1118"/>
      <c r="W177" s="1280"/>
      <c r="X177" s="908"/>
      <c r="Y177" s="1036"/>
      <c r="Z177" s="1120"/>
      <c r="AA177" s="1121"/>
      <c r="AB177" s="1120"/>
      <c r="AC177" s="1320"/>
      <c r="AD177" s="1156"/>
      <c r="AE177" s="1039"/>
      <c r="AF177" s="1118"/>
      <c r="AG177" s="1117"/>
      <c r="AH177" s="1118"/>
      <c r="AI177" s="1324"/>
      <c r="AJ177" s="908"/>
      <c r="AK177" s="1036"/>
      <c r="AL177" s="1120"/>
      <c r="AM177" s="1121"/>
      <c r="AN177" s="1120"/>
      <c r="AO177" s="1320"/>
      <c r="AP177" s="1156"/>
      <c r="AQ177" s="1039"/>
      <c r="AR177" s="1118"/>
      <c r="AS177" s="1117"/>
      <c r="AT177" s="1118"/>
      <c r="AU177" s="1324"/>
      <c r="AV177" s="908"/>
      <c r="AW177" s="1036"/>
      <c r="AX177" s="1120"/>
      <c r="AY177" s="1121"/>
      <c r="AZ177" s="1120"/>
      <c r="BA177" s="1320"/>
      <c r="BB177" s="1156"/>
      <c r="BC177" s="1039"/>
      <c r="BD177" s="1036"/>
      <c r="BE177" s="1117"/>
      <c r="BF177" s="1118"/>
      <c r="BG177" s="1324"/>
      <c r="BH177" s="908"/>
      <c r="BI177" s="1036"/>
      <c r="BJ177" s="1039"/>
      <c r="BK177" s="1121"/>
      <c r="BL177" s="1120"/>
      <c r="BM177" s="1320"/>
      <c r="BN177" s="1156"/>
      <c r="BO177" s="1039"/>
      <c r="BP177" s="1036"/>
      <c r="BQ177" s="1117"/>
      <c r="BR177" s="1036"/>
      <c r="BS177" s="1324"/>
      <c r="BT177" s="908"/>
      <c r="BU177" s="1036"/>
      <c r="BV177" s="1039"/>
      <c r="BW177" s="1121"/>
      <c r="BX177" s="1039"/>
      <c r="BY177" s="1320"/>
      <c r="BZ177" s="1156"/>
      <c r="CA177" s="1039"/>
      <c r="CB177" s="1131"/>
      <c r="CC177" s="1036"/>
      <c r="CD177" s="1036"/>
      <c r="CE177" s="1036"/>
      <c r="CF177" s="1036"/>
      <c r="CG177" s="1036"/>
      <c r="CH177" s="1036"/>
      <c r="CI177" s="1036"/>
      <c r="CJ177" s="1036"/>
      <c r="CK177" s="1036"/>
    </row>
    <row r="178" spans="1:89" s="957" customFormat="1" ht="14.25">
      <c r="A178" s="1114"/>
      <c r="B178" s="1115"/>
      <c r="C178" s="1116"/>
      <c r="D178" s="1147"/>
      <c r="E178" s="1114"/>
      <c r="F178" s="1117"/>
      <c r="G178" s="1117"/>
      <c r="H178" s="1118"/>
      <c r="I178" s="1114"/>
      <c r="J178" s="1118"/>
      <c r="K178" s="1410"/>
      <c r="L178" s="1118"/>
      <c r="M178" s="1410"/>
      <c r="N178" s="1410"/>
      <c r="O178" s="1036"/>
      <c r="P178" s="1036"/>
      <c r="Q178" s="1036"/>
      <c r="R178" s="1036"/>
      <c r="S178" s="1036"/>
      <c r="T178" s="1118"/>
      <c r="U178" s="1280"/>
      <c r="V178" s="1118"/>
      <c r="W178" s="1280"/>
      <c r="X178" s="908"/>
      <c r="Y178" s="1036"/>
      <c r="Z178" s="1120"/>
      <c r="AA178" s="1121"/>
      <c r="AB178" s="1120"/>
      <c r="AC178" s="1320"/>
      <c r="AD178" s="1156"/>
      <c r="AE178" s="1039"/>
      <c r="AF178" s="1118"/>
      <c r="AG178" s="1117"/>
      <c r="AH178" s="1118"/>
      <c r="AI178" s="1324"/>
      <c r="AJ178" s="908"/>
      <c r="AK178" s="1036"/>
      <c r="AL178" s="1120"/>
      <c r="AM178" s="1121"/>
      <c r="AN178" s="1120"/>
      <c r="AO178" s="1320"/>
      <c r="AP178" s="1156"/>
      <c r="AQ178" s="1039"/>
      <c r="AR178" s="1118"/>
      <c r="AS178" s="1117"/>
      <c r="AT178" s="1118"/>
      <c r="AU178" s="1324"/>
      <c r="AV178" s="908"/>
      <c r="AW178" s="1036"/>
      <c r="AX178" s="1120"/>
      <c r="AY178" s="1121"/>
      <c r="AZ178" s="1120"/>
      <c r="BA178" s="1320"/>
      <c r="BB178" s="1156"/>
      <c r="BC178" s="1039"/>
      <c r="BD178" s="1036"/>
      <c r="BE178" s="1117"/>
      <c r="BF178" s="1118"/>
      <c r="BG178" s="1324"/>
      <c r="BH178" s="908"/>
      <c r="BI178" s="1036"/>
      <c r="BJ178" s="1039"/>
      <c r="BK178" s="1121"/>
      <c r="BL178" s="1120"/>
      <c r="BM178" s="1320"/>
      <c r="BN178" s="1156"/>
      <c r="BO178" s="1039"/>
      <c r="BP178" s="1036"/>
      <c r="BQ178" s="1117"/>
      <c r="BR178" s="1036"/>
      <c r="BS178" s="1324"/>
      <c r="BT178" s="908"/>
      <c r="BU178" s="1036"/>
      <c r="BV178" s="1039"/>
      <c r="BW178" s="1121"/>
      <c r="BX178" s="1039"/>
      <c r="BY178" s="1320"/>
      <c r="BZ178" s="1156"/>
      <c r="CA178" s="1039"/>
      <c r="CB178" s="1131"/>
      <c r="CC178" s="1036"/>
      <c r="CD178" s="1036"/>
      <c r="CE178" s="1036"/>
      <c r="CF178" s="1036"/>
      <c r="CG178" s="1036"/>
      <c r="CH178" s="1036"/>
      <c r="CI178" s="1036"/>
      <c r="CJ178" s="1036"/>
      <c r="CK178" s="1036"/>
    </row>
    <row r="179" spans="1:89" s="957" customFormat="1" ht="14.25">
      <c r="A179" s="1114"/>
      <c r="B179" s="1115"/>
      <c r="C179" s="1116"/>
      <c r="D179" s="1147"/>
      <c r="E179" s="1114"/>
      <c r="F179" s="1117"/>
      <c r="G179" s="1117"/>
      <c r="H179" s="1118"/>
      <c r="I179" s="1114"/>
      <c r="J179" s="1118"/>
      <c r="K179" s="1410"/>
      <c r="L179" s="1118"/>
      <c r="M179" s="1410"/>
      <c r="N179" s="1410"/>
      <c r="O179" s="1036"/>
      <c r="P179" s="1036"/>
      <c r="Q179" s="1036"/>
      <c r="R179" s="1036"/>
      <c r="S179" s="1036"/>
      <c r="T179" s="1118"/>
      <c r="U179" s="1280"/>
      <c r="V179" s="1118"/>
      <c r="W179" s="1280"/>
      <c r="X179" s="908"/>
      <c r="Y179" s="1036"/>
      <c r="Z179" s="1120"/>
      <c r="AA179" s="1121"/>
      <c r="AB179" s="1120"/>
      <c r="AC179" s="1320"/>
      <c r="AD179" s="1156"/>
      <c r="AE179" s="1039"/>
      <c r="AF179" s="1118"/>
      <c r="AG179" s="1117"/>
      <c r="AH179" s="1118"/>
      <c r="AI179" s="1324"/>
      <c r="AJ179" s="908"/>
      <c r="AK179" s="1036"/>
      <c r="AL179" s="1120"/>
      <c r="AM179" s="1121"/>
      <c r="AN179" s="1120"/>
      <c r="AO179" s="1320"/>
      <c r="AP179" s="1156"/>
      <c r="AQ179" s="1039"/>
      <c r="AR179" s="1118"/>
      <c r="AS179" s="1117"/>
      <c r="AT179" s="1118"/>
      <c r="AU179" s="1324"/>
      <c r="AV179" s="908"/>
      <c r="AW179" s="1036"/>
      <c r="AX179" s="1120"/>
      <c r="AY179" s="1121"/>
      <c r="AZ179" s="1120"/>
      <c r="BA179" s="1320"/>
      <c r="BB179" s="1156"/>
      <c r="BC179" s="1039"/>
      <c r="BD179" s="1036"/>
      <c r="BE179" s="1117"/>
      <c r="BF179" s="1118"/>
      <c r="BG179" s="1324"/>
      <c r="BH179" s="908"/>
      <c r="BI179" s="1036"/>
      <c r="BJ179" s="1039"/>
      <c r="BK179" s="1121"/>
      <c r="BL179" s="1120"/>
      <c r="BM179" s="1320"/>
      <c r="BN179" s="1156"/>
      <c r="BO179" s="1039"/>
      <c r="BP179" s="1036"/>
      <c r="BQ179" s="1117"/>
      <c r="BR179" s="1036"/>
      <c r="BS179" s="1324"/>
      <c r="BT179" s="908"/>
      <c r="BU179" s="1036"/>
      <c r="BV179" s="1039"/>
      <c r="BW179" s="1121"/>
      <c r="BX179" s="1039"/>
      <c r="BY179" s="1320"/>
      <c r="BZ179" s="1156"/>
      <c r="CA179" s="1039"/>
      <c r="CB179" s="1131"/>
      <c r="CC179" s="1036"/>
      <c r="CD179" s="1036"/>
      <c r="CE179" s="1036"/>
      <c r="CF179" s="1036"/>
      <c r="CG179" s="1036"/>
      <c r="CH179" s="1036"/>
      <c r="CI179" s="1036"/>
      <c r="CJ179" s="1036"/>
      <c r="CK179" s="1036"/>
    </row>
    <row r="180" spans="1:89" s="957" customFormat="1" ht="14.25">
      <c r="A180" s="1114"/>
      <c r="B180" s="1115"/>
      <c r="C180" s="1116"/>
      <c r="D180" s="1147"/>
      <c r="E180" s="1114"/>
      <c r="F180" s="1117"/>
      <c r="G180" s="1117"/>
      <c r="H180" s="1118"/>
      <c r="I180" s="1114"/>
      <c r="J180" s="1118"/>
      <c r="K180" s="1410"/>
      <c r="L180" s="1118"/>
      <c r="M180" s="1410"/>
      <c r="N180" s="1410"/>
      <c r="O180" s="1036"/>
      <c r="P180" s="1036"/>
      <c r="Q180" s="1036"/>
      <c r="R180" s="1036"/>
      <c r="S180" s="1036"/>
      <c r="T180" s="1118"/>
      <c r="U180" s="1280"/>
      <c r="V180" s="1118"/>
      <c r="W180" s="1280"/>
      <c r="X180" s="908"/>
      <c r="Y180" s="1036"/>
      <c r="Z180" s="1120"/>
      <c r="AA180" s="1121"/>
      <c r="AB180" s="1120"/>
      <c r="AC180" s="1320"/>
      <c r="AD180" s="1156"/>
      <c r="AE180" s="1039"/>
      <c r="AF180" s="1118"/>
      <c r="AG180" s="1117"/>
      <c r="AH180" s="1118"/>
      <c r="AI180" s="1324"/>
      <c r="AJ180" s="908"/>
      <c r="AK180" s="1036"/>
      <c r="AL180" s="1120"/>
      <c r="AM180" s="1121"/>
      <c r="AN180" s="1120"/>
      <c r="AO180" s="1320"/>
      <c r="AP180" s="1156"/>
      <c r="AQ180" s="1039"/>
      <c r="AR180" s="1118"/>
      <c r="AS180" s="1117"/>
      <c r="AT180" s="1118"/>
      <c r="AU180" s="1324"/>
      <c r="AV180" s="908"/>
      <c r="AW180" s="1036"/>
      <c r="AX180" s="1120"/>
      <c r="AY180" s="1121"/>
      <c r="AZ180" s="1120"/>
      <c r="BA180" s="1320"/>
      <c r="BB180" s="1156"/>
      <c r="BC180" s="1039"/>
      <c r="BD180" s="1036"/>
      <c r="BE180" s="1117"/>
      <c r="BF180" s="1118"/>
      <c r="BG180" s="1324"/>
      <c r="BH180" s="908"/>
      <c r="BI180" s="1036"/>
      <c r="BJ180" s="1039"/>
      <c r="BK180" s="1121"/>
      <c r="BL180" s="1120"/>
      <c r="BM180" s="1320"/>
      <c r="BN180" s="1156"/>
      <c r="BO180" s="1039"/>
      <c r="BP180" s="1036"/>
      <c r="BQ180" s="1117"/>
      <c r="BR180" s="1036"/>
      <c r="BS180" s="1324"/>
      <c r="BT180" s="908"/>
      <c r="BU180" s="1036"/>
      <c r="BV180" s="1039"/>
      <c r="BW180" s="1121"/>
      <c r="BX180" s="1039"/>
      <c r="BY180" s="1320"/>
      <c r="BZ180" s="1156"/>
      <c r="CA180" s="1039"/>
      <c r="CB180" s="1131"/>
      <c r="CC180" s="1036"/>
      <c r="CD180" s="1036"/>
      <c r="CE180" s="1036"/>
      <c r="CF180" s="1036"/>
      <c r="CG180" s="1036"/>
      <c r="CH180" s="1036"/>
      <c r="CI180" s="1036"/>
      <c r="CJ180" s="1036"/>
      <c r="CK180" s="1036"/>
    </row>
    <row r="181" spans="1:89" s="957" customFormat="1" ht="14.25">
      <c r="A181" s="1114"/>
      <c r="B181" s="1115"/>
      <c r="C181" s="1116"/>
      <c r="D181" s="1147"/>
      <c r="E181" s="1114"/>
      <c r="F181" s="1117"/>
      <c r="G181" s="1117"/>
      <c r="H181" s="1118"/>
      <c r="I181" s="1114"/>
      <c r="J181" s="1118"/>
      <c r="K181" s="1410"/>
      <c r="L181" s="1118"/>
      <c r="M181" s="1410"/>
      <c r="N181" s="1410"/>
      <c r="O181" s="1036"/>
      <c r="P181" s="1036"/>
      <c r="Q181" s="1036"/>
      <c r="R181" s="1036"/>
      <c r="S181" s="1036"/>
      <c r="T181" s="1118"/>
      <c r="U181" s="1280"/>
      <c r="V181" s="1118"/>
      <c r="W181" s="1280"/>
      <c r="X181" s="908"/>
      <c r="Y181" s="1036"/>
      <c r="Z181" s="1120"/>
      <c r="AA181" s="1121"/>
      <c r="AB181" s="1120"/>
      <c r="AC181" s="1320"/>
      <c r="AD181" s="1156"/>
      <c r="AE181" s="1039"/>
      <c r="AF181" s="1118"/>
      <c r="AG181" s="1117"/>
      <c r="AH181" s="1118"/>
      <c r="AI181" s="1324"/>
      <c r="AJ181" s="908"/>
      <c r="AK181" s="1036"/>
      <c r="AL181" s="1120"/>
      <c r="AM181" s="1121"/>
      <c r="AN181" s="1120"/>
      <c r="AO181" s="1320"/>
      <c r="AP181" s="1156"/>
      <c r="AQ181" s="1039"/>
      <c r="AR181" s="1118"/>
      <c r="AS181" s="1117"/>
      <c r="AT181" s="1118"/>
      <c r="AU181" s="1324"/>
      <c r="AV181" s="908"/>
      <c r="AW181" s="1036"/>
      <c r="AX181" s="1120"/>
      <c r="AY181" s="1121"/>
      <c r="AZ181" s="1120"/>
      <c r="BA181" s="1320"/>
      <c r="BB181" s="1156"/>
      <c r="BC181" s="1039"/>
      <c r="BD181" s="1036"/>
      <c r="BE181" s="1117"/>
      <c r="BF181" s="1118"/>
      <c r="BG181" s="1324"/>
      <c r="BH181" s="908"/>
      <c r="BI181" s="1036"/>
      <c r="BJ181" s="1039"/>
      <c r="BK181" s="1121"/>
      <c r="BL181" s="1120"/>
      <c r="BM181" s="1320"/>
      <c r="BN181" s="1156"/>
      <c r="BO181" s="1039"/>
      <c r="BP181" s="1036"/>
      <c r="BQ181" s="1117"/>
      <c r="BR181" s="1036"/>
      <c r="BS181" s="1324"/>
      <c r="BT181" s="908"/>
      <c r="BU181" s="1036"/>
      <c r="BV181" s="1039"/>
      <c r="BW181" s="1121"/>
      <c r="BX181" s="1039"/>
      <c r="BY181" s="1320"/>
      <c r="BZ181" s="1156"/>
      <c r="CA181" s="1039"/>
      <c r="CB181" s="1131"/>
      <c r="CC181" s="1036"/>
      <c r="CD181" s="1036"/>
      <c r="CE181" s="1036"/>
      <c r="CF181" s="1036"/>
      <c r="CG181" s="1036"/>
      <c r="CH181" s="1036"/>
      <c r="CI181" s="1036"/>
      <c r="CJ181" s="1036"/>
      <c r="CK181" s="1036"/>
    </row>
    <row r="182" spans="1:89" s="957" customFormat="1" ht="14.25">
      <c r="A182" s="1114"/>
      <c r="B182" s="1115"/>
      <c r="C182" s="1116"/>
      <c r="D182" s="1147"/>
      <c r="E182" s="1114"/>
      <c r="F182" s="1117"/>
      <c r="G182" s="1117"/>
      <c r="H182" s="1118"/>
      <c r="I182" s="1114"/>
      <c r="J182" s="1118"/>
      <c r="K182" s="1410"/>
      <c r="L182" s="1118"/>
      <c r="M182" s="1410"/>
      <c r="N182" s="1410"/>
      <c r="O182" s="1036"/>
      <c r="P182" s="1036"/>
      <c r="Q182" s="1036"/>
      <c r="R182" s="1036"/>
      <c r="S182" s="1036"/>
      <c r="T182" s="1118"/>
      <c r="U182" s="1280"/>
      <c r="V182" s="1118"/>
      <c r="W182" s="1280"/>
      <c r="X182" s="908"/>
      <c r="Y182" s="1036"/>
      <c r="Z182" s="1120"/>
      <c r="AA182" s="1121"/>
      <c r="AB182" s="1120"/>
      <c r="AC182" s="1320"/>
      <c r="AD182" s="1156"/>
      <c r="AE182" s="1039"/>
      <c r="AF182" s="1118"/>
      <c r="AG182" s="1117"/>
      <c r="AH182" s="1118"/>
      <c r="AI182" s="1324"/>
      <c r="AJ182" s="908"/>
      <c r="AK182" s="1036"/>
      <c r="AL182" s="1120"/>
      <c r="AM182" s="1121"/>
      <c r="AN182" s="1120"/>
      <c r="AO182" s="1320"/>
      <c r="AP182" s="1156"/>
      <c r="AQ182" s="1039"/>
      <c r="AR182" s="1118"/>
      <c r="AS182" s="1117"/>
      <c r="AT182" s="1118"/>
      <c r="AU182" s="1324"/>
      <c r="AV182" s="908"/>
      <c r="AW182" s="1036"/>
      <c r="AX182" s="1120"/>
      <c r="AY182" s="1121"/>
      <c r="AZ182" s="1120"/>
      <c r="BA182" s="1320"/>
      <c r="BB182" s="1156"/>
      <c r="BC182" s="1039"/>
      <c r="BD182" s="1036"/>
      <c r="BE182" s="1117"/>
      <c r="BF182" s="1118"/>
      <c r="BG182" s="1324"/>
      <c r="BH182" s="908"/>
      <c r="BI182" s="1036"/>
      <c r="BJ182" s="1039"/>
      <c r="BK182" s="1121"/>
      <c r="BL182" s="1120"/>
      <c r="BM182" s="1320"/>
      <c r="BN182" s="1156"/>
      <c r="BO182" s="1039"/>
      <c r="BP182" s="1036"/>
      <c r="BQ182" s="1117"/>
      <c r="BR182" s="1036"/>
      <c r="BS182" s="1324"/>
      <c r="BT182" s="908"/>
      <c r="BU182" s="1036"/>
      <c r="BV182" s="1039"/>
      <c r="BW182" s="1121"/>
      <c r="BX182" s="1039"/>
      <c r="BY182" s="1320"/>
      <c r="BZ182" s="1156"/>
      <c r="CA182" s="1039"/>
      <c r="CB182" s="1131"/>
      <c r="CC182" s="1036"/>
      <c r="CD182" s="1036"/>
      <c r="CE182" s="1036"/>
      <c r="CF182" s="1036"/>
      <c r="CG182" s="1036"/>
      <c r="CH182" s="1036"/>
      <c r="CI182" s="1036"/>
      <c r="CJ182" s="1036"/>
      <c r="CK182" s="1036"/>
    </row>
    <row r="183" spans="1:89" s="957" customFormat="1" ht="14.25">
      <c r="A183" s="1114"/>
      <c r="B183" s="1115"/>
      <c r="C183" s="1116"/>
      <c r="D183" s="1147"/>
      <c r="E183" s="1114"/>
      <c r="F183" s="1117"/>
      <c r="G183" s="1117"/>
      <c r="H183" s="1118"/>
      <c r="I183" s="1114"/>
      <c r="J183" s="1118"/>
      <c r="K183" s="1410"/>
      <c r="L183" s="1118"/>
      <c r="M183" s="1410"/>
      <c r="N183" s="1410"/>
      <c r="O183" s="1036"/>
      <c r="P183" s="1036"/>
      <c r="Q183" s="1036"/>
      <c r="R183" s="1036"/>
      <c r="S183" s="1036"/>
      <c r="T183" s="1118"/>
      <c r="U183" s="1280"/>
      <c r="V183" s="1118"/>
      <c r="W183" s="1280"/>
      <c r="X183" s="908"/>
      <c r="Y183" s="1036"/>
      <c r="Z183" s="1120"/>
      <c r="AA183" s="1121"/>
      <c r="AB183" s="1120"/>
      <c r="AC183" s="1320"/>
      <c r="AD183" s="1156"/>
      <c r="AE183" s="1039"/>
      <c r="AF183" s="1118"/>
      <c r="AG183" s="1117"/>
      <c r="AH183" s="1118"/>
      <c r="AI183" s="1324"/>
      <c r="AJ183" s="908"/>
      <c r="AK183" s="1036"/>
      <c r="AL183" s="1120"/>
      <c r="AM183" s="1121"/>
      <c r="AN183" s="1120"/>
      <c r="AO183" s="1320"/>
      <c r="AP183" s="1156"/>
      <c r="AQ183" s="1039"/>
      <c r="AR183" s="1118"/>
      <c r="AS183" s="1117"/>
      <c r="AT183" s="1118"/>
      <c r="AU183" s="1324"/>
      <c r="AV183" s="908"/>
      <c r="AW183" s="1036"/>
      <c r="AX183" s="1120"/>
      <c r="AY183" s="1121"/>
      <c r="AZ183" s="1120"/>
      <c r="BA183" s="1320"/>
      <c r="BB183" s="1156"/>
      <c r="BC183" s="1039"/>
      <c r="BD183" s="1036"/>
      <c r="BE183" s="1117"/>
      <c r="BF183" s="1118"/>
      <c r="BG183" s="1324"/>
      <c r="BH183" s="908"/>
      <c r="BI183" s="1036"/>
      <c r="BJ183" s="1039"/>
      <c r="BK183" s="1121"/>
      <c r="BL183" s="1120"/>
      <c r="BM183" s="1320"/>
      <c r="BN183" s="1156"/>
      <c r="BO183" s="1039"/>
      <c r="BP183" s="1036"/>
      <c r="BQ183" s="1117"/>
      <c r="BR183" s="1036"/>
      <c r="BS183" s="1324"/>
      <c r="BT183" s="908"/>
      <c r="BU183" s="1036"/>
      <c r="BV183" s="1039"/>
      <c r="BW183" s="1121"/>
      <c r="BX183" s="1039"/>
      <c r="BY183" s="1320"/>
      <c r="BZ183" s="1156"/>
      <c r="CA183" s="1039"/>
      <c r="CB183" s="1131"/>
      <c r="CC183" s="1036"/>
      <c r="CD183" s="1036"/>
      <c r="CE183" s="1036"/>
      <c r="CF183" s="1036"/>
      <c r="CG183" s="1036"/>
      <c r="CH183" s="1036"/>
      <c r="CI183" s="1036"/>
      <c r="CJ183" s="1036"/>
      <c r="CK183" s="1036"/>
    </row>
    <row r="184" spans="1:89" s="957" customFormat="1" ht="14.25">
      <c r="A184" s="1114"/>
      <c r="B184" s="1115"/>
      <c r="C184" s="1116"/>
      <c r="D184" s="1147"/>
      <c r="E184" s="1114"/>
      <c r="F184" s="1117"/>
      <c r="G184" s="1117"/>
      <c r="H184" s="1118"/>
      <c r="I184" s="1114"/>
      <c r="J184" s="1118"/>
      <c r="K184" s="1410"/>
      <c r="L184" s="1118"/>
      <c r="M184" s="1410"/>
      <c r="N184" s="1410"/>
      <c r="O184" s="1036"/>
      <c r="P184" s="1036"/>
      <c r="Q184" s="1036"/>
      <c r="R184" s="1036"/>
      <c r="S184" s="1036"/>
      <c r="T184" s="1118"/>
      <c r="U184" s="1280"/>
      <c r="V184" s="1118"/>
      <c r="W184" s="1280"/>
      <c r="X184" s="908"/>
      <c r="Y184" s="1036"/>
      <c r="Z184" s="1120"/>
      <c r="AA184" s="1121"/>
      <c r="AB184" s="1120"/>
      <c r="AC184" s="1320"/>
      <c r="AD184" s="1156"/>
      <c r="AE184" s="1039"/>
      <c r="AF184" s="1118"/>
      <c r="AG184" s="1117"/>
      <c r="AH184" s="1118"/>
      <c r="AI184" s="1324"/>
      <c r="AJ184" s="908"/>
      <c r="AK184" s="1036"/>
      <c r="AL184" s="1120"/>
      <c r="AM184" s="1121"/>
      <c r="AN184" s="1120"/>
      <c r="AO184" s="1320"/>
      <c r="AP184" s="1156"/>
      <c r="AQ184" s="1039"/>
      <c r="AR184" s="1118"/>
      <c r="AS184" s="1117"/>
      <c r="AT184" s="1118"/>
      <c r="AU184" s="1324"/>
      <c r="AV184" s="908"/>
      <c r="AW184" s="1036"/>
      <c r="AX184" s="1120"/>
      <c r="AY184" s="1121"/>
      <c r="AZ184" s="1120"/>
      <c r="BA184" s="1320"/>
      <c r="BB184" s="1156"/>
      <c r="BC184" s="1039"/>
      <c r="BD184" s="1036"/>
      <c r="BE184" s="1117"/>
      <c r="BF184" s="1118"/>
      <c r="BG184" s="1324"/>
      <c r="BH184" s="908"/>
      <c r="BI184" s="1036"/>
      <c r="BJ184" s="1039"/>
      <c r="BK184" s="1121"/>
      <c r="BL184" s="1120"/>
      <c r="BM184" s="1320"/>
      <c r="BN184" s="1156"/>
      <c r="BO184" s="1039"/>
      <c r="BP184" s="1036"/>
      <c r="BQ184" s="1117"/>
      <c r="BR184" s="1036"/>
      <c r="BS184" s="1324"/>
      <c r="BT184" s="908"/>
      <c r="BU184" s="1036"/>
      <c r="BV184" s="1039"/>
      <c r="BW184" s="1121"/>
      <c r="BX184" s="1039"/>
      <c r="BY184" s="1320"/>
      <c r="BZ184" s="1156"/>
      <c r="CA184" s="1039"/>
      <c r="CB184" s="1131"/>
      <c r="CC184" s="1036"/>
      <c r="CD184" s="1036"/>
      <c r="CE184" s="1036"/>
      <c r="CF184" s="1036"/>
      <c r="CG184" s="1036"/>
      <c r="CH184" s="1036"/>
      <c r="CI184" s="1036"/>
      <c r="CJ184" s="1036"/>
      <c r="CK184" s="1036"/>
    </row>
    <row r="185" spans="1:89" s="957" customFormat="1" ht="14.25">
      <c r="A185" s="1114"/>
      <c r="B185" s="1115"/>
      <c r="C185" s="1116"/>
      <c r="D185" s="1147"/>
      <c r="E185" s="1114"/>
      <c r="F185" s="1117"/>
      <c r="G185" s="1117"/>
      <c r="H185" s="1118"/>
      <c r="I185" s="1114"/>
      <c r="J185" s="1118"/>
      <c r="K185" s="1410"/>
      <c r="L185" s="1118"/>
      <c r="M185" s="1410"/>
      <c r="N185" s="1410"/>
      <c r="O185" s="1036"/>
      <c r="P185" s="1036"/>
      <c r="Q185" s="1036"/>
      <c r="R185" s="1036"/>
      <c r="S185" s="1036"/>
      <c r="T185" s="1118"/>
      <c r="U185" s="1280"/>
      <c r="V185" s="1118"/>
      <c r="W185" s="1280"/>
      <c r="X185" s="908"/>
      <c r="Y185" s="1036"/>
      <c r="Z185" s="1120"/>
      <c r="AA185" s="1121"/>
      <c r="AB185" s="1120"/>
      <c r="AC185" s="1320"/>
      <c r="AD185" s="1156"/>
      <c r="AE185" s="1039"/>
      <c r="AF185" s="1118"/>
      <c r="AG185" s="1117"/>
      <c r="AH185" s="1118"/>
      <c r="AI185" s="1324"/>
      <c r="AJ185" s="908"/>
      <c r="AK185" s="1036"/>
      <c r="AL185" s="1120"/>
      <c r="AM185" s="1121"/>
      <c r="AN185" s="1120"/>
      <c r="AO185" s="1320"/>
      <c r="AP185" s="1156"/>
      <c r="AQ185" s="1039"/>
      <c r="AR185" s="1118"/>
      <c r="AS185" s="1117"/>
      <c r="AT185" s="1118"/>
      <c r="AU185" s="1324"/>
      <c r="AV185" s="908"/>
      <c r="AW185" s="1036"/>
      <c r="AX185" s="1120"/>
      <c r="AY185" s="1121"/>
      <c r="AZ185" s="1120"/>
      <c r="BA185" s="1320"/>
      <c r="BB185" s="1156"/>
      <c r="BC185" s="1039"/>
      <c r="BD185" s="1036"/>
      <c r="BE185" s="1117"/>
      <c r="BF185" s="1118"/>
      <c r="BG185" s="1324"/>
      <c r="BH185" s="908"/>
      <c r="BI185" s="1036"/>
      <c r="BJ185" s="1039"/>
      <c r="BK185" s="1121"/>
      <c r="BL185" s="1120"/>
      <c r="BM185" s="1320"/>
      <c r="BN185" s="1156"/>
      <c r="BO185" s="1039"/>
      <c r="BP185" s="1036"/>
      <c r="BQ185" s="1117"/>
      <c r="BR185" s="1036"/>
      <c r="BS185" s="1324"/>
      <c r="BT185" s="908"/>
      <c r="BU185" s="1036"/>
      <c r="BV185" s="1039"/>
      <c r="BW185" s="1121"/>
      <c r="BX185" s="1039"/>
      <c r="BY185" s="1320"/>
      <c r="BZ185" s="1156"/>
      <c r="CA185" s="1039"/>
      <c r="CB185" s="1131"/>
      <c r="CC185" s="1036"/>
      <c r="CD185" s="1036"/>
      <c r="CE185" s="1036"/>
      <c r="CF185" s="1036"/>
      <c r="CG185" s="1036"/>
      <c r="CH185" s="1036"/>
      <c r="CI185" s="1036"/>
      <c r="CJ185" s="1036"/>
      <c r="CK185" s="1036"/>
    </row>
    <row r="186" spans="1:89" s="957" customFormat="1" ht="14.25">
      <c r="A186" s="1114"/>
      <c r="B186" s="1115"/>
      <c r="C186" s="1116"/>
      <c r="D186" s="1147"/>
      <c r="E186" s="1114"/>
      <c r="F186" s="1117"/>
      <c r="G186" s="1117"/>
      <c r="H186" s="1118"/>
      <c r="I186" s="1114"/>
      <c r="J186" s="1118"/>
      <c r="K186" s="1410"/>
      <c r="L186" s="1118"/>
      <c r="M186" s="1410"/>
      <c r="N186" s="1410"/>
      <c r="O186" s="1036"/>
      <c r="P186" s="1036"/>
      <c r="Q186" s="1036"/>
      <c r="R186" s="1036"/>
      <c r="S186" s="1036"/>
      <c r="T186" s="1118"/>
      <c r="U186" s="1280"/>
      <c r="V186" s="1118"/>
      <c r="W186" s="1280"/>
      <c r="X186" s="908"/>
      <c r="Y186" s="1036"/>
      <c r="Z186" s="1120"/>
      <c r="AA186" s="1121"/>
      <c r="AB186" s="1120"/>
      <c r="AC186" s="1320"/>
      <c r="AD186" s="1156"/>
      <c r="AE186" s="1039"/>
      <c r="AF186" s="1118"/>
      <c r="AG186" s="1117"/>
      <c r="AH186" s="1118"/>
      <c r="AI186" s="1324"/>
      <c r="AJ186" s="908"/>
      <c r="AK186" s="1036"/>
      <c r="AL186" s="1120"/>
      <c r="AM186" s="1121"/>
      <c r="AN186" s="1120"/>
      <c r="AO186" s="1320"/>
      <c r="AP186" s="1156"/>
      <c r="AQ186" s="1039"/>
      <c r="AR186" s="1118"/>
      <c r="AS186" s="1117"/>
      <c r="AT186" s="1118"/>
      <c r="AU186" s="1324"/>
      <c r="AV186" s="908"/>
      <c r="AW186" s="1036"/>
      <c r="AX186" s="1120"/>
      <c r="AY186" s="1121"/>
      <c r="AZ186" s="1120"/>
      <c r="BA186" s="1320"/>
      <c r="BB186" s="1156"/>
      <c r="BC186" s="1039"/>
      <c r="BD186" s="1036"/>
      <c r="BE186" s="1117"/>
      <c r="BF186" s="1118"/>
      <c r="BG186" s="1324"/>
      <c r="BH186" s="908"/>
      <c r="BI186" s="1036"/>
      <c r="BJ186" s="1039"/>
      <c r="BK186" s="1121"/>
      <c r="BL186" s="1120"/>
      <c r="BM186" s="1320"/>
      <c r="BN186" s="1156"/>
      <c r="BO186" s="1039"/>
      <c r="BP186" s="1036"/>
      <c r="BQ186" s="1117"/>
      <c r="BR186" s="1036"/>
      <c r="BS186" s="1324"/>
      <c r="BT186" s="908"/>
      <c r="BU186" s="1036"/>
      <c r="BV186" s="1039"/>
      <c r="BW186" s="1121"/>
      <c r="BX186" s="1039"/>
      <c r="BY186" s="1320"/>
      <c r="BZ186" s="1156"/>
      <c r="CA186" s="1039"/>
      <c r="CB186" s="1131"/>
      <c r="CC186" s="1036"/>
      <c r="CD186" s="1036"/>
      <c r="CE186" s="1036"/>
      <c r="CF186" s="1036"/>
      <c r="CG186" s="1036"/>
      <c r="CH186" s="1036"/>
      <c r="CI186" s="1036"/>
      <c r="CJ186" s="1036"/>
      <c r="CK186" s="1036"/>
    </row>
    <row r="187" spans="1:89" s="957" customFormat="1" ht="14.25">
      <c r="A187" s="1114"/>
      <c r="B187" s="1115"/>
      <c r="C187" s="1116"/>
      <c r="D187" s="1147"/>
      <c r="E187" s="1114"/>
      <c r="F187" s="1117"/>
      <c r="G187" s="1117"/>
      <c r="H187" s="1118"/>
      <c r="I187" s="1114"/>
      <c r="J187" s="1118"/>
      <c r="K187" s="1410"/>
      <c r="L187" s="1118"/>
      <c r="M187" s="1410"/>
      <c r="N187" s="1410"/>
      <c r="O187" s="1036"/>
      <c r="P187" s="1036"/>
      <c r="Q187" s="1036"/>
      <c r="R187" s="1036"/>
      <c r="S187" s="1036"/>
      <c r="T187" s="1118"/>
      <c r="U187" s="1280"/>
      <c r="V187" s="1118"/>
      <c r="W187" s="1280"/>
      <c r="X187" s="908"/>
      <c r="Y187" s="1036"/>
      <c r="Z187" s="1120"/>
      <c r="AA187" s="1121"/>
      <c r="AB187" s="1120"/>
      <c r="AC187" s="1320"/>
      <c r="AD187" s="1156"/>
      <c r="AE187" s="1039"/>
      <c r="AF187" s="1118"/>
      <c r="AG187" s="1117"/>
      <c r="AH187" s="1118"/>
      <c r="AI187" s="1324"/>
      <c r="AJ187" s="908"/>
      <c r="AK187" s="1036"/>
      <c r="AL187" s="1120"/>
      <c r="AM187" s="1121"/>
      <c r="AN187" s="1120"/>
      <c r="AO187" s="1320"/>
      <c r="AP187" s="1156"/>
      <c r="AQ187" s="1039"/>
      <c r="AR187" s="1118"/>
      <c r="AS187" s="1117"/>
      <c r="AT187" s="1118"/>
      <c r="AU187" s="1324"/>
      <c r="AV187" s="908"/>
      <c r="AW187" s="1036"/>
      <c r="AX187" s="1120"/>
      <c r="AY187" s="1121"/>
      <c r="AZ187" s="1120"/>
      <c r="BA187" s="1320"/>
      <c r="BB187" s="1156"/>
      <c r="BC187" s="1039"/>
      <c r="BD187" s="1036"/>
      <c r="BE187" s="1117"/>
      <c r="BF187" s="1118"/>
      <c r="BG187" s="1324"/>
      <c r="BH187" s="908"/>
      <c r="BI187" s="1036"/>
      <c r="BJ187" s="1039"/>
      <c r="BK187" s="1121"/>
      <c r="BL187" s="1120"/>
      <c r="BM187" s="1320"/>
      <c r="BN187" s="1156"/>
      <c r="BO187" s="1039"/>
      <c r="BP187" s="1036"/>
      <c r="BQ187" s="1117"/>
      <c r="BR187" s="1036"/>
      <c r="BS187" s="1324"/>
      <c r="BT187" s="908"/>
      <c r="BU187" s="1036"/>
      <c r="BV187" s="1039"/>
      <c r="BW187" s="1121"/>
      <c r="BX187" s="1039"/>
      <c r="BY187" s="1320"/>
      <c r="BZ187" s="1156"/>
      <c r="CA187" s="1039"/>
      <c r="CB187" s="1131"/>
      <c r="CC187" s="1036"/>
      <c r="CD187" s="1036"/>
      <c r="CE187" s="1036"/>
      <c r="CF187" s="1036"/>
      <c r="CG187" s="1036"/>
      <c r="CH187" s="1036"/>
      <c r="CI187" s="1036"/>
      <c r="CJ187" s="1036"/>
      <c r="CK187" s="1036"/>
    </row>
    <row r="188" spans="1:89" s="957" customFormat="1" ht="14.25">
      <c r="A188" s="1114"/>
      <c r="B188" s="1115"/>
      <c r="C188" s="1116"/>
      <c r="D188" s="1147"/>
      <c r="E188" s="1114"/>
      <c r="F188" s="1117"/>
      <c r="G188" s="1117"/>
      <c r="H188" s="1118"/>
      <c r="I188" s="1114"/>
      <c r="J188" s="1118"/>
      <c r="K188" s="1410"/>
      <c r="L188" s="1118"/>
      <c r="M188" s="1410"/>
      <c r="N188" s="1410"/>
      <c r="O188" s="1036"/>
      <c r="P188" s="1036"/>
      <c r="Q188" s="1036"/>
      <c r="R188" s="1036"/>
      <c r="S188" s="1036"/>
      <c r="T188" s="1118"/>
      <c r="U188" s="1280"/>
      <c r="V188" s="1118"/>
      <c r="W188" s="1280"/>
      <c r="X188" s="908"/>
      <c r="Y188" s="1036"/>
      <c r="Z188" s="1120"/>
      <c r="AA188" s="1121"/>
      <c r="AB188" s="1120"/>
      <c r="AC188" s="1320"/>
      <c r="AD188" s="1156"/>
      <c r="AE188" s="1039"/>
      <c r="AF188" s="1118"/>
      <c r="AG188" s="1117"/>
      <c r="AH188" s="1118"/>
      <c r="AI188" s="1324"/>
      <c r="AJ188" s="908"/>
      <c r="AK188" s="1036"/>
      <c r="AL188" s="1120"/>
      <c r="AM188" s="1121"/>
      <c r="AN188" s="1120"/>
      <c r="AO188" s="1320"/>
      <c r="AP188" s="1156"/>
      <c r="AQ188" s="1039"/>
      <c r="AR188" s="1118"/>
      <c r="AS188" s="1117"/>
      <c r="AT188" s="1118"/>
      <c r="AU188" s="1324"/>
      <c r="AV188" s="908"/>
      <c r="AW188" s="1036"/>
      <c r="AX188" s="1120"/>
      <c r="AY188" s="1121"/>
      <c r="AZ188" s="1120"/>
      <c r="BA188" s="1320"/>
      <c r="BB188" s="1156"/>
      <c r="BC188" s="1039"/>
      <c r="BD188" s="1036"/>
      <c r="BE188" s="1117"/>
      <c r="BF188" s="1118"/>
      <c r="BG188" s="1324"/>
      <c r="BH188" s="908"/>
      <c r="BI188" s="1036"/>
      <c r="BJ188" s="1039"/>
      <c r="BK188" s="1121"/>
      <c r="BL188" s="1120"/>
      <c r="BM188" s="1320"/>
      <c r="BN188" s="1156"/>
      <c r="BO188" s="1039"/>
      <c r="BP188" s="1036"/>
      <c r="BQ188" s="1117"/>
      <c r="BR188" s="1036"/>
      <c r="BS188" s="1324"/>
      <c r="BT188" s="908"/>
      <c r="BU188" s="1036"/>
      <c r="BV188" s="1039"/>
      <c r="BW188" s="1121"/>
      <c r="BX188" s="1039"/>
      <c r="BY188" s="1320"/>
      <c r="BZ188" s="1156"/>
      <c r="CA188" s="1039"/>
      <c r="CB188" s="1131"/>
      <c r="CC188" s="1036"/>
      <c r="CD188" s="1036"/>
      <c r="CE188" s="1036"/>
      <c r="CF188" s="1036"/>
      <c r="CG188" s="1036"/>
      <c r="CH188" s="1036"/>
      <c r="CI188" s="1036"/>
      <c r="CJ188" s="1036"/>
      <c r="CK188" s="1036"/>
    </row>
    <row r="189" spans="1:89" s="957" customFormat="1" ht="14.25">
      <c r="A189" s="1114"/>
      <c r="B189" s="1115"/>
      <c r="C189" s="1116"/>
      <c r="D189" s="1147"/>
      <c r="E189" s="1114"/>
      <c r="F189" s="1117"/>
      <c r="G189" s="1117"/>
      <c r="H189" s="1118"/>
      <c r="I189" s="1114"/>
      <c r="J189" s="1118"/>
      <c r="K189" s="1410"/>
      <c r="L189" s="1118"/>
      <c r="M189" s="1410"/>
      <c r="N189" s="1410"/>
      <c r="O189" s="1036"/>
      <c r="P189" s="1036"/>
      <c r="Q189" s="1036"/>
      <c r="R189" s="1036"/>
      <c r="S189" s="1036"/>
      <c r="T189" s="1118"/>
      <c r="U189" s="1280"/>
      <c r="V189" s="1118"/>
      <c r="W189" s="1280"/>
      <c r="X189" s="908"/>
      <c r="Y189" s="1036"/>
      <c r="Z189" s="1120"/>
      <c r="AA189" s="1121"/>
      <c r="AB189" s="1120"/>
      <c r="AC189" s="1320"/>
      <c r="AD189" s="1156"/>
      <c r="AE189" s="1039"/>
      <c r="AF189" s="1118"/>
      <c r="AG189" s="1117"/>
      <c r="AH189" s="1118"/>
      <c r="AI189" s="1324"/>
      <c r="AJ189" s="908"/>
      <c r="AK189" s="1036"/>
      <c r="AL189" s="1120"/>
      <c r="AM189" s="1121"/>
      <c r="AN189" s="1120"/>
      <c r="AO189" s="1320"/>
      <c r="AP189" s="1156"/>
      <c r="AQ189" s="1039"/>
      <c r="AR189" s="1118"/>
      <c r="AS189" s="1117"/>
      <c r="AT189" s="1118"/>
      <c r="AU189" s="1324"/>
      <c r="AV189" s="908"/>
      <c r="AW189" s="1036"/>
      <c r="AX189" s="1120"/>
      <c r="AY189" s="1121"/>
      <c r="AZ189" s="1120"/>
      <c r="BA189" s="1320"/>
      <c r="BB189" s="1156"/>
      <c r="BC189" s="1039"/>
      <c r="BD189" s="1036"/>
      <c r="BE189" s="1117"/>
      <c r="BF189" s="1118"/>
      <c r="BG189" s="1324"/>
      <c r="BH189" s="908"/>
      <c r="BI189" s="1036"/>
      <c r="BJ189" s="1039"/>
      <c r="BK189" s="1121"/>
      <c r="BL189" s="1120"/>
      <c r="BM189" s="1320"/>
      <c r="BN189" s="1156"/>
      <c r="BO189" s="1039"/>
      <c r="BP189" s="1036"/>
      <c r="BQ189" s="1117"/>
      <c r="BR189" s="1036"/>
      <c r="BS189" s="1324"/>
      <c r="BT189" s="908"/>
      <c r="BU189" s="1036"/>
      <c r="BV189" s="1039"/>
      <c r="BW189" s="1121"/>
      <c r="BX189" s="1039"/>
      <c r="BY189" s="1320"/>
      <c r="BZ189" s="1156"/>
      <c r="CA189" s="1039"/>
      <c r="CB189" s="1131"/>
      <c r="CC189" s="1036"/>
      <c r="CD189" s="1036"/>
      <c r="CE189" s="1036"/>
      <c r="CF189" s="1036"/>
      <c r="CG189" s="1036"/>
      <c r="CH189" s="1036"/>
      <c r="CI189" s="1036"/>
      <c r="CJ189" s="1036"/>
      <c r="CK189" s="1036"/>
    </row>
    <row r="190" spans="1:89" s="957" customFormat="1" ht="14.25">
      <c r="A190" s="1114"/>
      <c r="B190" s="1115"/>
      <c r="C190" s="1116"/>
      <c r="D190" s="1147"/>
      <c r="E190" s="1114"/>
      <c r="F190" s="1117"/>
      <c r="G190" s="1117"/>
      <c r="H190" s="1118"/>
      <c r="I190" s="1114"/>
      <c r="J190" s="1118"/>
      <c r="K190" s="1410"/>
      <c r="L190" s="1118"/>
      <c r="M190" s="1410"/>
      <c r="N190" s="1410"/>
      <c r="O190" s="1036"/>
      <c r="P190" s="1036"/>
      <c r="Q190" s="1036"/>
      <c r="R190" s="1036"/>
      <c r="S190" s="1036"/>
      <c r="T190" s="1118"/>
      <c r="U190" s="1280"/>
      <c r="V190" s="1118"/>
      <c r="W190" s="1280"/>
      <c r="X190" s="908"/>
      <c r="Y190" s="1036"/>
      <c r="Z190" s="1120"/>
      <c r="AA190" s="1121"/>
      <c r="AB190" s="1120"/>
      <c r="AC190" s="1320"/>
      <c r="AD190" s="1156"/>
      <c r="AE190" s="1039"/>
      <c r="AF190" s="1118"/>
      <c r="AG190" s="1117"/>
      <c r="AH190" s="1118"/>
      <c r="AI190" s="1324"/>
      <c r="AJ190" s="908"/>
      <c r="AK190" s="1036"/>
      <c r="AL190" s="1120"/>
      <c r="AM190" s="1121"/>
      <c r="AN190" s="1120"/>
      <c r="AO190" s="1320"/>
      <c r="AP190" s="1156"/>
      <c r="AQ190" s="1039"/>
      <c r="AR190" s="1118"/>
      <c r="AS190" s="1117"/>
      <c r="AT190" s="1118"/>
      <c r="AU190" s="1324"/>
      <c r="AV190" s="908"/>
      <c r="AW190" s="1036"/>
      <c r="AX190" s="1120"/>
      <c r="AY190" s="1121"/>
      <c r="AZ190" s="1120"/>
      <c r="BA190" s="1320"/>
      <c r="BB190" s="1156"/>
      <c r="BC190" s="1039"/>
      <c r="BD190" s="1036"/>
      <c r="BE190" s="1117"/>
      <c r="BF190" s="1118"/>
      <c r="BG190" s="1324"/>
      <c r="BH190" s="908"/>
      <c r="BI190" s="1036"/>
      <c r="BJ190" s="1039"/>
      <c r="BK190" s="1121"/>
      <c r="BL190" s="1120"/>
      <c r="BM190" s="1320"/>
      <c r="BN190" s="1156"/>
      <c r="BO190" s="1039"/>
      <c r="BP190" s="1036"/>
      <c r="BQ190" s="1117"/>
      <c r="BR190" s="1036"/>
      <c r="BS190" s="1324"/>
      <c r="BT190" s="908"/>
      <c r="BU190" s="1036"/>
      <c r="BV190" s="1039"/>
      <c r="BW190" s="1121"/>
      <c r="BX190" s="1039"/>
      <c r="BY190" s="1320"/>
      <c r="BZ190" s="1156"/>
      <c r="CA190" s="1039"/>
      <c r="CB190" s="1131"/>
      <c r="CC190" s="1036"/>
      <c r="CD190" s="1036"/>
      <c r="CE190" s="1036"/>
      <c r="CF190" s="1036"/>
      <c r="CG190" s="1036"/>
      <c r="CH190" s="1036"/>
      <c r="CI190" s="1036"/>
      <c r="CJ190" s="1036"/>
      <c r="CK190" s="1036"/>
    </row>
    <row r="191" spans="1:89" s="957" customFormat="1" ht="14.25">
      <c r="A191" s="1114"/>
      <c r="B191" s="1115"/>
      <c r="C191" s="1116"/>
      <c r="D191" s="1147"/>
      <c r="E191" s="1114"/>
      <c r="F191" s="1117"/>
      <c r="G191" s="1117"/>
      <c r="H191" s="1118"/>
      <c r="I191" s="1114"/>
      <c r="J191" s="1118"/>
      <c r="K191" s="1410"/>
      <c r="L191" s="1118"/>
      <c r="M191" s="1410"/>
      <c r="N191" s="1410"/>
      <c r="O191" s="1036"/>
      <c r="P191" s="1036"/>
      <c r="Q191" s="1036"/>
      <c r="R191" s="1036"/>
      <c r="S191" s="1036"/>
      <c r="T191" s="1118"/>
      <c r="U191" s="1280"/>
      <c r="V191" s="1118"/>
      <c r="W191" s="1280"/>
      <c r="X191" s="908"/>
      <c r="Y191" s="1036"/>
      <c r="Z191" s="1120"/>
      <c r="AA191" s="1121"/>
      <c r="AB191" s="1120"/>
      <c r="AC191" s="1320"/>
      <c r="AD191" s="1156"/>
      <c r="AE191" s="1039"/>
      <c r="AF191" s="1118"/>
      <c r="AG191" s="1117"/>
      <c r="AH191" s="1118"/>
      <c r="AI191" s="1324"/>
      <c r="AJ191" s="908"/>
      <c r="AK191" s="1036"/>
      <c r="AL191" s="1120"/>
      <c r="AM191" s="1121"/>
      <c r="AN191" s="1120"/>
      <c r="AO191" s="1320"/>
      <c r="AP191" s="1156"/>
      <c r="AQ191" s="1039"/>
      <c r="AR191" s="1118"/>
      <c r="AS191" s="1117"/>
      <c r="AT191" s="1118"/>
      <c r="AU191" s="1324"/>
      <c r="AV191" s="908"/>
      <c r="AW191" s="1036"/>
      <c r="AX191" s="1120"/>
      <c r="AY191" s="1121"/>
      <c r="AZ191" s="1120"/>
      <c r="BA191" s="1320"/>
      <c r="BB191" s="1156"/>
      <c r="BC191" s="1039"/>
      <c r="BD191" s="1036"/>
      <c r="BE191" s="1117"/>
      <c r="BF191" s="1118"/>
      <c r="BG191" s="1324"/>
      <c r="BH191" s="908"/>
      <c r="BI191" s="1036"/>
      <c r="BJ191" s="1039"/>
      <c r="BK191" s="1121"/>
      <c r="BL191" s="1120"/>
      <c r="BM191" s="1320"/>
      <c r="BN191" s="1156"/>
      <c r="BO191" s="1039"/>
      <c r="BP191" s="1036"/>
      <c r="BQ191" s="1117"/>
      <c r="BR191" s="1036"/>
      <c r="BS191" s="1324"/>
      <c r="BT191" s="908"/>
      <c r="BU191" s="1036"/>
      <c r="BV191" s="1039"/>
      <c r="BW191" s="1121"/>
      <c r="BX191" s="1039"/>
      <c r="BY191" s="1320"/>
      <c r="BZ191" s="1156"/>
      <c r="CA191" s="1039"/>
      <c r="CB191" s="1131"/>
      <c r="CC191" s="1036"/>
      <c r="CD191" s="1036"/>
      <c r="CE191" s="1036"/>
      <c r="CF191" s="1036"/>
      <c r="CG191" s="1036"/>
      <c r="CH191" s="1036"/>
      <c r="CI191" s="1036"/>
      <c r="CJ191" s="1036"/>
      <c r="CK191" s="1036"/>
    </row>
    <row r="192" spans="1:89" s="957" customFormat="1" ht="14.25">
      <c r="A192" s="1114"/>
      <c r="B192" s="1115"/>
      <c r="C192" s="1116"/>
      <c r="D192" s="1147"/>
      <c r="E192" s="1114"/>
      <c r="F192" s="1117"/>
      <c r="G192" s="1117"/>
      <c r="H192" s="1118"/>
      <c r="I192" s="1114"/>
      <c r="J192" s="1118"/>
      <c r="K192" s="1410"/>
      <c r="L192" s="1118"/>
      <c r="M192" s="1410"/>
      <c r="N192" s="1410"/>
      <c r="O192" s="1036"/>
      <c r="P192" s="1036"/>
      <c r="Q192" s="1036"/>
      <c r="R192" s="1036"/>
      <c r="S192" s="1036"/>
      <c r="T192" s="1118"/>
      <c r="U192" s="1280"/>
      <c r="V192" s="1118"/>
      <c r="W192" s="1280"/>
      <c r="X192" s="908"/>
      <c r="Y192" s="1036"/>
      <c r="Z192" s="1120"/>
      <c r="AA192" s="1121"/>
      <c r="AB192" s="1120"/>
      <c r="AC192" s="1320"/>
      <c r="AD192" s="1156"/>
      <c r="AE192" s="1039"/>
      <c r="AF192" s="1118"/>
      <c r="AG192" s="1117"/>
      <c r="AH192" s="1118"/>
      <c r="AI192" s="1324"/>
      <c r="AJ192" s="908"/>
      <c r="AK192" s="1036"/>
      <c r="AL192" s="1120"/>
      <c r="AM192" s="1121"/>
      <c r="AN192" s="1120"/>
      <c r="AO192" s="1320"/>
      <c r="AP192" s="1156"/>
      <c r="AQ192" s="1039"/>
      <c r="AR192" s="1118"/>
      <c r="AS192" s="1117"/>
      <c r="AT192" s="1118"/>
      <c r="AU192" s="1324"/>
      <c r="AV192" s="908"/>
      <c r="AW192" s="1036"/>
      <c r="AX192" s="1120"/>
      <c r="AY192" s="1121"/>
      <c r="AZ192" s="1120"/>
      <c r="BA192" s="1320"/>
      <c r="BB192" s="1156"/>
      <c r="BC192" s="1039"/>
      <c r="BD192" s="1036"/>
      <c r="BE192" s="1117"/>
      <c r="BF192" s="1118"/>
      <c r="BG192" s="1324"/>
      <c r="BH192" s="908"/>
      <c r="BI192" s="1036"/>
      <c r="BJ192" s="1039"/>
      <c r="BK192" s="1121"/>
      <c r="BL192" s="1120"/>
      <c r="BM192" s="1320"/>
      <c r="BN192" s="1156"/>
      <c r="BO192" s="1039"/>
      <c r="BP192" s="1036"/>
      <c r="BQ192" s="1117"/>
      <c r="BR192" s="1036"/>
      <c r="BS192" s="1324"/>
      <c r="BT192" s="908"/>
      <c r="BU192" s="1036"/>
      <c r="BV192" s="1039"/>
      <c r="BW192" s="1121"/>
      <c r="BX192" s="1039"/>
      <c r="BY192" s="1320"/>
      <c r="BZ192" s="1156"/>
      <c r="CA192" s="1039"/>
      <c r="CB192" s="1131"/>
      <c r="CC192" s="1036"/>
      <c r="CD192" s="1036"/>
      <c r="CE192" s="1036"/>
      <c r="CF192" s="1036"/>
      <c r="CG192" s="1036"/>
      <c r="CH192" s="1036"/>
      <c r="CI192" s="1036"/>
      <c r="CJ192" s="1036"/>
      <c r="CK192" s="1036"/>
    </row>
    <row r="193" spans="1:89" s="957" customFormat="1" ht="14.25">
      <c r="A193" s="1114"/>
      <c r="B193" s="1115"/>
      <c r="C193" s="1116"/>
      <c r="D193" s="1147"/>
      <c r="E193" s="1114"/>
      <c r="F193" s="1117"/>
      <c r="G193" s="1117"/>
      <c r="H193" s="1118"/>
      <c r="I193" s="1114"/>
      <c r="J193" s="1118"/>
      <c r="K193" s="1410"/>
      <c r="L193" s="1118"/>
      <c r="M193" s="1410"/>
      <c r="N193" s="1410"/>
      <c r="O193" s="1036"/>
      <c r="P193" s="1036"/>
      <c r="Q193" s="1036"/>
      <c r="R193" s="1036"/>
      <c r="S193" s="1036"/>
      <c r="T193" s="1118"/>
      <c r="U193" s="1280"/>
      <c r="V193" s="1118"/>
      <c r="W193" s="1280"/>
      <c r="X193" s="908"/>
      <c r="Y193" s="1036"/>
      <c r="Z193" s="1120"/>
      <c r="AA193" s="1121"/>
      <c r="AB193" s="1120"/>
      <c r="AC193" s="1320"/>
      <c r="AD193" s="1156"/>
      <c r="AE193" s="1039"/>
      <c r="AF193" s="1118"/>
      <c r="AG193" s="1117"/>
      <c r="AH193" s="1118"/>
      <c r="AI193" s="1324"/>
      <c r="AJ193" s="908"/>
      <c r="AK193" s="1036"/>
      <c r="AL193" s="1120"/>
      <c r="AM193" s="1121"/>
      <c r="AN193" s="1120"/>
      <c r="AO193" s="1320"/>
      <c r="AP193" s="1156"/>
      <c r="AQ193" s="1039"/>
      <c r="AR193" s="1118"/>
      <c r="AS193" s="1117"/>
      <c r="AT193" s="1118"/>
      <c r="AU193" s="1324"/>
      <c r="AV193" s="908"/>
      <c r="AW193" s="1036"/>
      <c r="AX193" s="1120"/>
      <c r="AY193" s="1121"/>
      <c r="AZ193" s="1120"/>
      <c r="BA193" s="1320"/>
      <c r="BB193" s="1156"/>
      <c r="BC193" s="1039"/>
      <c r="BD193" s="1036"/>
      <c r="BE193" s="1117"/>
      <c r="BF193" s="1118"/>
      <c r="BG193" s="1324"/>
      <c r="BH193" s="908"/>
      <c r="BI193" s="1036"/>
      <c r="BJ193" s="1039"/>
      <c r="BK193" s="1121"/>
      <c r="BL193" s="1120"/>
      <c r="BM193" s="1320"/>
      <c r="BN193" s="1156"/>
      <c r="BO193" s="1039"/>
      <c r="BP193" s="1036"/>
      <c r="BQ193" s="1117"/>
      <c r="BR193" s="1036"/>
      <c r="BS193" s="1324"/>
      <c r="BT193" s="908"/>
      <c r="BU193" s="1036"/>
      <c r="BV193" s="1039"/>
      <c r="BW193" s="1121"/>
      <c r="BX193" s="1039"/>
      <c r="BY193" s="1320"/>
      <c r="BZ193" s="1156"/>
      <c r="CA193" s="1039"/>
      <c r="CB193" s="1131"/>
      <c r="CC193" s="1036"/>
      <c r="CD193" s="1036"/>
      <c r="CE193" s="1036"/>
      <c r="CF193" s="1036"/>
      <c r="CG193" s="1036"/>
      <c r="CH193" s="1036"/>
      <c r="CI193" s="1036"/>
      <c r="CJ193" s="1036"/>
      <c r="CK193" s="1036"/>
    </row>
    <row r="194" spans="1:89" s="957" customFormat="1" ht="14.25">
      <c r="A194" s="1114"/>
      <c r="B194" s="1115"/>
      <c r="C194" s="1116"/>
      <c r="D194" s="1147"/>
      <c r="E194" s="1114"/>
      <c r="F194" s="1117"/>
      <c r="G194" s="1117"/>
      <c r="H194" s="1118"/>
      <c r="I194" s="1114"/>
      <c r="J194" s="1118"/>
      <c r="K194" s="1410"/>
      <c r="L194" s="1118"/>
      <c r="M194" s="1410"/>
      <c r="N194" s="1410"/>
      <c r="O194" s="1036"/>
      <c r="P194" s="1036"/>
      <c r="Q194" s="1036"/>
      <c r="R194" s="1036"/>
      <c r="S194" s="1036"/>
      <c r="T194" s="1118"/>
      <c r="U194" s="1280"/>
      <c r="V194" s="1118"/>
      <c r="W194" s="1280"/>
      <c r="X194" s="908"/>
      <c r="Y194" s="1036"/>
      <c r="Z194" s="1120"/>
      <c r="AA194" s="1121"/>
      <c r="AB194" s="1120"/>
      <c r="AC194" s="1320"/>
      <c r="AD194" s="1156"/>
      <c r="AE194" s="1039"/>
      <c r="AF194" s="1118"/>
      <c r="AG194" s="1117"/>
      <c r="AH194" s="1118"/>
      <c r="AI194" s="1324"/>
      <c r="AJ194" s="908"/>
      <c r="AK194" s="1036"/>
      <c r="AL194" s="1120"/>
      <c r="AM194" s="1121"/>
      <c r="AN194" s="1120"/>
      <c r="AO194" s="1320"/>
      <c r="AP194" s="1156"/>
      <c r="AQ194" s="1039"/>
      <c r="AR194" s="1118"/>
      <c r="AS194" s="1117"/>
      <c r="AT194" s="1118"/>
      <c r="AU194" s="1324"/>
      <c r="AV194" s="908"/>
      <c r="AW194" s="1036"/>
      <c r="AX194" s="1120"/>
      <c r="AY194" s="1121"/>
      <c r="AZ194" s="1120"/>
      <c r="BA194" s="1320"/>
      <c r="BB194" s="1156"/>
      <c r="BC194" s="1039"/>
      <c r="BD194" s="1036"/>
      <c r="BE194" s="1117"/>
      <c r="BF194" s="1118"/>
      <c r="BG194" s="1324"/>
      <c r="BH194" s="908"/>
      <c r="BI194" s="1036"/>
      <c r="BJ194" s="1039"/>
      <c r="BK194" s="1121"/>
      <c r="BL194" s="1120"/>
      <c r="BM194" s="1320"/>
      <c r="BN194" s="1156"/>
      <c r="BO194" s="1039"/>
      <c r="BP194" s="1036"/>
      <c r="BQ194" s="1117"/>
      <c r="BR194" s="1036"/>
      <c r="BS194" s="1324"/>
      <c r="BT194" s="908"/>
      <c r="BU194" s="1036"/>
      <c r="BV194" s="1039"/>
      <c r="BW194" s="1121"/>
      <c r="BX194" s="1039"/>
      <c r="BY194" s="1320"/>
      <c r="BZ194" s="1156"/>
      <c r="CA194" s="1039"/>
      <c r="CB194" s="1131"/>
      <c r="CC194" s="1036"/>
      <c r="CD194" s="1036"/>
      <c r="CE194" s="1036"/>
      <c r="CF194" s="1036"/>
      <c r="CG194" s="1036"/>
      <c r="CH194" s="1036"/>
      <c r="CI194" s="1036"/>
      <c r="CJ194" s="1036"/>
      <c r="CK194" s="1036"/>
    </row>
    <row r="195" spans="1:89" s="957" customFormat="1" ht="14.25">
      <c r="A195" s="1114"/>
      <c r="B195" s="1115"/>
      <c r="C195" s="1116"/>
      <c r="D195" s="1147"/>
      <c r="E195" s="1114"/>
      <c r="F195" s="1117"/>
      <c r="G195" s="1117"/>
      <c r="H195" s="1118"/>
      <c r="I195" s="1114"/>
      <c r="J195" s="1118"/>
      <c r="K195" s="1410"/>
      <c r="L195" s="1118"/>
      <c r="M195" s="1410"/>
      <c r="N195" s="1410"/>
      <c r="O195" s="1036"/>
      <c r="P195" s="1036"/>
      <c r="Q195" s="1036"/>
      <c r="R195" s="1036"/>
      <c r="S195" s="1036"/>
      <c r="T195" s="1118"/>
      <c r="U195" s="1280"/>
      <c r="V195" s="1118"/>
      <c r="W195" s="1280"/>
      <c r="X195" s="908"/>
      <c r="Y195" s="1036"/>
      <c r="Z195" s="1120"/>
      <c r="AA195" s="1121"/>
      <c r="AB195" s="1120"/>
      <c r="AC195" s="1320"/>
      <c r="AD195" s="1156"/>
      <c r="AE195" s="1039"/>
      <c r="AF195" s="1118"/>
      <c r="AG195" s="1117"/>
      <c r="AH195" s="1118"/>
      <c r="AI195" s="1324"/>
      <c r="AJ195" s="908"/>
      <c r="AK195" s="1036"/>
      <c r="AL195" s="1120"/>
      <c r="AM195" s="1121"/>
      <c r="AN195" s="1120"/>
      <c r="AO195" s="1320"/>
      <c r="AP195" s="1156"/>
      <c r="AQ195" s="1039"/>
      <c r="AR195" s="1118"/>
      <c r="AS195" s="1117"/>
      <c r="AT195" s="1118"/>
      <c r="AU195" s="1324"/>
      <c r="AV195" s="908"/>
      <c r="AW195" s="1036"/>
      <c r="AX195" s="1120"/>
      <c r="AY195" s="1121"/>
      <c r="AZ195" s="1120"/>
      <c r="BA195" s="1320"/>
      <c r="BB195" s="1156"/>
      <c r="BC195" s="1039"/>
      <c r="BD195" s="1036"/>
      <c r="BE195" s="1117"/>
      <c r="BF195" s="1118"/>
      <c r="BG195" s="1324"/>
      <c r="BH195" s="908"/>
      <c r="BI195" s="1036"/>
      <c r="BJ195" s="1039"/>
      <c r="BK195" s="1121"/>
      <c r="BL195" s="1120"/>
      <c r="BM195" s="1320"/>
      <c r="BN195" s="1156"/>
      <c r="BO195" s="1039"/>
      <c r="BP195" s="1036"/>
      <c r="BQ195" s="1117"/>
      <c r="BR195" s="1036"/>
      <c r="BS195" s="1324"/>
      <c r="BT195" s="908"/>
      <c r="BU195" s="1036"/>
      <c r="BV195" s="1039"/>
      <c r="BW195" s="1121"/>
      <c r="BX195" s="1039"/>
      <c r="BY195" s="1320"/>
      <c r="BZ195" s="1156"/>
      <c r="CA195" s="1039"/>
      <c r="CB195" s="1131"/>
      <c r="CC195" s="1036"/>
      <c r="CD195" s="1036"/>
      <c r="CE195" s="1036"/>
      <c r="CF195" s="1036"/>
      <c r="CG195" s="1036"/>
      <c r="CH195" s="1036"/>
      <c r="CI195" s="1036"/>
      <c r="CJ195" s="1036"/>
      <c r="CK195" s="1036"/>
    </row>
    <row r="196" spans="1:89" s="957" customFormat="1" ht="14.25">
      <c r="A196" s="1114"/>
      <c r="B196" s="1115"/>
      <c r="C196" s="1116"/>
      <c r="D196" s="1147"/>
      <c r="E196" s="1114"/>
      <c r="F196" s="1117"/>
      <c r="G196" s="1117"/>
      <c r="H196" s="1118"/>
      <c r="I196" s="1114"/>
      <c r="J196" s="1118"/>
      <c r="K196" s="1410"/>
      <c r="L196" s="1118"/>
      <c r="M196" s="1410"/>
      <c r="N196" s="1410"/>
      <c r="O196" s="1036"/>
      <c r="P196" s="1036"/>
      <c r="Q196" s="1036"/>
      <c r="R196" s="1036"/>
      <c r="S196" s="1036"/>
      <c r="T196" s="1118"/>
      <c r="U196" s="1280"/>
      <c r="V196" s="1118"/>
      <c r="W196" s="1280"/>
      <c r="X196" s="908"/>
      <c r="Y196" s="1036"/>
      <c r="Z196" s="1120"/>
      <c r="AA196" s="1121"/>
      <c r="AB196" s="1120"/>
      <c r="AC196" s="1320"/>
      <c r="AD196" s="1156"/>
      <c r="AE196" s="1039"/>
      <c r="AF196" s="1118"/>
      <c r="AG196" s="1117"/>
      <c r="AH196" s="1118"/>
      <c r="AI196" s="1324"/>
      <c r="AJ196" s="908"/>
      <c r="AK196" s="1036"/>
      <c r="AL196" s="1120"/>
      <c r="AM196" s="1121"/>
      <c r="AN196" s="1120"/>
      <c r="AO196" s="1320"/>
      <c r="AP196" s="1156"/>
      <c r="AQ196" s="1039"/>
      <c r="AR196" s="1118"/>
      <c r="AS196" s="1117"/>
      <c r="AT196" s="1118"/>
      <c r="AU196" s="1324"/>
      <c r="AV196" s="908"/>
      <c r="AW196" s="1036"/>
      <c r="AX196" s="1120"/>
      <c r="AY196" s="1121"/>
      <c r="AZ196" s="1120"/>
      <c r="BA196" s="1320"/>
      <c r="BB196" s="1156"/>
      <c r="BC196" s="1039"/>
      <c r="BD196" s="1036"/>
      <c r="BE196" s="1117"/>
      <c r="BF196" s="1118"/>
      <c r="BG196" s="1324"/>
      <c r="BH196" s="908"/>
      <c r="BI196" s="1036"/>
      <c r="BJ196" s="1039"/>
      <c r="BK196" s="1121"/>
      <c r="BL196" s="1120"/>
      <c r="BM196" s="1320"/>
      <c r="BN196" s="1156"/>
      <c r="BO196" s="1039"/>
      <c r="BP196" s="1036"/>
      <c r="BQ196" s="1117"/>
      <c r="BR196" s="1036"/>
      <c r="BS196" s="1324"/>
      <c r="BT196" s="908"/>
      <c r="BU196" s="1036"/>
      <c r="BV196" s="1039"/>
      <c r="BW196" s="1121"/>
      <c r="BX196" s="1039"/>
      <c r="BY196" s="1320"/>
      <c r="BZ196" s="1156"/>
      <c r="CA196" s="1039"/>
      <c r="CB196" s="1131"/>
      <c r="CC196" s="1036"/>
      <c r="CD196" s="1036"/>
      <c r="CE196" s="1036"/>
      <c r="CF196" s="1036"/>
      <c r="CG196" s="1036"/>
      <c r="CH196" s="1036"/>
      <c r="CI196" s="1036"/>
      <c r="CJ196" s="1036"/>
      <c r="CK196" s="1036"/>
    </row>
    <row r="197" spans="1:89" s="957" customFormat="1" ht="14.25">
      <c r="A197" s="1114"/>
      <c r="B197" s="1115"/>
      <c r="C197" s="1116"/>
      <c r="D197" s="1147"/>
      <c r="E197" s="1114"/>
      <c r="F197" s="1117"/>
      <c r="G197" s="1117"/>
      <c r="H197" s="1118"/>
      <c r="I197" s="1114"/>
      <c r="J197" s="1118"/>
      <c r="K197" s="1410"/>
      <c r="L197" s="1118"/>
      <c r="M197" s="1410"/>
      <c r="N197" s="1410"/>
      <c r="O197" s="1036"/>
      <c r="P197" s="1036"/>
      <c r="Q197" s="1036"/>
      <c r="R197" s="1036"/>
      <c r="S197" s="1036"/>
      <c r="T197" s="1118"/>
      <c r="U197" s="1280"/>
      <c r="V197" s="1118"/>
      <c r="W197" s="1280"/>
      <c r="X197" s="908"/>
      <c r="Y197" s="1036"/>
      <c r="Z197" s="1120"/>
      <c r="AA197" s="1121"/>
      <c r="AB197" s="1120"/>
      <c r="AC197" s="1320"/>
      <c r="AD197" s="1156"/>
      <c r="AE197" s="1039"/>
      <c r="AF197" s="1118"/>
      <c r="AG197" s="1117"/>
      <c r="AH197" s="1118"/>
      <c r="AI197" s="1324"/>
      <c r="AJ197" s="908"/>
      <c r="AK197" s="1036"/>
      <c r="AL197" s="1120"/>
      <c r="AM197" s="1121"/>
      <c r="AN197" s="1120"/>
      <c r="AO197" s="1320"/>
      <c r="AP197" s="1156"/>
      <c r="AQ197" s="1039"/>
      <c r="AR197" s="1118"/>
      <c r="AS197" s="1117"/>
      <c r="AT197" s="1118"/>
      <c r="AU197" s="1324"/>
      <c r="AV197" s="908"/>
      <c r="AW197" s="1036"/>
      <c r="AX197" s="1120"/>
      <c r="AY197" s="1121"/>
      <c r="AZ197" s="1120"/>
      <c r="BA197" s="1320"/>
      <c r="BB197" s="1156"/>
      <c r="BC197" s="1039"/>
      <c r="BD197" s="1036"/>
      <c r="BE197" s="1117"/>
      <c r="BF197" s="1118"/>
      <c r="BG197" s="1324"/>
      <c r="BH197" s="908"/>
      <c r="BI197" s="1036"/>
      <c r="BJ197" s="1039"/>
      <c r="BK197" s="1121"/>
      <c r="BL197" s="1120"/>
      <c r="BM197" s="1320"/>
      <c r="BN197" s="1156"/>
      <c r="BO197" s="1039"/>
      <c r="BP197" s="1036"/>
      <c r="BQ197" s="1117"/>
      <c r="BR197" s="1036"/>
      <c r="BS197" s="1324"/>
      <c r="BT197" s="908"/>
      <c r="BU197" s="1036"/>
      <c r="BV197" s="1039"/>
      <c r="BW197" s="1121"/>
      <c r="BX197" s="1039"/>
      <c r="BY197" s="1320"/>
      <c r="BZ197" s="1156"/>
      <c r="CA197" s="1039"/>
      <c r="CB197" s="1131"/>
      <c r="CC197" s="1036"/>
      <c r="CD197" s="1036"/>
      <c r="CE197" s="1036"/>
      <c r="CF197" s="1036"/>
      <c r="CG197" s="1036"/>
      <c r="CH197" s="1036"/>
      <c r="CI197" s="1036"/>
      <c r="CJ197" s="1036"/>
      <c r="CK197" s="1036"/>
    </row>
    <row r="198" spans="1:89" s="957" customFormat="1" ht="14.25">
      <c r="A198" s="1114"/>
      <c r="B198" s="1115"/>
      <c r="C198" s="1116"/>
      <c r="D198" s="1147"/>
      <c r="E198" s="1114"/>
      <c r="F198" s="1117"/>
      <c r="G198" s="1117"/>
      <c r="H198" s="1118"/>
      <c r="I198" s="1114"/>
      <c r="J198" s="1118"/>
      <c r="K198" s="1410"/>
      <c r="L198" s="1118"/>
      <c r="M198" s="1410"/>
      <c r="N198" s="1410"/>
      <c r="O198" s="1036"/>
      <c r="P198" s="1036"/>
      <c r="Q198" s="1036"/>
      <c r="R198" s="1036"/>
      <c r="S198" s="1036"/>
      <c r="T198" s="1118"/>
      <c r="U198" s="1280"/>
      <c r="V198" s="1118"/>
      <c r="W198" s="1280"/>
      <c r="X198" s="908"/>
      <c r="Y198" s="1036"/>
      <c r="Z198" s="1120"/>
      <c r="AA198" s="1121"/>
      <c r="AB198" s="1120"/>
      <c r="AC198" s="1320"/>
      <c r="AD198" s="1156"/>
      <c r="AE198" s="1039"/>
      <c r="AF198" s="1118"/>
      <c r="AG198" s="1117"/>
      <c r="AH198" s="1118"/>
      <c r="AI198" s="1324"/>
      <c r="AJ198" s="908"/>
      <c r="AK198" s="1036"/>
      <c r="AL198" s="1120"/>
      <c r="AM198" s="1121"/>
      <c r="AN198" s="1120"/>
      <c r="AO198" s="1320"/>
      <c r="AP198" s="1156"/>
      <c r="AQ198" s="1039"/>
      <c r="AR198" s="1118"/>
      <c r="AS198" s="1117"/>
      <c r="AT198" s="1118"/>
      <c r="AU198" s="1324"/>
      <c r="AV198" s="908"/>
      <c r="AW198" s="1036"/>
      <c r="AX198" s="1120"/>
      <c r="AY198" s="1121"/>
      <c r="AZ198" s="1120"/>
      <c r="BA198" s="1320"/>
      <c r="BB198" s="1156"/>
      <c r="BC198" s="1039"/>
      <c r="BD198" s="1036"/>
      <c r="BE198" s="1117"/>
      <c r="BF198" s="1118"/>
      <c r="BG198" s="1324"/>
      <c r="BH198" s="908"/>
      <c r="BI198" s="1036"/>
      <c r="BJ198" s="1039"/>
      <c r="BK198" s="1121"/>
      <c r="BL198" s="1120"/>
      <c r="BM198" s="1320"/>
      <c r="BN198" s="1156"/>
      <c r="BO198" s="1039"/>
      <c r="BP198" s="1036"/>
      <c r="BQ198" s="1117"/>
      <c r="BR198" s="1036"/>
      <c r="BS198" s="1324"/>
      <c r="BT198" s="908"/>
      <c r="BU198" s="1036"/>
      <c r="BV198" s="1039"/>
      <c r="BW198" s="1121"/>
      <c r="BX198" s="1039"/>
      <c r="BY198" s="1320"/>
      <c r="BZ198" s="1156"/>
      <c r="CA198" s="1039"/>
      <c r="CB198" s="1131"/>
      <c r="CC198" s="1036"/>
      <c r="CD198" s="1036"/>
      <c r="CE198" s="1036"/>
      <c r="CF198" s="1036"/>
      <c r="CG198" s="1036"/>
      <c r="CH198" s="1036"/>
      <c r="CI198" s="1036"/>
      <c r="CJ198" s="1036"/>
      <c r="CK198" s="1036"/>
    </row>
    <row r="199" spans="1:89" s="957" customFormat="1" ht="14.25">
      <c r="A199" s="1114"/>
      <c r="B199" s="1115"/>
      <c r="C199" s="1116"/>
      <c r="D199" s="1147"/>
      <c r="E199" s="1114"/>
      <c r="F199" s="1117"/>
      <c r="G199" s="1117"/>
      <c r="H199" s="1118"/>
      <c r="I199" s="1114"/>
      <c r="J199" s="1118"/>
      <c r="K199" s="1410"/>
      <c r="L199" s="1118"/>
      <c r="M199" s="1410"/>
      <c r="N199" s="1410"/>
      <c r="O199" s="1036"/>
      <c r="P199" s="1036"/>
      <c r="Q199" s="1036"/>
      <c r="R199" s="1036"/>
      <c r="S199" s="1036"/>
      <c r="T199" s="1118"/>
      <c r="U199" s="1280"/>
      <c r="V199" s="1118"/>
      <c r="W199" s="1280"/>
      <c r="X199" s="908"/>
      <c r="Y199" s="1036"/>
      <c r="Z199" s="1120"/>
      <c r="AA199" s="1121"/>
      <c r="AB199" s="1120"/>
      <c r="AC199" s="1320"/>
      <c r="AD199" s="1156"/>
      <c r="AE199" s="1039"/>
      <c r="AF199" s="1118"/>
      <c r="AG199" s="1117"/>
      <c r="AH199" s="1118"/>
      <c r="AI199" s="1324"/>
      <c r="AJ199" s="908"/>
      <c r="AK199" s="1036"/>
      <c r="AL199" s="1120"/>
      <c r="AM199" s="1121"/>
      <c r="AN199" s="1120"/>
      <c r="AO199" s="1320"/>
      <c r="AP199" s="1156"/>
      <c r="AQ199" s="1039"/>
      <c r="AR199" s="1118"/>
      <c r="AS199" s="1117"/>
      <c r="AT199" s="1118"/>
      <c r="AU199" s="1324"/>
      <c r="AV199" s="908"/>
      <c r="AW199" s="1036"/>
      <c r="AX199" s="1120"/>
      <c r="AY199" s="1121"/>
      <c r="AZ199" s="1120"/>
      <c r="BA199" s="1320"/>
      <c r="BB199" s="1156"/>
      <c r="BC199" s="1039"/>
      <c r="BD199" s="1036"/>
      <c r="BE199" s="1117"/>
      <c r="BF199" s="1118"/>
      <c r="BG199" s="1324"/>
      <c r="BH199" s="908"/>
      <c r="BI199" s="1036"/>
      <c r="BJ199" s="1039"/>
      <c r="BK199" s="1121"/>
      <c r="BL199" s="1120"/>
      <c r="BM199" s="1320"/>
      <c r="BN199" s="1156"/>
      <c r="BO199" s="1039"/>
      <c r="BP199" s="1036"/>
      <c r="BQ199" s="1117"/>
      <c r="BR199" s="1036"/>
      <c r="BS199" s="1324"/>
      <c r="BT199" s="908"/>
      <c r="BU199" s="1036"/>
      <c r="BV199" s="1039"/>
      <c r="BW199" s="1121"/>
      <c r="BX199" s="1039"/>
      <c r="BY199" s="1320"/>
      <c r="BZ199" s="1156"/>
      <c r="CA199" s="1039"/>
      <c r="CB199" s="1131"/>
      <c r="CC199" s="1036"/>
      <c r="CD199" s="1036"/>
      <c r="CE199" s="1036"/>
      <c r="CF199" s="1036"/>
      <c r="CG199" s="1036"/>
      <c r="CH199" s="1036"/>
      <c r="CI199" s="1036"/>
      <c r="CJ199" s="1036"/>
      <c r="CK199" s="1036"/>
    </row>
    <row r="200" spans="1:89" s="957" customFormat="1" ht="14.25">
      <c r="A200" s="1114"/>
      <c r="B200" s="1115"/>
      <c r="C200" s="1116"/>
      <c r="D200" s="1147"/>
      <c r="E200" s="1114"/>
      <c r="F200" s="1117"/>
      <c r="G200" s="1117"/>
      <c r="H200" s="1118"/>
      <c r="I200" s="1114"/>
      <c r="J200" s="1118"/>
      <c r="K200" s="1410"/>
      <c r="L200" s="1118"/>
      <c r="M200" s="1410"/>
      <c r="N200" s="1410"/>
      <c r="O200" s="1036"/>
      <c r="P200" s="1036"/>
      <c r="Q200" s="1036"/>
      <c r="R200" s="1036"/>
      <c r="S200" s="1036"/>
      <c r="T200" s="1118"/>
      <c r="U200" s="1280"/>
      <c r="V200" s="1118"/>
      <c r="W200" s="1280"/>
      <c r="X200" s="908"/>
      <c r="Y200" s="1036"/>
      <c r="Z200" s="1120"/>
      <c r="AA200" s="1121"/>
      <c r="AB200" s="1120"/>
      <c r="AC200" s="1320"/>
      <c r="AD200" s="1156"/>
      <c r="AE200" s="1039"/>
      <c r="AF200" s="1118"/>
      <c r="AG200" s="1117"/>
      <c r="AH200" s="1118"/>
      <c r="AI200" s="1324"/>
      <c r="AJ200" s="908"/>
      <c r="AK200" s="1036"/>
      <c r="AL200" s="1120"/>
      <c r="AM200" s="1121"/>
      <c r="AN200" s="1120"/>
      <c r="AO200" s="1320"/>
      <c r="AP200" s="1156"/>
      <c r="AQ200" s="1039"/>
      <c r="AR200" s="1118"/>
      <c r="AS200" s="1117"/>
      <c r="AT200" s="1118"/>
      <c r="AU200" s="1324"/>
      <c r="AV200" s="908"/>
      <c r="AW200" s="1036"/>
      <c r="AX200" s="1120"/>
      <c r="AY200" s="1121"/>
      <c r="AZ200" s="1120"/>
      <c r="BA200" s="1320"/>
      <c r="BB200" s="1156"/>
      <c r="BC200" s="1039"/>
      <c r="BD200" s="1036"/>
      <c r="BE200" s="1117"/>
      <c r="BF200" s="1118"/>
      <c r="BG200" s="1324"/>
      <c r="BH200" s="908"/>
      <c r="BI200" s="1036"/>
      <c r="BJ200" s="1039"/>
      <c r="BK200" s="1121"/>
      <c r="BL200" s="1120"/>
      <c r="BM200" s="1320"/>
      <c r="BN200" s="1156"/>
      <c r="BO200" s="1039"/>
      <c r="BP200" s="1036"/>
      <c r="BQ200" s="1117"/>
      <c r="BR200" s="1036"/>
      <c r="BS200" s="1324"/>
      <c r="BT200" s="908"/>
      <c r="BU200" s="1036"/>
      <c r="BV200" s="1039"/>
      <c r="BW200" s="1121"/>
      <c r="BX200" s="1039"/>
      <c r="BY200" s="1320"/>
      <c r="BZ200" s="1156"/>
      <c r="CA200" s="1039"/>
      <c r="CB200" s="1131"/>
      <c r="CC200" s="1036"/>
      <c r="CD200" s="1036"/>
      <c r="CE200" s="1036"/>
      <c r="CF200" s="1036"/>
      <c r="CG200" s="1036"/>
      <c r="CH200" s="1036"/>
      <c r="CI200" s="1036"/>
      <c r="CJ200" s="1036"/>
      <c r="CK200" s="1036"/>
    </row>
    <row r="201" spans="1:89" s="957" customFormat="1" ht="14.25">
      <c r="A201" s="1114"/>
      <c r="B201" s="1115"/>
      <c r="C201" s="1116"/>
      <c r="D201" s="1147"/>
      <c r="E201" s="1114"/>
      <c r="F201" s="1117"/>
      <c r="G201" s="1117"/>
      <c r="H201" s="1118"/>
      <c r="I201" s="1114"/>
      <c r="J201" s="1118"/>
      <c r="K201" s="1410"/>
      <c r="L201" s="1118"/>
      <c r="M201" s="1410"/>
      <c r="N201" s="1410"/>
      <c r="O201" s="1036"/>
      <c r="P201" s="1036"/>
      <c r="Q201" s="1036"/>
      <c r="R201" s="1036"/>
      <c r="S201" s="1036"/>
      <c r="T201" s="1118"/>
      <c r="U201" s="1280"/>
      <c r="V201" s="1118"/>
      <c r="W201" s="1280"/>
      <c r="X201" s="908"/>
      <c r="Y201" s="1036"/>
      <c r="Z201" s="1120"/>
      <c r="AA201" s="1121"/>
      <c r="AB201" s="1120"/>
      <c r="AC201" s="1320"/>
      <c r="AD201" s="1156"/>
      <c r="AE201" s="1039"/>
      <c r="AF201" s="1118"/>
      <c r="AG201" s="1117"/>
      <c r="AH201" s="1118"/>
      <c r="AI201" s="1324"/>
      <c r="AJ201" s="908"/>
      <c r="AK201" s="1036"/>
      <c r="AL201" s="1120"/>
      <c r="AM201" s="1121"/>
      <c r="AN201" s="1120"/>
      <c r="AO201" s="1320"/>
      <c r="AP201" s="1156"/>
      <c r="AQ201" s="1039"/>
      <c r="AR201" s="1118"/>
      <c r="AS201" s="1117"/>
      <c r="AT201" s="1118"/>
      <c r="AU201" s="1324"/>
      <c r="AV201" s="908"/>
      <c r="AW201" s="1036"/>
      <c r="AX201" s="1120"/>
      <c r="AY201" s="1121"/>
      <c r="AZ201" s="1120"/>
      <c r="BA201" s="1320"/>
      <c r="BB201" s="1156"/>
      <c r="BC201" s="1039"/>
      <c r="BD201" s="1036"/>
      <c r="BE201" s="1117"/>
      <c r="BF201" s="1118"/>
      <c r="BG201" s="1324"/>
      <c r="BH201" s="908"/>
      <c r="BI201" s="1036"/>
      <c r="BJ201" s="1039"/>
      <c r="BK201" s="1121"/>
      <c r="BL201" s="1120"/>
      <c r="BM201" s="1320"/>
      <c r="BN201" s="1156"/>
      <c r="BO201" s="1039"/>
      <c r="BP201" s="1036"/>
      <c r="BQ201" s="1117"/>
      <c r="BR201" s="1036"/>
      <c r="BS201" s="1324"/>
      <c r="BT201" s="908"/>
      <c r="BU201" s="1036"/>
      <c r="BV201" s="1039"/>
      <c r="BW201" s="1121"/>
      <c r="BX201" s="1039"/>
      <c r="BY201" s="1320"/>
      <c r="BZ201" s="1156"/>
      <c r="CA201" s="1039"/>
      <c r="CB201" s="1131"/>
      <c r="CC201" s="1036"/>
      <c r="CD201" s="1036"/>
      <c r="CE201" s="1036"/>
      <c r="CF201" s="1036"/>
      <c r="CG201" s="1036"/>
      <c r="CH201" s="1036"/>
      <c r="CI201" s="1036"/>
      <c r="CJ201" s="1036"/>
      <c r="CK201" s="1036"/>
    </row>
    <row r="202" spans="1:89" s="957" customFormat="1" ht="14.25">
      <c r="A202" s="1114"/>
      <c r="B202" s="1115"/>
      <c r="C202" s="1116"/>
      <c r="D202" s="1147"/>
      <c r="E202" s="1114"/>
      <c r="F202" s="1117"/>
      <c r="G202" s="1117"/>
      <c r="H202" s="1118"/>
      <c r="I202" s="1114"/>
      <c r="J202" s="1118"/>
      <c r="K202" s="1410"/>
      <c r="L202" s="1118"/>
      <c r="M202" s="1410"/>
      <c r="N202" s="1410"/>
      <c r="O202" s="1036"/>
      <c r="P202" s="1036"/>
      <c r="Q202" s="1036"/>
      <c r="R202" s="1036"/>
      <c r="S202" s="1036"/>
      <c r="T202" s="1118"/>
      <c r="U202" s="1280"/>
      <c r="V202" s="1118"/>
      <c r="W202" s="1280"/>
      <c r="X202" s="908"/>
      <c r="Y202" s="1036"/>
      <c r="Z202" s="1120"/>
      <c r="AA202" s="1121"/>
      <c r="AB202" s="1120"/>
      <c r="AC202" s="1320"/>
      <c r="AD202" s="1156"/>
      <c r="AE202" s="1039"/>
      <c r="AF202" s="1118"/>
      <c r="AG202" s="1117"/>
      <c r="AH202" s="1118"/>
      <c r="AI202" s="1324"/>
      <c r="AJ202" s="908"/>
      <c r="AK202" s="1036"/>
      <c r="AL202" s="1120"/>
      <c r="AM202" s="1121"/>
      <c r="AN202" s="1120"/>
      <c r="AO202" s="1320"/>
      <c r="AP202" s="1156"/>
      <c r="AQ202" s="1039"/>
      <c r="AR202" s="1118"/>
      <c r="AS202" s="1117"/>
      <c r="AT202" s="1118"/>
      <c r="AU202" s="1324"/>
      <c r="AV202" s="908"/>
      <c r="AW202" s="1036"/>
      <c r="AX202" s="1120"/>
      <c r="AY202" s="1121"/>
      <c r="AZ202" s="1120"/>
      <c r="BA202" s="1320"/>
      <c r="BB202" s="1156"/>
      <c r="BC202" s="1039"/>
      <c r="BD202" s="1036"/>
      <c r="BE202" s="1117"/>
      <c r="BF202" s="1118"/>
      <c r="BG202" s="1324"/>
      <c r="BH202" s="908"/>
      <c r="BI202" s="1036"/>
      <c r="BJ202" s="1039"/>
      <c r="BK202" s="1121"/>
      <c r="BL202" s="1120"/>
      <c r="BM202" s="1320"/>
      <c r="BN202" s="1156"/>
      <c r="BO202" s="1039"/>
      <c r="BP202" s="1036"/>
      <c r="BQ202" s="1117"/>
      <c r="BR202" s="1036"/>
      <c r="BS202" s="1324"/>
      <c r="BT202" s="908"/>
      <c r="BU202" s="1036"/>
      <c r="BV202" s="1039"/>
      <c r="BW202" s="1121"/>
      <c r="BX202" s="1039"/>
      <c r="BY202" s="1320"/>
      <c r="BZ202" s="1156"/>
      <c r="CA202" s="1039"/>
      <c r="CB202" s="1131"/>
      <c r="CC202" s="1036"/>
      <c r="CD202" s="1036"/>
      <c r="CE202" s="1036"/>
      <c r="CF202" s="1036"/>
      <c r="CG202" s="1036"/>
      <c r="CH202" s="1036"/>
      <c r="CI202" s="1036"/>
      <c r="CJ202" s="1036"/>
      <c r="CK202" s="1036"/>
    </row>
    <row r="203" spans="1:89" s="957" customFormat="1" ht="14.25">
      <c r="A203" s="1114"/>
      <c r="B203" s="1115"/>
      <c r="C203" s="1116"/>
      <c r="D203" s="1147"/>
      <c r="E203" s="1114"/>
      <c r="F203" s="1117"/>
      <c r="G203" s="1117"/>
      <c r="H203" s="1118"/>
      <c r="I203" s="1114"/>
      <c r="J203" s="1118"/>
      <c r="K203" s="1410"/>
      <c r="L203" s="1118"/>
      <c r="M203" s="1410"/>
      <c r="N203" s="1410"/>
      <c r="O203" s="1036"/>
      <c r="P203" s="1036"/>
      <c r="Q203" s="1036"/>
      <c r="R203" s="1036"/>
      <c r="S203" s="1036"/>
      <c r="T203" s="1118"/>
      <c r="U203" s="1280"/>
      <c r="V203" s="1118"/>
      <c r="W203" s="1280"/>
      <c r="X203" s="908"/>
      <c r="Y203" s="1036"/>
      <c r="Z203" s="1120"/>
      <c r="AA203" s="1121"/>
      <c r="AB203" s="1120"/>
      <c r="AC203" s="1320"/>
      <c r="AD203" s="1156"/>
      <c r="AE203" s="1039"/>
      <c r="AF203" s="1118"/>
      <c r="AG203" s="1117"/>
      <c r="AH203" s="1118"/>
      <c r="AI203" s="1324"/>
      <c r="AJ203" s="908"/>
      <c r="AK203" s="1036"/>
      <c r="AL203" s="1120"/>
      <c r="AM203" s="1121"/>
      <c r="AN203" s="1120"/>
      <c r="AO203" s="1320"/>
      <c r="AP203" s="1156"/>
      <c r="AQ203" s="1039"/>
      <c r="AR203" s="1118"/>
      <c r="AS203" s="1117"/>
      <c r="AT203" s="1118"/>
      <c r="AU203" s="1324"/>
      <c r="AV203" s="908"/>
      <c r="AW203" s="1036"/>
      <c r="AX203" s="1120"/>
      <c r="AY203" s="1121"/>
      <c r="AZ203" s="1120"/>
      <c r="BA203" s="1320"/>
      <c r="BB203" s="1156"/>
      <c r="BC203" s="1039"/>
      <c r="BD203" s="1036"/>
      <c r="BE203" s="1117"/>
      <c r="BF203" s="1118"/>
      <c r="BG203" s="1324"/>
      <c r="BH203" s="908"/>
      <c r="BI203" s="1036"/>
      <c r="BJ203" s="1039"/>
      <c r="BK203" s="1121"/>
      <c r="BL203" s="1120"/>
      <c r="BM203" s="1320"/>
      <c r="BN203" s="1156"/>
      <c r="BO203" s="1039"/>
      <c r="BP203" s="1036"/>
      <c r="BQ203" s="1117"/>
      <c r="BR203" s="1036"/>
      <c r="BS203" s="1324"/>
      <c r="BT203" s="908"/>
      <c r="BU203" s="1036"/>
      <c r="BV203" s="1039"/>
      <c r="BW203" s="1121"/>
      <c r="BX203" s="1039"/>
      <c r="BY203" s="1320"/>
      <c r="BZ203" s="1156"/>
      <c r="CA203" s="1039"/>
      <c r="CB203" s="1131"/>
      <c r="CC203" s="1036"/>
      <c r="CD203" s="1036"/>
      <c r="CE203" s="1036"/>
      <c r="CF203" s="1036"/>
      <c r="CG203" s="1036"/>
      <c r="CH203" s="1036"/>
      <c r="CI203" s="1036"/>
      <c r="CJ203" s="1036"/>
      <c r="CK203" s="1036"/>
    </row>
    <row r="204" spans="1:89" s="957" customFormat="1" ht="14.25">
      <c r="A204" s="1114"/>
      <c r="B204" s="1115"/>
      <c r="C204" s="1116"/>
      <c r="D204" s="1147"/>
      <c r="E204" s="1114"/>
      <c r="F204" s="1117"/>
      <c r="G204" s="1117"/>
      <c r="H204" s="1118"/>
      <c r="I204" s="1114"/>
      <c r="J204" s="1118"/>
      <c r="K204" s="1410"/>
      <c r="L204" s="1118"/>
      <c r="M204" s="1410"/>
      <c r="N204" s="1410"/>
      <c r="O204" s="1036"/>
      <c r="P204" s="1036"/>
      <c r="Q204" s="1036"/>
      <c r="R204" s="1036"/>
      <c r="S204" s="1036"/>
      <c r="T204" s="1118"/>
      <c r="U204" s="1280"/>
      <c r="V204" s="1118"/>
      <c r="W204" s="1280"/>
      <c r="X204" s="908"/>
      <c r="Y204" s="1036"/>
      <c r="Z204" s="1120"/>
      <c r="AA204" s="1121"/>
      <c r="AB204" s="1120"/>
      <c r="AC204" s="1320"/>
      <c r="AD204" s="1156"/>
      <c r="AE204" s="1039"/>
      <c r="AF204" s="1118"/>
      <c r="AG204" s="1117"/>
      <c r="AH204" s="1118"/>
      <c r="AI204" s="1324"/>
      <c r="AJ204" s="908"/>
      <c r="AK204" s="1036"/>
      <c r="AL204" s="1120"/>
      <c r="AM204" s="1121"/>
      <c r="AN204" s="1120"/>
      <c r="AO204" s="1320"/>
      <c r="AP204" s="1156"/>
      <c r="AQ204" s="1039"/>
      <c r="AR204" s="1118"/>
      <c r="AS204" s="1117"/>
      <c r="AT204" s="1118"/>
      <c r="AU204" s="1324"/>
      <c r="AV204" s="908"/>
      <c r="AW204" s="1036"/>
      <c r="AX204" s="1120"/>
      <c r="AY204" s="1121"/>
      <c r="AZ204" s="1120"/>
      <c r="BA204" s="1320"/>
      <c r="BB204" s="1156"/>
      <c r="BC204" s="1039"/>
      <c r="BD204" s="1036"/>
      <c r="BE204" s="1117"/>
      <c r="BF204" s="1118"/>
      <c r="BG204" s="1324"/>
      <c r="BH204" s="908"/>
      <c r="BI204" s="1036"/>
      <c r="BJ204" s="1039"/>
      <c r="BK204" s="1121"/>
      <c r="BL204" s="1120"/>
      <c r="BM204" s="1320"/>
      <c r="BN204" s="1156"/>
      <c r="BO204" s="1039"/>
      <c r="BP204" s="1036"/>
      <c r="BQ204" s="1117"/>
      <c r="BR204" s="1036"/>
      <c r="BS204" s="1324"/>
      <c r="BT204" s="908"/>
      <c r="BU204" s="1036"/>
      <c r="BV204" s="1039"/>
      <c r="BW204" s="1121"/>
      <c r="BX204" s="1039"/>
      <c r="BY204" s="1320"/>
      <c r="BZ204" s="1156"/>
      <c r="CA204" s="1039"/>
      <c r="CB204" s="1131"/>
      <c r="CC204" s="1036"/>
      <c r="CD204" s="1036"/>
      <c r="CE204" s="1036"/>
      <c r="CF204" s="1036"/>
      <c r="CG204" s="1036"/>
      <c r="CH204" s="1036"/>
      <c r="CI204" s="1036"/>
      <c r="CJ204" s="1036"/>
      <c r="CK204" s="1036"/>
    </row>
    <row r="205" spans="1:89" s="957" customFormat="1" ht="14.25">
      <c r="A205" s="1114"/>
      <c r="B205" s="1115"/>
      <c r="C205" s="1116"/>
      <c r="D205" s="1147"/>
      <c r="E205" s="1114"/>
      <c r="F205" s="1117"/>
      <c r="G205" s="1117"/>
      <c r="H205" s="1118"/>
      <c r="I205" s="1114"/>
      <c r="J205" s="1118"/>
      <c r="K205" s="1410"/>
      <c r="L205" s="1118"/>
      <c r="M205" s="1410"/>
      <c r="N205" s="1410"/>
      <c r="O205" s="1036"/>
      <c r="P205" s="1036"/>
      <c r="Q205" s="1036"/>
      <c r="R205" s="1036"/>
      <c r="S205" s="1036"/>
      <c r="T205" s="1118"/>
      <c r="U205" s="1280"/>
      <c r="V205" s="1118"/>
      <c r="W205" s="1280"/>
      <c r="X205" s="908"/>
      <c r="Y205" s="1036"/>
      <c r="Z205" s="1120"/>
      <c r="AA205" s="1121"/>
      <c r="AB205" s="1120"/>
      <c r="AC205" s="1320"/>
      <c r="AD205" s="1156"/>
      <c r="AE205" s="1039"/>
      <c r="AF205" s="1118"/>
      <c r="AG205" s="1117"/>
      <c r="AH205" s="1118"/>
      <c r="AI205" s="1324"/>
      <c r="AJ205" s="908"/>
      <c r="AK205" s="1036"/>
      <c r="AL205" s="1120"/>
      <c r="AM205" s="1121"/>
      <c r="AN205" s="1120"/>
      <c r="AO205" s="1320"/>
      <c r="AP205" s="1156"/>
      <c r="AQ205" s="1039"/>
      <c r="AR205" s="1118"/>
      <c r="AS205" s="1117"/>
      <c r="AT205" s="1118"/>
      <c r="AU205" s="1324"/>
      <c r="AV205" s="908"/>
      <c r="AW205" s="1036"/>
      <c r="AX205" s="1120"/>
      <c r="AY205" s="1121"/>
      <c r="AZ205" s="1120"/>
      <c r="BA205" s="1320"/>
      <c r="BB205" s="1156"/>
      <c r="BC205" s="1039"/>
      <c r="BD205" s="1036"/>
      <c r="BE205" s="1117"/>
      <c r="BF205" s="1118"/>
      <c r="BG205" s="1324"/>
      <c r="BH205" s="908"/>
      <c r="BI205" s="1036"/>
      <c r="BJ205" s="1039"/>
      <c r="BK205" s="1121"/>
      <c r="BL205" s="1120"/>
      <c r="BM205" s="1320"/>
      <c r="BN205" s="1156"/>
      <c r="BO205" s="1039"/>
      <c r="BP205" s="1036"/>
      <c r="BQ205" s="1117"/>
      <c r="BR205" s="1036"/>
      <c r="BS205" s="1324"/>
      <c r="BT205" s="908"/>
      <c r="BU205" s="1036"/>
      <c r="BV205" s="1039"/>
      <c r="BW205" s="1121"/>
      <c r="BX205" s="1039"/>
      <c r="BY205" s="1320"/>
      <c r="BZ205" s="1156"/>
      <c r="CA205" s="1039"/>
      <c r="CB205" s="1131"/>
      <c r="CC205" s="1036"/>
      <c r="CD205" s="1036"/>
      <c r="CE205" s="1036"/>
      <c r="CF205" s="1036"/>
      <c r="CG205" s="1036"/>
      <c r="CH205" s="1036"/>
      <c r="CI205" s="1036"/>
      <c r="CJ205" s="1036"/>
      <c r="CK205" s="1036"/>
    </row>
  </sheetData>
  <dataConsolidate/>
  <mergeCells count="234">
    <mergeCell ref="T2:X2"/>
    <mergeCell ref="Z2:AD2"/>
    <mergeCell ref="AF2:AJ2"/>
    <mergeCell ref="AR2:AV2"/>
    <mergeCell ref="H73:H75"/>
    <mergeCell ref="O73:O75"/>
    <mergeCell ref="J2:O2"/>
    <mergeCell ref="AY28:AY29"/>
    <mergeCell ref="BA28:BA29"/>
    <mergeCell ref="U43:U44"/>
    <mergeCell ref="W43:W44"/>
    <mergeCell ref="I67:I68"/>
    <mergeCell ref="U67:U68"/>
    <mergeCell ref="W67:W68"/>
    <mergeCell ref="AS41:AS42"/>
    <mergeCell ref="U70:U71"/>
    <mergeCell ref="W70:W71"/>
    <mergeCell ref="AA70:AA71"/>
    <mergeCell ref="AC70:AC71"/>
    <mergeCell ref="BA67:BA68"/>
    <mergeCell ref="AI73:AI75"/>
    <mergeCell ref="AC73:AC75"/>
    <mergeCell ref="AU73:AU75"/>
    <mergeCell ref="BA73:BA75"/>
    <mergeCell ref="BE28:BE29"/>
    <mergeCell ref="A16:A18"/>
    <mergeCell ref="B16:B18"/>
    <mergeCell ref="A19:A21"/>
    <mergeCell ref="B19:B21"/>
    <mergeCell ref="A22:A24"/>
    <mergeCell ref="B22:B24"/>
    <mergeCell ref="A10:A13"/>
    <mergeCell ref="B10:B13"/>
    <mergeCell ref="AM28:AM29"/>
    <mergeCell ref="AO28:AO29"/>
    <mergeCell ref="AS28:AS29"/>
    <mergeCell ref="AU28:AU29"/>
    <mergeCell ref="M28:M29"/>
    <mergeCell ref="K28:K29"/>
    <mergeCell ref="N28:N29"/>
    <mergeCell ref="A4:A6"/>
    <mergeCell ref="B4:B6"/>
    <mergeCell ref="A7:A9"/>
    <mergeCell ref="B7:B9"/>
    <mergeCell ref="AC28:AC29"/>
    <mergeCell ref="AG28:AG29"/>
    <mergeCell ref="AI28:AI29"/>
    <mergeCell ref="W28:W29"/>
    <mergeCell ref="AA28:AA29"/>
    <mergeCell ref="A25:A27"/>
    <mergeCell ref="B25:B27"/>
    <mergeCell ref="A28:A29"/>
    <mergeCell ref="B28:B29"/>
    <mergeCell ref="I28:I29"/>
    <mergeCell ref="U28:U29"/>
    <mergeCell ref="BW30:BW31"/>
    <mergeCell ref="BY30:BY31"/>
    <mergeCell ref="BG30:BG31"/>
    <mergeCell ref="BK30:BK31"/>
    <mergeCell ref="BM30:BM31"/>
    <mergeCell ref="BQ30:BQ31"/>
    <mergeCell ref="BS30:BS31"/>
    <mergeCell ref="BY28:BY29"/>
    <mergeCell ref="BG28:BG29"/>
    <mergeCell ref="BK28:BK29"/>
    <mergeCell ref="BM28:BM29"/>
    <mergeCell ref="BQ28:BQ29"/>
    <mergeCell ref="BS28:BS29"/>
    <mergeCell ref="BW28:BW29"/>
    <mergeCell ref="BE30:BE31"/>
    <mergeCell ref="AM30:AM31"/>
    <mergeCell ref="AO30:AO31"/>
    <mergeCell ref="AS30:AS31"/>
    <mergeCell ref="AU30:AU31"/>
    <mergeCell ref="AY30:AY31"/>
    <mergeCell ref="BA30:BA31"/>
    <mergeCell ref="A30:A31"/>
    <mergeCell ref="B30:B31"/>
    <mergeCell ref="I30:I31"/>
    <mergeCell ref="U30:U31"/>
    <mergeCell ref="W30:W31"/>
    <mergeCell ref="AA30:AA31"/>
    <mergeCell ref="AC30:AC31"/>
    <mergeCell ref="AG30:AG31"/>
    <mergeCell ref="AI30:AI31"/>
    <mergeCell ref="AC32:AC33"/>
    <mergeCell ref="AG32:AG33"/>
    <mergeCell ref="A35:A37"/>
    <mergeCell ref="B35:B37"/>
    <mergeCell ref="A38:A40"/>
    <mergeCell ref="B38:B40"/>
    <mergeCell ref="I41:I42"/>
    <mergeCell ref="U41:U42"/>
    <mergeCell ref="W41:W42"/>
    <mergeCell ref="AA41:AA42"/>
    <mergeCell ref="AC41:AC42"/>
    <mergeCell ref="A41:A42"/>
    <mergeCell ref="B41:B42"/>
    <mergeCell ref="A43:A44"/>
    <mergeCell ref="B43:B44"/>
    <mergeCell ref="I43:I44"/>
    <mergeCell ref="BA32:BA33"/>
    <mergeCell ref="BE32:BE33"/>
    <mergeCell ref="BG32:BG33"/>
    <mergeCell ref="BK32:BK33"/>
    <mergeCell ref="BM32:BM33"/>
    <mergeCell ref="AI32:AI33"/>
    <mergeCell ref="AM32:AM33"/>
    <mergeCell ref="AO32:AO33"/>
    <mergeCell ref="AS32:AS33"/>
    <mergeCell ref="AU32:AU33"/>
    <mergeCell ref="AY32:AY33"/>
    <mergeCell ref="AG41:AG42"/>
    <mergeCell ref="AI41:AI42"/>
    <mergeCell ref="AM41:AM42"/>
    <mergeCell ref="AO41:AO42"/>
    <mergeCell ref="A32:A33"/>
    <mergeCell ref="B32:B33"/>
    <mergeCell ref="I32:I33"/>
    <mergeCell ref="U32:U33"/>
    <mergeCell ref="W32:W33"/>
    <mergeCell ref="AA32:AA33"/>
    <mergeCell ref="AA43:AA44"/>
    <mergeCell ref="AC43:AC44"/>
    <mergeCell ref="AG43:AG44"/>
    <mergeCell ref="AI43:AI44"/>
    <mergeCell ref="AM43:AM44"/>
    <mergeCell ref="AO43:AO44"/>
    <mergeCell ref="AS43:AS44"/>
    <mergeCell ref="AU43:AU44"/>
    <mergeCell ref="AY43:AY44"/>
    <mergeCell ref="M73:M75"/>
    <mergeCell ref="A57:A62"/>
    <mergeCell ref="B57:B62"/>
    <mergeCell ref="A63:A65"/>
    <mergeCell ref="B63:B65"/>
    <mergeCell ref="A67:A68"/>
    <mergeCell ref="B67:B68"/>
    <mergeCell ref="B45:B47"/>
    <mergeCell ref="A48:A51"/>
    <mergeCell ref="B48:B51"/>
    <mergeCell ref="A52:A56"/>
    <mergeCell ref="B52:B56"/>
    <mergeCell ref="A45:A47"/>
    <mergeCell ref="A73:A75"/>
    <mergeCell ref="B73:B75"/>
    <mergeCell ref="G73:G75"/>
    <mergeCell ref="I73:I75"/>
    <mergeCell ref="A70:A71"/>
    <mergeCell ref="B70:B71"/>
    <mergeCell ref="I70:I71"/>
    <mergeCell ref="BE73:BE75"/>
    <mergeCell ref="AO73:AO75"/>
    <mergeCell ref="AI67:AI68"/>
    <mergeCell ref="AM67:AM68"/>
    <mergeCell ref="AO67:AO68"/>
    <mergeCell ref="AS67:AS68"/>
    <mergeCell ref="AU67:AU68"/>
    <mergeCell ref="AY67:AY68"/>
    <mergeCell ref="AA67:AA68"/>
    <mergeCell ref="AC67:AC68"/>
    <mergeCell ref="AG67:AG68"/>
    <mergeCell ref="BQ41:BQ42"/>
    <mergeCell ref="BA43:BA44"/>
    <mergeCell ref="BE43:BE44"/>
    <mergeCell ref="BG43:BG44"/>
    <mergeCell ref="BG73:BG75"/>
    <mergeCell ref="BQ70:BQ71"/>
    <mergeCell ref="BS70:BS71"/>
    <mergeCell ref="BW70:BW71"/>
    <mergeCell ref="U73:U75"/>
    <mergeCell ref="W73:W75"/>
    <mergeCell ref="AY70:AY71"/>
    <mergeCell ref="BA70:BA71"/>
    <mergeCell ref="BE70:BE71"/>
    <mergeCell ref="AG70:AG71"/>
    <mergeCell ref="AI70:AI71"/>
    <mergeCell ref="AM70:AM71"/>
    <mergeCell ref="AO70:AO71"/>
    <mergeCell ref="AS70:AS71"/>
    <mergeCell ref="AU70:AU71"/>
    <mergeCell ref="AA73:AA75"/>
    <mergeCell ref="AG73:AG75"/>
    <mergeCell ref="AM73:AM75"/>
    <mergeCell ref="AS73:AS75"/>
    <mergeCell ref="AY73:AY75"/>
    <mergeCell ref="BK43:BK44"/>
    <mergeCell ref="AL2:AP2"/>
    <mergeCell ref="AX2:BB2"/>
    <mergeCell ref="BD2:BH2"/>
    <mergeCell ref="BP2:BT2"/>
    <mergeCell ref="BJ2:BN2"/>
    <mergeCell ref="BV2:BZ2"/>
    <mergeCell ref="BY70:BY71"/>
    <mergeCell ref="BG70:BG71"/>
    <mergeCell ref="BK70:BK71"/>
    <mergeCell ref="BM70:BM71"/>
    <mergeCell ref="BS67:BS68"/>
    <mergeCell ref="BW67:BW68"/>
    <mergeCell ref="BY67:BY68"/>
    <mergeCell ref="BG67:BG68"/>
    <mergeCell ref="BK67:BK68"/>
    <mergeCell ref="BM67:BM68"/>
    <mergeCell ref="BQ67:BQ68"/>
    <mergeCell ref="BM43:BM44"/>
    <mergeCell ref="BQ43:BQ44"/>
    <mergeCell ref="BW41:BW42"/>
    <mergeCell ref="BS43:BS44"/>
    <mergeCell ref="BS32:BS33"/>
    <mergeCell ref="BM41:BM42"/>
    <mergeCell ref="N73:N75"/>
    <mergeCell ref="P73:P75"/>
    <mergeCell ref="Q73:Q75"/>
    <mergeCell ref="R73:R75"/>
    <mergeCell ref="BY43:BY44"/>
    <mergeCell ref="BW32:BW33"/>
    <mergeCell ref="BY32:BY33"/>
    <mergeCell ref="BQ32:BQ33"/>
    <mergeCell ref="BK73:BK75"/>
    <mergeCell ref="BQ73:BQ75"/>
    <mergeCell ref="BS73:BS75"/>
    <mergeCell ref="BW73:BW75"/>
    <mergeCell ref="BY73:BY75"/>
    <mergeCell ref="BS41:BS42"/>
    <mergeCell ref="BM73:BM75"/>
    <mergeCell ref="BY41:BY42"/>
    <mergeCell ref="AU41:AU42"/>
    <mergeCell ref="AY41:AY42"/>
    <mergeCell ref="BA41:BA42"/>
    <mergeCell ref="BE41:BE42"/>
    <mergeCell ref="BG41:BG42"/>
    <mergeCell ref="BK41:BK42"/>
    <mergeCell ref="BW43:BW44"/>
    <mergeCell ref="BE67:BE68"/>
  </mergeCells>
  <phoneticPr fontId="3" type="noConversion"/>
  <conditionalFormatting sqref="X4:X75 AD4:AD75 AJ4:AJ75 AV4:AV75 BB4:BB75 BN4:BN75 BZ4:BZ75 BT4:BT75 AP4:AP75 BH4:BH75">
    <cfRule type="cellIs" dxfId="236" priority="184" operator="lessThan">
      <formula>-0.3</formula>
    </cfRule>
    <cfRule type="cellIs" dxfId="235" priority="185" operator="greaterThan">
      <formula>0.3</formula>
    </cfRule>
  </conditionalFormatting>
  <conditionalFormatting sqref="U4 AG4 AS4 BE4 BQ4 BW4 BK4 AY4 AM4 W4 AC4 AI4 AO4 AU4 BA4 BG4 BM4 BS4 BY4 U10 W10 AA4">
    <cfRule type="cellIs" dxfId="234" priority="183" operator="notEqual">
      <formula>$I$4</formula>
    </cfRule>
  </conditionalFormatting>
  <conditionalFormatting sqref="U7 AA7 AG7 AM7 AS7 AY7 BE7 BK7 BQ7 BW7 W7 AC7 AI7 AO7 AU7 BA7 BG7 BM7 BS7 BY7">
    <cfRule type="cellIs" dxfId="233" priority="182" operator="notEqual">
      <formula>$I$7</formula>
    </cfRule>
  </conditionalFormatting>
  <conditionalFormatting sqref="AA10 AG10 AM10 AS10 AY10 BE10 BK10 BQ10 BW10 AC10 AI10 AU10 BA10 BG10 BM10 BS10 BY10 AO10 W10 U10">
    <cfRule type="cellIs" dxfId="232" priority="181" operator="notEqual">
      <formula>$I$10</formula>
    </cfRule>
  </conditionalFormatting>
  <conditionalFormatting sqref="U16 AA16 AG16 AM16 AS16 AY16 BE16 BK16 BQ16 BW16 W16 AC16 AI16 AO16 AU16 BA16 BG16 BM16 BS16 BY16">
    <cfRule type="cellIs" dxfId="231" priority="180" operator="notEqual">
      <formula>$I$16</formula>
    </cfRule>
  </conditionalFormatting>
  <conditionalFormatting sqref="U19 AA19 AG19 AM19 AS19 AY19 BE19 BK19 BQ19 BW19 W19 AC19 AI19 AO19 AU19 BA19 BG19 BM19 BS19 BY19">
    <cfRule type="cellIs" dxfId="230" priority="179" operator="notEqual">
      <formula>$I$19</formula>
    </cfRule>
  </conditionalFormatting>
  <conditionalFormatting sqref="U22 AA22 AG22 AM22 AS22 AY22 BE22 BK22 BQ22 BW22 W22 AC22 AI22 AO22 AU22 BA22 BG22 BM22 BS22 BY22">
    <cfRule type="cellIs" dxfId="229" priority="178" operator="notEqual">
      <formula>$I$22</formula>
    </cfRule>
  </conditionalFormatting>
  <conditionalFormatting sqref="U28:U29 AA28:AA29 AG28:AG29 AM28:AM29 AS28:AS29 AY28:AY29 BE28:BE29 BK28:BK29 BQ28:BQ29 BG28:BG29 W28:W29 BS28:BS29 BW28 AO28:AO29 BA28:BA29 AI28:AI29 AC28:AC29 BY28 BM28:BM29 AU28:AU29">
    <cfRule type="cellIs" dxfId="228" priority="177" operator="notEqual">
      <formula>$I$28</formula>
    </cfRule>
  </conditionalFormatting>
  <conditionalFormatting sqref="U30:U33 AA30:AA33 AG30:AG33 AM30:AM33 AS30:AS33 AY30:AY33 BE30:BE33 BK30:BK33 BQ30:BQ33 BW30:BW33 W30:W33 AC30:AC33 AI30:AI33 AO30:AO33 AU30:AU33 BA30:BA33 BG30:BG33 BM30:BM33 BS30:BS33 BY30:BY33">
    <cfRule type="cellIs" dxfId="227" priority="176" operator="notEqual">
      <formula>$I$30</formula>
    </cfRule>
  </conditionalFormatting>
  <conditionalFormatting sqref="U35 AA35 AG35 AM35 AS35 AY35 BE35 BK35 BQ35 BW35 AA38 W35 AC35 AC38 AI35 AO35 AU35 BA35 BG35 BM35 BS35 BY35">
    <cfRule type="cellIs" dxfId="226" priority="175" operator="notEqual">
      <formula>$I$35</formula>
    </cfRule>
  </conditionalFormatting>
  <conditionalFormatting sqref="U38 AA38 AG38 AM38 AS38 AY38 BE38 BK38 BQ38 BW38 W38 AC38 AI38 AO38 AU38 BA38 BG38 BM38 BS38 BY38">
    <cfRule type="cellIs" dxfId="225" priority="173" operator="notEqual">
      <formula>$I$38</formula>
    </cfRule>
    <cfRule type="cellIs" dxfId="224" priority="174" operator="notEqual">
      <formula>$I$35</formula>
    </cfRule>
  </conditionalFormatting>
  <conditionalFormatting sqref="U41:U42 AA41:AA42 AG41:AG42 AM41:AM42 AS41:AS42 AY41:AY42 BE41:BE42 BK41:BK42 BQ41:BQ42 BW41:BW42 W41:W42 AC41:AC42 AO41:AO42 AU41:AU42 BA41:BA42 BG41:BG42 BM41:BM42 BS41:BS42 BY41:BY42 AI41:AI42">
    <cfRule type="cellIs" dxfId="223" priority="172" operator="notEqual">
      <formula>$I$41</formula>
    </cfRule>
  </conditionalFormatting>
  <conditionalFormatting sqref="U43:U44 AA43:AA44 AG43:AG44 AM43:AM44 AS43:AS44 AY43:AY44 BE43:BE44 BK43:BK44 BQ43:BQ44 BW43:BW44 W43:W44 AC43:AC44 AI43:AI44 AO43:AO44 AU43:AU44 BA43:BA44 BG43:BG44 BM43:BM44 BS43:BS44 BY43:BY44">
    <cfRule type="cellIs" dxfId="222" priority="171" operator="notEqual">
      <formula>$I$43</formula>
    </cfRule>
  </conditionalFormatting>
  <conditionalFormatting sqref="U45 AA45 AG45 AM45 AS45 AY45 BE45 BK45 BQ45 BW45 W45 AC45 AI45 AO45 AU45 BA45 BG45 BM45 BS45 BY45">
    <cfRule type="cellIs" dxfId="221" priority="170" operator="notEqual">
      <formula>$I$45</formula>
    </cfRule>
  </conditionalFormatting>
  <conditionalFormatting sqref="U48 AA48 AG48 AM48 AS48 AY48 BE48 BK48 BQ48 BW48 W48 AC48 AI48 AO48 AU48 BA48 BG48 BM48 BS48 BY48">
    <cfRule type="cellIs" dxfId="220" priority="169" operator="notEqual">
      <formula>$I$48</formula>
    </cfRule>
  </conditionalFormatting>
  <conditionalFormatting sqref="U52 AA52 AG52 AM52 AS52 AY52 BE52 BK52 BQ52 BW52 BY52 AC52 BS52 BM52 AU52 BA52 AO52 AI52 BG52">
    <cfRule type="cellIs" dxfId="219" priority="168" operator="notEqual">
      <formula>$I$52</formula>
    </cfRule>
  </conditionalFormatting>
  <conditionalFormatting sqref="U57 AA57 AG57 AM57 AS57 AY57 BE57 BK57 BQ57 BW57 W57 AC57 AI57 AO57 AU57 BA57 BG57 BM57 BS57 BY57">
    <cfRule type="cellIs" dxfId="218" priority="167" operator="notEqual">
      <formula>$I$57</formula>
    </cfRule>
  </conditionalFormatting>
  <conditionalFormatting sqref="U63 AA63 AG63 AM63 AS63 AY63 BE63 BK63 BQ63 BW63 W63 AC63 AI63 AO63 AU63 BA63 BG63 BM63 BS63 BY63">
    <cfRule type="cellIs" dxfId="217" priority="166" operator="notEqual">
      <formula>$I$63</formula>
    </cfRule>
  </conditionalFormatting>
  <conditionalFormatting sqref="U67:U68 AA67:AA68 AG67:AG68 AM67:AM68 AS67:AS68 AY67:AY68 BE67:BE68 BK67:BK68 BQ67:BQ68 BW67:BW68 W67:W68 AC67:AC68 AI67:AI68 AO67:AO68 AU67:AU68 BG67:BG68 BM67:BM68 BS67:BS68 BY67:BY68 BA67:BA68">
    <cfRule type="cellIs" dxfId="216" priority="165" operator="notEqual">
      <formula>$I$67</formula>
    </cfRule>
  </conditionalFormatting>
  <conditionalFormatting sqref="U70:U71 AA70:AA71 AG70:AG71 AM70:AM71 AS70:AS71 AY70:AY71 BE70:BE71 BK70:BK71 BQ70:BQ71 BW70:BW71 W70:W71 AC70:AC71 AI70:AI71 AO70:AO71 AU70:AU71 BA70:BA71 BG70:BG71 BM70:BM71 BS70:BS71 BY70:BY71">
    <cfRule type="cellIs" dxfId="215" priority="164" operator="notEqual">
      <formula>$I$70</formula>
    </cfRule>
  </conditionalFormatting>
  <conditionalFormatting sqref="U14 AA14 AG14 AM14 AS14 AY14 BE14 BK14 BQ14 BW14 W52 AC52 AI52">
    <cfRule type="cellIs" dxfId="214" priority="163" operator="notEqual">
      <formula>3</formula>
    </cfRule>
  </conditionalFormatting>
  <conditionalFormatting sqref="X4:X75 AD4:AD75 AJ4:AJ75 AV4:AV75 BB4:BB75 BN4:BN75 BZ4:BZ75 BT4:BT75 AP4:AP75 BH4:BH75">
    <cfRule type="cellIs" dxfId="213" priority="161" stopIfTrue="1" operator="lessThanOrEqual">
      <formula>-0.3</formula>
    </cfRule>
    <cfRule type="cellIs" dxfId="212" priority="162" stopIfTrue="1" operator="greaterThanOrEqual">
      <formula>0.3</formula>
    </cfRule>
  </conditionalFormatting>
  <conditionalFormatting sqref="O5:R68">
    <cfRule type="expression" dxfId="211" priority="31">
      <formula>$I5&gt;$M5</formula>
    </cfRule>
  </conditionalFormatting>
  <conditionalFormatting sqref="O70:R73">
    <cfRule type="expression" dxfId="210" priority="30">
      <formula>$I70&gt;$M70</formula>
    </cfRule>
  </conditionalFormatting>
  <conditionalFormatting sqref="O4">
    <cfRule type="expression" dxfId="209" priority="23">
      <formula>$I4&gt;$M4</formula>
    </cfRule>
  </conditionalFormatting>
  <conditionalFormatting sqref="P4:R4 R5:R68 R70:R73">
    <cfRule type="expression" dxfId="208" priority="22">
      <formula>$I4&gt;$M4</formula>
    </cfRule>
  </conditionalFormatting>
  <conditionalFormatting sqref="Q5:Q68 Q70:Q75">
    <cfRule type="expression" dxfId="207" priority="21">
      <formula>$I5&gt;$M5</formula>
    </cfRule>
  </conditionalFormatting>
  <conditionalFormatting sqref="R5:R68 R70:R72">
    <cfRule type="expression" dxfId="206" priority="20">
      <formula>$I5&gt;$M5</formula>
    </cfRule>
  </conditionalFormatting>
  <conditionalFormatting sqref="N76 N30:N73 N4:N28">
    <cfRule type="cellIs" dxfId="205" priority="14" stopIfTrue="1" operator="lessThan">
      <formula>0</formula>
    </cfRule>
    <cfRule type="cellIs" dxfId="204" priority="15" operator="greaterThan">
      <formula>0</formula>
    </cfRule>
  </conditionalFormatting>
  <dataValidations count="5">
    <dataValidation type="list" allowBlank="1" showInputMessage="1" showErrorMessage="1" sqref="BX66 BV66">
      <formula1>$S$66:$T$66</formula1>
    </dataValidation>
    <dataValidation type="list" allowBlank="1" showInputMessage="1" showErrorMessage="1" sqref="B72">
      <formula1>$S$72:$S$72</formula1>
    </dataValidation>
    <dataValidation type="list" allowBlank="1" showInputMessage="1" showErrorMessage="1" sqref="A66:B66">
      <formula1>$S$66:$S$66</formula1>
    </dataValidation>
    <dataValidation type="list" allowBlank="1" showInputMessage="1" showErrorMessage="1" sqref="A34:B34">
      <formula1>$S$34:$S$34</formula1>
    </dataValidation>
    <dataValidation type="list" allowBlank="1" showInputMessage="1" showErrorMessage="1" sqref="A15:B15">
      <formula1>$S$15:$S$15</formula1>
    </dataValidation>
  </dataValidations>
  <hyperlinks>
    <hyperlink ref="D88" location="权重!A1" display="权重!A1"/>
    <hyperlink ref="D89" location="目录!A1" display="目录!A1"/>
  </hyperlinks>
  <pageMargins left="0.7" right="0.7" top="0.75" bottom="0.75" header="0.3" footer="0.3"/>
  <pageSetup paperSize="9" orientation="portrait" horizontalDpi="4294967295" verticalDpi="4294967295" r:id="rId1"/>
  <legacyDrawing r:id="rId2"/>
</worksheet>
</file>

<file path=xl/worksheets/sheet13.xml><?xml version="1.0" encoding="utf-8"?>
<worksheet xmlns="http://schemas.openxmlformats.org/spreadsheetml/2006/main" xmlns:r="http://schemas.openxmlformats.org/officeDocument/2006/relationships">
  <sheetPr>
    <tabColor theme="6"/>
  </sheetPr>
  <dimension ref="A1:CA205"/>
  <sheetViews>
    <sheetView workbookViewId="0">
      <pane xSplit="18" ySplit="3" topLeftCell="BR7" activePane="bottomRight" state="frozenSplit"/>
      <selection activeCell="C1" sqref="C1"/>
      <selection pane="topRight" activeCell="X1" sqref="X1"/>
      <selection pane="bottomLeft" activeCell="C8" sqref="C8"/>
      <selection pane="bottomRight" activeCell="BT30" sqref="BT30"/>
    </sheetView>
  </sheetViews>
  <sheetFormatPr defaultColWidth="9" defaultRowHeight="16.5" outlineLevelCol="3"/>
  <cols>
    <col min="1" max="1" width="11" style="459" hidden="1" customWidth="1" outlineLevel="3"/>
    <col min="2" max="2" width="35.25" style="459" hidden="1" customWidth="1" outlineLevel="1"/>
    <col min="3" max="3" width="4.625" style="460" customWidth="1" collapsed="1"/>
    <col min="4" max="4" width="40.5" style="384" customWidth="1"/>
    <col min="5" max="5" width="17.5" style="459" hidden="1" customWidth="1" outlineLevel="1"/>
    <col min="6" max="6" width="7.5" style="436" hidden="1" customWidth="1" outlineLevel="2"/>
    <col min="7" max="7" width="10.5" style="436" hidden="1" customWidth="1" outlineLevel="2"/>
    <col min="8" max="8" width="10.5" style="432" hidden="1" customWidth="1" outlineLevel="1"/>
    <col min="9" max="9" width="6.25" style="459" customWidth="1" collapsed="1"/>
    <col min="10" max="10" width="10.625" style="461" hidden="1" customWidth="1" outlineLevel="1"/>
    <col min="11" max="11" width="8.625" style="461" hidden="1" customWidth="1" outlineLevel="1"/>
    <col min="12" max="12" width="12.875" style="461" hidden="1" customWidth="1" outlineLevel="1"/>
    <col min="13" max="13" width="8.625" style="461" hidden="1" customWidth="1" outlineLevel="1"/>
    <col min="14" max="14" width="7.375" style="459" hidden="1" customWidth="1" outlineLevel="1"/>
    <col min="15" max="15" width="7.5" style="461" hidden="1" customWidth="1" outlineLevel="1"/>
    <col min="16" max="16" width="6.5" style="370" hidden="1" customWidth="1" outlineLevel="1"/>
    <col min="17" max="17" width="7.5" style="370" hidden="1" customWidth="1" outlineLevel="1"/>
    <col min="18" max="18" width="9.25" style="370" customWidth="1" collapsed="1"/>
    <col min="19" max="19" width="4.375" style="459" customWidth="1"/>
    <col min="20" max="20" width="11.25" style="384" hidden="1" customWidth="1" outlineLevel="2"/>
    <col min="21" max="21" width="7.75" style="384" hidden="1" customWidth="1" outlineLevel="2"/>
    <col min="22" max="22" width="10" style="384" customWidth="1" collapsed="1"/>
    <col min="23" max="23" width="8.5" style="1338" customWidth="1"/>
    <col min="24" max="24" width="9.5" style="1271" customWidth="1"/>
    <col min="25" max="25" width="4.75" style="385" customWidth="1"/>
    <col min="26" max="26" width="7.875" style="384" hidden="1" customWidth="1" outlineLevel="1"/>
    <col min="27" max="27" width="8.25" style="384" hidden="1" customWidth="1" outlineLevel="1"/>
    <col min="28" max="28" width="8.875" style="384" customWidth="1" collapsed="1"/>
    <col min="29" max="29" width="8.625" style="1338" customWidth="1"/>
    <col min="30" max="30" width="8.625" style="1271" customWidth="1"/>
    <col min="31" max="31" width="4.5" style="385" customWidth="1"/>
    <col min="32" max="32" width="8.875" style="384" hidden="1" customWidth="1" outlineLevel="1"/>
    <col min="33" max="33" width="10.25" style="384" hidden="1" customWidth="1" outlineLevel="1"/>
    <col min="34" max="34" width="8.5" style="384" customWidth="1" collapsed="1"/>
    <col min="35" max="35" width="8.5" style="1338" customWidth="1"/>
    <col min="36" max="36" width="8.625" style="385" customWidth="1"/>
    <col min="37" max="37" width="4.625" style="385" customWidth="1"/>
    <col min="38" max="38" width="10.875" style="384" hidden="1" customWidth="1" outlineLevel="1"/>
    <col min="39" max="39" width="8.625" style="384" hidden="1" customWidth="1" outlineLevel="1"/>
    <col min="40" max="40" width="10" style="384" customWidth="1" collapsed="1"/>
    <col min="41" max="41" width="8.625" style="1338" customWidth="1"/>
    <col min="42" max="42" width="8.625" style="385" customWidth="1"/>
    <col min="43" max="43" width="4.125" style="385" customWidth="1"/>
    <col min="44" max="44" width="8.75" style="384" hidden="1" customWidth="1" outlineLevel="1"/>
    <col min="45" max="45" width="8.625" style="384" hidden="1" customWidth="1" outlineLevel="1"/>
    <col min="46" max="46" width="8.625" style="384" customWidth="1" collapsed="1"/>
    <col min="47" max="47" width="8.625" style="1338" customWidth="1"/>
    <col min="48" max="48" width="8.625" style="385" customWidth="1"/>
    <col min="49" max="49" width="4.625" style="385" customWidth="1"/>
    <col min="50" max="50" width="13" style="384" hidden="1" customWidth="1" outlineLevel="1"/>
    <col min="51" max="51" width="8.625" style="384" hidden="1" customWidth="1" outlineLevel="1"/>
    <col min="52" max="52" width="13" style="384" customWidth="1" collapsed="1"/>
    <col min="53" max="53" width="8.625" style="1338" customWidth="1"/>
    <col min="54" max="54" width="8.625" style="385" customWidth="1"/>
    <col min="55" max="55" width="4.875" style="385" customWidth="1"/>
    <col min="56" max="56" width="11.5" style="384" hidden="1" customWidth="1" outlineLevel="1"/>
    <col min="57" max="57" width="8.625" style="384" hidden="1" customWidth="1" outlineLevel="1"/>
    <col min="58" max="58" width="9.125" style="384" customWidth="1" collapsed="1"/>
    <col min="59" max="59" width="8.625" style="1338" customWidth="1"/>
    <col min="60" max="60" width="8.625" style="385" customWidth="1"/>
    <col min="61" max="61" width="4.625" style="385" customWidth="1"/>
    <col min="62" max="62" width="13" style="384" hidden="1" customWidth="1" outlineLevel="1"/>
    <col min="63" max="63" width="8.625" style="384" hidden="1" customWidth="1" outlineLevel="1"/>
    <col min="64" max="64" width="8.5" style="384" customWidth="1" collapsed="1"/>
    <col min="65" max="65" width="8.625" style="1338" customWidth="1"/>
    <col min="66" max="66" width="8.625" style="385" customWidth="1"/>
    <col min="67" max="67" width="4.75" style="385" customWidth="1"/>
    <col min="68" max="68" width="11.5" style="384" hidden="1" customWidth="1" outlineLevel="1"/>
    <col min="69" max="69" width="8.625" style="384" hidden="1" customWidth="1" outlineLevel="1"/>
    <col min="70" max="70" width="8.5" style="384" customWidth="1" collapsed="1"/>
    <col min="71" max="71" width="8.625" style="1338" customWidth="1"/>
    <col min="72" max="72" width="8.625" style="385" customWidth="1"/>
    <col min="73" max="73" width="4.5" style="385" customWidth="1"/>
    <col min="74" max="74" width="9.5" style="384" hidden="1" customWidth="1" outlineLevel="1"/>
    <col min="75" max="75" width="8.625" style="384" hidden="1" customWidth="1" outlineLevel="1"/>
    <col min="76" max="76" width="9.125" style="384" customWidth="1" collapsed="1"/>
    <col min="77" max="77" width="8.625" style="1338" customWidth="1"/>
    <col min="78" max="78" width="8.625" style="385" customWidth="1"/>
    <col min="79" max="79" width="9.625" style="384" customWidth="1"/>
    <col min="80" max="80" width="8.875" style="384" customWidth="1"/>
    <col min="81" max="16384" width="9" style="384"/>
  </cols>
  <sheetData>
    <row r="1" spans="1:79" s="371" customFormat="1">
      <c r="A1" s="381"/>
      <c r="B1" s="382"/>
      <c r="C1" s="358" t="s">
        <v>1175</v>
      </c>
      <c r="D1" s="363"/>
      <c r="E1" s="382"/>
      <c r="F1" s="383"/>
      <c r="G1" s="383"/>
      <c r="H1" s="383"/>
      <c r="I1" s="382"/>
      <c r="J1" s="382"/>
      <c r="K1" s="382"/>
      <c r="L1" s="382" t="s">
        <v>1656</v>
      </c>
      <c r="M1" s="382"/>
      <c r="N1" s="364"/>
      <c r="O1" s="382"/>
      <c r="P1" s="366"/>
      <c r="Q1" s="366"/>
      <c r="R1" s="366"/>
      <c r="S1" s="382"/>
      <c r="W1" s="1328"/>
      <c r="X1" s="26"/>
      <c r="Y1" s="374"/>
      <c r="Z1" s="384"/>
      <c r="AA1" s="384"/>
      <c r="AB1" s="384"/>
      <c r="AC1" s="1338"/>
      <c r="AD1" s="1271"/>
      <c r="AE1" s="385"/>
      <c r="AI1" s="1328"/>
      <c r="AJ1" s="374"/>
      <c r="AK1" s="374"/>
      <c r="AL1" s="384"/>
      <c r="AM1" s="384"/>
      <c r="AN1" s="384"/>
      <c r="AO1" s="1338"/>
      <c r="AP1" s="385"/>
      <c r="AQ1" s="385"/>
      <c r="AU1" s="1328"/>
      <c r="AV1" s="374"/>
      <c r="AW1" s="374"/>
      <c r="AX1" s="384"/>
      <c r="AY1" s="384"/>
      <c r="AZ1" s="384"/>
      <c r="BA1" s="1338"/>
      <c r="BB1" s="385"/>
      <c r="BC1" s="385"/>
      <c r="BG1" s="1328"/>
      <c r="BH1" s="374"/>
      <c r="BI1" s="374"/>
      <c r="BJ1" s="384"/>
      <c r="BK1" s="384"/>
      <c r="BL1" s="384"/>
      <c r="BM1" s="1338"/>
      <c r="BN1" s="385"/>
      <c r="BO1" s="385"/>
      <c r="BS1" s="1328"/>
      <c r="BT1" s="374"/>
      <c r="BU1" s="374"/>
      <c r="BV1" s="384"/>
      <c r="BW1" s="384"/>
      <c r="BX1" s="384"/>
      <c r="BY1" s="1338"/>
      <c r="BZ1" s="385"/>
      <c r="CA1" s="384"/>
    </row>
    <row r="2" spans="1:79" s="371" customFormat="1" ht="16.5" customHeight="1">
      <c r="A2" s="387"/>
      <c r="B2" s="382"/>
      <c r="E2" s="382"/>
      <c r="F2" s="383"/>
      <c r="G2" s="383"/>
      <c r="H2" s="383"/>
      <c r="J2" s="1692" t="s">
        <v>1495</v>
      </c>
      <c r="K2" s="1693"/>
      <c r="L2" s="1693"/>
      <c r="M2" s="1693"/>
      <c r="N2" s="1693"/>
      <c r="O2" s="1693"/>
      <c r="P2" s="365"/>
      <c r="Q2" s="367"/>
      <c r="R2" s="367"/>
      <c r="S2" s="388"/>
      <c r="T2" s="1683" t="s">
        <v>1085</v>
      </c>
      <c r="U2" s="1684"/>
      <c r="V2" s="1684"/>
      <c r="W2" s="1684"/>
      <c r="X2" s="1685"/>
      <c r="Y2" s="389"/>
      <c r="Z2" s="1683" t="s">
        <v>1086</v>
      </c>
      <c r="AA2" s="1684"/>
      <c r="AB2" s="1684"/>
      <c r="AC2" s="1684"/>
      <c r="AD2" s="1685"/>
      <c r="AE2" s="389"/>
      <c r="AF2" s="1683" t="s">
        <v>1087</v>
      </c>
      <c r="AG2" s="1684"/>
      <c r="AH2" s="1684"/>
      <c r="AI2" s="1684"/>
      <c r="AJ2" s="1685"/>
      <c r="AK2" s="389"/>
      <c r="AL2" s="1683" t="s">
        <v>1088</v>
      </c>
      <c r="AM2" s="1684"/>
      <c r="AN2" s="1684"/>
      <c r="AO2" s="1684"/>
      <c r="AP2" s="1685"/>
      <c r="AQ2" s="389"/>
      <c r="AR2" s="1683" t="s">
        <v>1089</v>
      </c>
      <c r="AS2" s="1684"/>
      <c r="AT2" s="1684"/>
      <c r="AU2" s="1684"/>
      <c r="AV2" s="1685"/>
      <c r="AW2" s="389"/>
      <c r="AX2" s="1683" t="s">
        <v>1090</v>
      </c>
      <c r="AY2" s="1684"/>
      <c r="AZ2" s="1684"/>
      <c r="BA2" s="1684"/>
      <c r="BB2" s="1685"/>
      <c r="BC2" s="389"/>
      <c r="BD2" s="1683" t="s">
        <v>1091</v>
      </c>
      <c r="BE2" s="1684"/>
      <c r="BF2" s="1684"/>
      <c r="BG2" s="1684"/>
      <c r="BH2" s="1685"/>
      <c r="BI2" s="389"/>
      <c r="BJ2" s="1683" t="s">
        <v>1092</v>
      </c>
      <c r="BK2" s="1684"/>
      <c r="BL2" s="1684"/>
      <c r="BM2" s="1684"/>
      <c r="BN2" s="1685"/>
      <c r="BO2" s="389"/>
      <c r="BP2" s="1683" t="s">
        <v>1093</v>
      </c>
      <c r="BQ2" s="1684"/>
      <c r="BR2" s="1684"/>
      <c r="BS2" s="1684"/>
      <c r="BT2" s="1685"/>
      <c r="BU2" s="389"/>
      <c r="BV2" s="1683" t="s">
        <v>1094</v>
      </c>
      <c r="BW2" s="1684"/>
      <c r="BX2" s="1684"/>
      <c r="BY2" s="1684"/>
      <c r="BZ2" s="1684"/>
      <c r="CA2" s="384"/>
    </row>
    <row r="3" spans="1:79" s="374" customFormat="1" ht="16.5" customHeight="1">
      <c r="A3" s="390" t="s">
        <v>1097</v>
      </c>
      <c r="B3" s="391" t="s">
        <v>1098</v>
      </c>
      <c r="C3" s="392" t="s">
        <v>1095</v>
      </c>
      <c r="D3" s="389" t="s">
        <v>1096</v>
      </c>
      <c r="E3" s="389" t="s">
        <v>1494</v>
      </c>
      <c r="F3" s="389" t="s">
        <v>1099</v>
      </c>
      <c r="G3" s="389" t="s">
        <v>394</v>
      </c>
      <c r="H3" s="389" t="s">
        <v>650</v>
      </c>
      <c r="I3" s="389" t="s">
        <v>489</v>
      </c>
      <c r="J3" s="359" t="s">
        <v>1421</v>
      </c>
      <c r="K3" s="359" t="s">
        <v>2156</v>
      </c>
      <c r="L3" s="767" t="s">
        <v>2255</v>
      </c>
      <c r="M3" s="359" t="s">
        <v>2256</v>
      </c>
      <c r="N3" s="359" t="s">
        <v>1101</v>
      </c>
      <c r="O3" s="359" t="s">
        <v>465</v>
      </c>
      <c r="P3" s="359" t="s">
        <v>1599</v>
      </c>
      <c r="Q3" s="368" t="s">
        <v>1600</v>
      </c>
      <c r="R3" s="368" t="s">
        <v>2466</v>
      </c>
      <c r="S3" s="394"/>
      <c r="T3" s="359" t="str">
        <f>J3</f>
        <v>Q1</v>
      </c>
      <c r="U3" s="359" t="str">
        <f>K3</f>
        <v>Q1得分</v>
      </c>
      <c r="V3" s="393" t="str">
        <f>L3</f>
        <v>Q2</v>
      </c>
      <c r="W3" s="1329" t="str">
        <f>M3</f>
        <v>Q2得分</v>
      </c>
      <c r="X3" s="1269" t="s">
        <v>1100</v>
      </c>
      <c r="Y3" s="395"/>
      <c r="Z3" s="359" t="str">
        <f>T3</f>
        <v>Q1</v>
      </c>
      <c r="AA3" s="359" t="str">
        <f>U3</f>
        <v>Q1得分</v>
      </c>
      <c r="AB3" s="393" t="str">
        <f>V3</f>
        <v>Q2</v>
      </c>
      <c r="AC3" s="1329" t="str">
        <f>W3</f>
        <v>Q2得分</v>
      </c>
      <c r="AD3" s="1269" t="s">
        <v>1100</v>
      </c>
      <c r="AE3" s="359"/>
      <c r="AF3" s="359" t="str">
        <f>Z3</f>
        <v>Q1</v>
      </c>
      <c r="AG3" s="359" t="str">
        <f>AA3</f>
        <v>Q1得分</v>
      </c>
      <c r="AH3" s="393" t="str">
        <f>AB3</f>
        <v>Q2</v>
      </c>
      <c r="AI3" s="1329" t="str">
        <f>AC3</f>
        <v>Q2得分</v>
      </c>
      <c r="AJ3" s="359" t="s">
        <v>1100</v>
      </c>
      <c r="AK3" s="359"/>
      <c r="AL3" s="359" t="str">
        <f>AF3</f>
        <v>Q1</v>
      </c>
      <c r="AM3" s="359" t="str">
        <f>AG3</f>
        <v>Q1得分</v>
      </c>
      <c r="AN3" s="393" t="str">
        <f>AH3</f>
        <v>Q2</v>
      </c>
      <c r="AO3" s="1329" t="str">
        <f>AI3</f>
        <v>Q2得分</v>
      </c>
      <c r="AP3" s="359" t="s">
        <v>1100</v>
      </c>
      <c r="AQ3" s="359"/>
      <c r="AR3" s="359" t="str">
        <f>AL3</f>
        <v>Q1</v>
      </c>
      <c r="AS3" s="359" t="str">
        <f>AM3</f>
        <v>Q1得分</v>
      </c>
      <c r="AT3" s="393" t="str">
        <f>AN3</f>
        <v>Q2</v>
      </c>
      <c r="AU3" s="1329" t="str">
        <f>AO3</f>
        <v>Q2得分</v>
      </c>
      <c r="AV3" s="359" t="s">
        <v>1490</v>
      </c>
      <c r="AW3" s="359"/>
      <c r="AX3" s="359" t="str">
        <f>AR3</f>
        <v>Q1</v>
      </c>
      <c r="AY3" s="359" t="str">
        <f>AS3</f>
        <v>Q1得分</v>
      </c>
      <c r="AZ3" s="393" t="str">
        <f>AT3</f>
        <v>Q2</v>
      </c>
      <c r="BA3" s="1329" t="str">
        <f>AU3</f>
        <v>Q2得分</v>
      </c>
      <c r="BB3" s="359" t="s">
        <v>1100</v>
      </c>
      <c r="BC3" s="359"/>
      <c r="BD3" s="359" t="str">
        <f>AX3</f>
        <v>Q1</v>
      </c>
      <c r="BE3" s="359" t="str">
        <f>AY3</f>
        <v>Q1得分</v>
      </c>
      <c r="BF3" s="393" t="str">
        <f>AZ3</f>
        <v>Q2</v>
      </c>
      <c r="BG3" s="1329" t="str">
        <f>BA3</f>
        <v>Q2得分</v>
      </c>
      <c r="BH3" s="359" t="s">
        <v>1100</v>
      </c>
      <c r="BI3" s="359"/>
      <c r="BJ3" s="359" t="str">
        <f>BD3</f>
        <v>Q1</v>
      </c>
      <c r="BK3" s="359" t="str">
        <f>BE3</f>
        <v>Q1得分</v>
      </c>
      <c r="BL3" s="393" t="str">
        <f>BF3</f>
        <v>Q2</v>
      </c>
      <c r="BM3" s="1329" t="str">
        <f>BG3</f>
        <v>Q2得分</v>
      </c>
      <c r="BN3" s="359" t="s">
        <v>1100</v>
      </c>
      <c r="BO3" s="359"/>
      <c r="BP3" s="359" t="str">
        <f>BJ3</f>
        <v>Q1</v>
      </c>
      <c r="BQ3" s="359" t="str">
        <f>BK3</f>
        <v>Q1得分</v>
      </c>
      <c r="BR3" s="393" t="str">
        <f>BL3</f>
        <v>Q2</v>
      </c>
      <c r="BS3" s="1329" t="str">
        <f>BM3</f>
        <v>Q2得分</v>
      </c>
      <c r="BT3" s="359" t="s">
        <v>1100</v>
      </c>
      <c r="BU3" s="359"/>
      <c r="BV3" s="359" t="str">
        <f>BP3</f>
        <v>Q1</v>
      </c>
      <c r="BW3" s="359" t="str">
        <f>BQ3</f>
        <v>Q1得分</v>
      </c>
      <c r="BX3" s="393" t="str">
        <f>BR3</f>
        <v>Q2</v>
      </c>
      <c r="BY3" s="1329" t="str">
        <f>BS3</f>
        <v>Q2得分</v>
      </c>
      <c r="BZ3" s="359" t="s">
        <v>1100</v>
      </c>
      <c r="CA3" s="384"/>
    </row>
    <row r="4" spans="1:79" s="374" customFormat="1">
      <c r="A4" s="1671" t="s">
        <v>1176</v>
      </c>
      <c r="B4" s="1674" t="s">
        <v>2490</v>
      </c>
      <c r="C4" s="397">
        <v>1</v>
      </c>
      <c r="D4" s="595" t="s">
        <v>1484</v>
      </c>
      <c r="E4" s="398"/>
      <c r="F4" s="380"/>
      <c r="G4" s="380" t="s">
        <v>399</v>
      </c>
      <c r="H4" s="360" t="s">
        <v>230</v>
      </c>
      <c r="I4" s="399">
        <v>5</v>
      </c>
      <c r="J4" s="1155">
        <f>AVERAGE(BV4,BP4,BJ4,BD4,AX4,AR4,AL4,AF4,Z4,T4)</f>
        <v>0.9</v>
      </c>
      <c r="K4" s="400">
        <f>AVERAGE(BW4,BQ4,BK4,BE4,AY4,AS4,AM4,AG4,AA4,U4)</f>
        <v>4.5</v>
      </c>
      <c r="L4" s="1155">
        <f>AVERAGE(BX4,BR4,BL4,BF4,AZ4,AT4,AN4,AH4,AB4,V4)</f>
        <v>0.9</v>
      </c>
      <c r="M4" s="400">
        <f>AVERAGE(BY4,BS4,BM4,BG4,BA4,AU4,AO4,AI4,AC4,W4)</f>
        <v>4.5</v>
      </c>
      <c r="N4" s="401">
        <f>M4-K4</f>
        <v>0</v>
      </c>
      <c r="O4" s="372">
        <f t="shared" ref="O4:O32" si="0">I4-M4</f>
        <v>0.5</v>
      </c>
      <c r="P4" s="372">
        <f>O4*0.7</f>
        <v>0.35</v>
      </c>
      <c r="Q4" s="372">
        <f>P4/9</f>
        <v>3.888888888888889E-2</v>
      </c>
      <c r="R4" s="372">
        <f>Q4/2</f>
        <v>1.9444444444444445E-2</v>
      </c>
      <c r="S4" s="373"/>
      <c r="T4" s="1297">
        <v>1</v>
      </c>
      <c r="U4" s="378">
        <f>IF(T4&gt;=0.8,5,IF(T4&gt;=0.5,2,0))</f>
        <v>5</v>
      </c>
      <c r="V4" s="1297">
        <f>IF(V6=0,"",V5/V6)</f>
        <v>1</v>
      </c>
      <c r="W4" s="1330">
        <f>IF(V4&gt;=0.8,5,IF(V4&gt;=0.5,2,0))</f>
        <v>5</v>
      </c>
      <c r="X4" s="22">
        <f t="shared" ref="X4:X11" si="1">IF(AND(T4=0,V4&lt;&gt;0),1,IF(AND(T4=0,V4=0),0,V4/T4-1))</f>
        <v>0</v>
      </c>
      <c r="Y4" s="373"/>
      <c r="Z4" s="1297">
        <v>1</v>
      </c>
      <c r="AA4" s="378">
        <f>IF(Z4&gt;=0.8,5,IF(Z4&gt;=0.5,2,0))</f>
        <v>5</v>
      </c>
      <c r="AB4" s="1297">
        <f>IF(AB6=0,"",AB5/AB6)</f>
        <v>1</v>
      </c>
      <c r="AC4" s="1330">
        <f>IF(AB4&gt;=0.8,5,IF(AB4&gt;=0.5,2,0))</f>
        <v>5</v>
      </c>
      <c r="AD4" s="22">
        <f t="shared" ref="AD4:AD11" si="2">IF(AND(Z4=0,AB4&lt;&gt;0),1,IF(AND(Z4=0,AB4=0),0,AB4/Z4-1))</f>
        <v>0</v>
      </c>
      <c r="AE4" s="373"/>
      <c r="AF4" s="360">
        <v>1</v>
      </c>
      <c r="AG4" s="378">
        <f>IF(AF4&gt;=0.8,5,IF(AF4&gt;=0.5,2,0))</f>
        <v>5</v>
      </c>
      <c r="AH4" s="1297">
        <f>IF(AH6=0,"",AH5/AH6)</f>
        <v>1</v>
      </c>
      <c r="AI4" s="1330">
        <f>IF(AH4&gt;=0.8,5,IF(AH4&gt;=0.5,2,0))</f>
        <v>5</v>
      </c>
      <c r="AJ4" s="22">
        <f t="shared" ref="AJ4:AJ11" si="3">IF(AND(AF4=0,AH4&lt;&gt;0),1,IF(AND(AF4=0,AH4=0),0,AH4/AF4-1))</f>
        <v>0</v>
      </c>
      <c r="AK4" s="373"/>
      <c r="AL4" s="1297">
        <v>1</v>
      </c>
      <c r="AM4" s="378">
        <f>IF(AL4&gt;=0.8,5,IF(AL4&gt;=0.5,2,0))</f>
        <v>5</v>
      </c>
      <c r="AN4" s="1297">
        <f>IF(AN6=0,"",AN5/AN6)</f>
        <v>1</v>
      </c>
      <c r="AO4" s="1330">
        <f>IF(AN4&gt;=0.8,5,IF(AN4&gt;=0.5,2,0))</f>
        <v>5</v>
      </c>
      <c r="AP4" s="22">
        <f t="shared" ref="AP4:AP11" si="4">IF(AND(AL4=0,AN4&lt;&gt;0),1,IF(AND(AL4=0,AN4=0),0,AN4/AL4-1))</f>
        <v>0</v>
      </c>
      <c r="AQ4" s="373"/>
      <c r="AR4" s="1297">
        <v>1</v>
      </c>
      <c r="AS4" s="378">
        <f>IF(AR4&gt;=0.8,5,IF(AR4&gt;=0.5,2,0))</f>
        <v>5</v>
      </c>
      <c r="AT4" s="1297">
        <f>IF(AT6=0,"",AT5/AT6)</f>
        <v>1</v>
      </c>
      <c r="AU4" s="1330">
        <f>IF(AT4&gt;=0.8,5,IF(AT4&gt;=0.5,2,0))</f>
        <v>5</v>
      </c>
      <c r="AV4" s="22">
        <f t="shared" ref="AV4:AV11" si="5">IF(AND(AR4=0,AT4&lt;&gt;0),1,IF(AND(AR4=0,AT4=0),0,AT4/AR4-1))</f>
        <v>0</v>
      </c>
      <c r="AW4" s="373"/>
      <c r="AX4" s="1297">
        <v>1</v>
      </c>
      <c r="AY4" s="378">
        <f>IF(AX4&gt;=0.8,5,IF(AX4&gt;=0.5,2,0))</f>
        <v>5</v>
      </c>
      <c r="AZ4" s="1297">
        <f>IF(AZ6=0,"",AZ5/AZ6)</f>
        <v>1</v>
      </c>
      <c r="BA4" s="1330">
        <f>IF(AZ4&gt;=0.8,5,IF(AZ4&gt;=0.5,2,0))</f>
        <v>5</v>
      </c>
      <c r="BB4" s="22">
        <f t="shared" ref="BB4:BB11" si="6">IF(AND(AX4=0,AZ4&lt;&gt;0),1,IF(AND(AX4=0,AZ4=0),0,AZ4/AX4-1))</f>
        <v>0</v>
      </c>
      <c r="BC4" s="373"/>
      <c r="BD4" s="1297">
        <v>0</v>
      </c>
      <c r="BE4" s="378">
        <f>IF(BD4&gt;=0.8,5,IF(BD4&gt;=0.5,2,0))</f>
        <v>0</v>
      </c>
      <c r="BF4" s="1297">
        <f>IF(BF6=0,"",BF5/BF6)</f>
        <v>0</v>
      </c>
      <c r="BG4" s="1330">
        <f>IF(BF4&gt;=0.8,5,IF(BF4&gt;=0.5,2,0))</f>
        <v>0</v>
      </c>
      <c r="BH4" s="22">
        <f t="shared" ref="BH4:BH11" si="7">IF(AND(BD4=0,BF4&lt;&gt;0),1,IF(AND(BD4=0,BF4=0),0,BF4/BD4-1))</f>
        <v>0</v>
      </c>
      <c r="BI4" s="373"/>
      <c r="BJ4" s="1297">
        <v>1</v>
      </c>
      <c r="BK4" s="378">
        <f>IF(BJ4&gt;=0.8,5,IF(BJ4&gt;=0.5,2,0))</f>
        <v>5</v>
      </c>
      <c r="BL4" s="1297">
        <f>IF(BL6=0,"",BL5/BL6)</f>
        <v>1</v>
      </c>
      <c r="BM4" s="1330">
        <f>IF(BL4&gt;=0.8,5,IF(BL4&gt;=0.5,2,0))</f>
        <v>5</v>
      </c>
      <c r="BN4" s="22">
        <f t="shared" ref="BN4:BN11" si="8">IF(AND(BJ4=0,BL4&lt;&gt;0),1,IF(AND(BJ4=0,BL4=0),0,BL4/BJ4-1))</f>
        <v>0</v>
      </c>
      <c r="BO4" s="373"/>
      <c r="BP4" s="1297">
        <v>1</v>
      </c>
      <c r="BQ4" s="378">
        <f>IF(BP4&gt;=0.8,5,IF(BP4&gt;=0.5,2,0))</f>
        <v>5</v>
      </c>
      <c r="BR4" s="1297">
        <f>IF(BR6=0,"",BR5/BR6)</f>
        <v>1</v>
      </c>
      <c r="BS4" s="1330">
        <f>IF(BR4&gt;=0.8,5,IF(BR4&gt;=0.5,2,0))</f>
        <v>5</v>
      </c>
      <c r="BT4" s="22">
        <f t="shared" ref="BT4:BT11" si="9">IF(AND(BP4=0,BR4&lt;&gt;0),1,IF(AND(BP4=0,BR4=0),0,BR4/BP4-1))</f>
        <v>0</v>
      </c>
      <c r="BU4" s="373"/>
      <c r="BV4" s="1297">
        <v>1</v>
      </c>
      <c r="BW4" s="378">
        <f>IF(BV4&gt;=0.8,5,IF(BV4&gt;=0.5,2,0))</f>
        <v>5</v>
      </c>
      <c r="BX4" s="1297">
        <f>IF(BX6=0,"",BX5/BX6)</f>
        <v>1</v>
      </c>
      <c r="BY4" s="1330">
        <f>IF(BX4&gt;=0.8,5,IF(BX4&gt;=0.5,2,0))</f>
        <v>5</v>
      </c>
      <c r="BZ4" s="22">
        <f t="shared" ref="BZ4:BZ11" si="10">IF(AND(BV4=0,BX4&lt;&gt;0),1,IF(AND(BV4=0,BX4=0),0,BX4/BV4-1))</f>
        <v>0</v>
      </c>
      <c r="CA4" s="385"/>
    </row>
    <row r="5" spans="1:79" s="374" customFormat="1">
      <c r="A5" s="1672"/>
      <c r="B5" s="1675"/>
      <c r="C5" s="404">
        <v>1.1000000000000001</v>
      </c>
      <c r="D5" s="405" t="s">
        <v>1697</v>
      </c>
      <c r="E5" s="398" t="s">
        <v>1120</v>
      </c>
      <c r="F5" s="406"/>
      <c r="G5" s="406"/>
      <c r="H5" s="404"/>
      <c r="I5" s="406"/>
      <c r="J5" s="728">
        <f t="shared" ref="J5:J11" si="11">AVERAGE(BV5,BP5,BJ5,BD5,AX5,AR5,AL5,AF5,Z5,T5)</f>
        <v>0.9</v>
      </c>
      <c r="K5" s="407"/>
      <c r="L5" s="728">
        <f t="shared" ref="L5:L11" si="12">AVERAGE(BX5,BR5,BL5,BF5,AZ5,AT5,AN5,AH5,AB5,V5)</f>
        <v>0.9</v>
      </c>
      <c r="M5" s="407"/>
      <c r="N5" s="408">
        <f t="shared" ref="N5:N38" si="13">M5-K5</f>
        <v>0</v>
      </c>
      <c r="O5" s="380">
        <f t="shared" si="0"/>
        <v>0</v>
      </c>
      <c r="P5" s="372">
        <f t="shared" ref="P5:P48" si="14">O5*0.7</f>
        <v>0</v>
      </c>
      <c r="Q5" s="372">
        <f t="shared" ref="Q5:Q47" si="15">P5/9</f>
        <v>0</v>
      </c>
      <c r="R5" s="372">
        <f t="shared" ref="R5:R47" si="16">Q5/2</f>
        <v>0</v>
      </c>
      <c r="S5" s="373"/>
      <c r="T5" s="360">
        <v>1</v>
      </c>
      <c r="U5" s="379"/>
      <c r="V5" s="360">
        <v>1</v>
      </c>
      <c r="W5" s="1331"/>
      <c r="X5" s="22">
        <f t="shared" si="1"/>
        <v>0</v>
      </c>
      <c r="Y5" s="373"/>
      <c r="Z5" s="360">
        <v>1</v>
      </c>
      <c r="AA5" s="379"/>
      <c r="AB5" s="360">
        <v>1</v>
      </c>
      <c r="AC5" s="1331"/>
      <c r="AD5" s="22">
        <f t="shared" si="2"/>
        <v>0</v>
      </c>
      <c r="AE5" s="373"/>
      <c r="AF5" s="360">
        <v>1</v>
      </c>
      <c r="AG5" s="379"/>
      <c r="AH5" s="360">
        <v>1</v>
      </c>
      <c r="AI5" s="1331"/>
      <c r="AJ5" s="22">
        <f t="shared" si="3"/>
        <v>0</v>
      </c>
      <c r="AK5" s="373"/>
      <c r="AL5" s="360">
        <v>1</v>
      </c>
      <c r="AM5" s="379"/>
      <c r="AN5" s="360">
        <v>1</v>
      </c>
      <c r="AO5" s="1331"/>
      <c r="AP5" s="22">
        <f t="shared" si="4"/>
        <v>0</v>
      </c>
      <c r="AQ5" s="373"/>
      <c r="AR5" s="360">
        <v>1</v>
      </c>
      <c r="AS5" s="379"/>
      <c r="AT5" s="360">
        <v>1</v>
      </c>
      <c r="AU5" s="1331"/>
      <c r="AV5" s="22">
        <f t="shared" si="5"/>
        <v>0</v>
      </c>
      <c r="AW5" s="373"/>
      <c r="AX5" s="360">
        <v>1</v>
      </c>
      <c r="AY5" s="379"/>
      <c r="AZ5" s="360">
        <v>1</v>
      </c>
      <c r="BA5" s="1331"/>
      <c r="BB5" s="22">
        <f t="shared" si="6"/>
        <v>0</v>
      </c>
      <c r="BC5" s="373"/>
      <c r="BD5" s="360">
        <v>0</v>
      </c>
      <c r="BE5" s="379"/>
      <c r="BF5" s="360">
        <v>0</v>
      </c>
      <c r="BG5" s="1331"/>
      <c r="BH5" s="22">
        <f t="shared" si="7"/>
        <v>0</v>
      </c>
      <c r="BI5" s="373"/>
      <c r="BJ5" s="360">
        <v>1</v>
      </c>
      <c r="BK5" s="379"/>
      <c r="BL5" s="360">
        <v>1</v>
      </c>
      <c r="BM5" s="1331"/>
      <c r="BN5" s="22">
        <f t="shared" si="8"/>
        <v>0</v>
      </c>
      <c r="BO5" s="373"/>
      <c r="BP5" s="360">
        <v>1</v>
      </c>
      <c r="BQ5" s="379"/>
      <c r="BR5" s="360">
        <v>1</v>
      </c>
      <c r="BS5" s="1331"/>
      <c r="BT5" s="22">
        <f t="shared" si="9"/>
        <v>0</v>
      </c>
      <c r="BU5" s="373"/>
      <c r="BV5" s="360">
        <v>1</v>
      </c>
      <c r="BW5" s="379"/>
      <c r="BX5" s="360">
        <v>1</v>
      </c>
      <c r="BY5" s="1331"/>
      <c r="BZ5" s="22">
        <f t="shared" si="10"/>
        <v>0</v>
      </c>
      <c r="CA5" s="385"/>
    </row>
    <row r="6" spans="1:79" s="374" customFormat="1">
      <c r="A6" s="1673"/>
      <c r="B6" s="1676"/>
      <c r="C6" s="404">
        <v>1.2</v>
      </c>
      <c r="D6" s="405" t="s">
        <v>1696</v>
      </c>
      <c r="E6" s="398" t="s">
        <v>1120</v>
      </c>
      <c r="F6" s="406"/>
      <c r="G6" s="406"/>
      <c r="H6" s="404"/>
      <c r="I6" s="406"/>
      <c r="J6" s="728">
        <f t="shared" si="11"/>
        <v>1</v>
      </c>
      <c r="K6" s="407"/>
      <c r="L6" s="728">
        <f t="shared" si="12"/>
        <v>1</v>
      </c>
      <c r="M6" s="407"/>
      <c r="N6" s="408">
        <f t="shared" si="13"/>
        <v>0</v>
      </c>
      <c r="O6" s="380">
        <f t="shared" si="0"/>
        <v>0</v>
      </c>
      <c r="P6" s="372">
        <f t="shared" si="14"/>
        <v>0</v>
      </c>
      <c r="Q6" s="372">
        <f t="shared" si="15"/>
        <v>0</v>
      </c>
      <c r="R6" s="372">
        <f t="shared" si="16"/>
        <v>0</v>
      </c>
      <c r="S6" s="373"/>
      <c r="T6" s="360">
        <v>1</v>
      </c>
      <c r="U6" s="379"/>
      <c r="V6" s="360">
        <v>1</v>
      </c>
      <c r="W6" s="1331"/>
      <c r="X6" s="22">
        <f t="shared" si="1"/>
        <v>0</v>
      </c>
      <c r="Y6" s="373"/>
      <c r="Z6" s="360">
        <v>1</v>
      </c>
      <c r="AA6" s="379"/>
      <c r="AB6" s="360">
        <v>1</v>
      </c>
      <c r="AC6" s="1331"/>
      <c r="AD6" s="22">
        <f t="shared" si="2"/>
        <v>0</v>
      </c>
      <c r="AE6" s="373"/>
      <c r="AF6" s="360">
        <v>1</v>
      </c>
      <c r="AG6" s="379"/>
      <c r="AH6" s="360">
        <v>1</v>
      </c>
      <c r="AI6" s="1331"/>
      <c r="AJ6" s="22">
        <f t="shared" si="3"/>
        <v>0</v>
      </c>
      <c r="AK6" s="373"/>
      <c r="AL6" s="360">
        <v>1</v>
      </c>
      <c r="AM6" s="379"/>
      <c r="AN6" s="360">
        <v>1</v>
      </c>
      <c r="AO6" s="1331"/>
      <c r="AP6" s="22">
        <f t="shared" si="4"/>
        <v>0</v>
      </c>
      <c r="AQ6" s="373"/>
      <c r="AR6" s="360">
        <v>1</v>
      </c>
      <c r="AS6" s="379"/>
      <c r="AT6" s="360">
        <v>1</v>
      </c>
      <c r="AU6" s="1331"/>
      <c r="AV6" s="22">
        <f t="shared" si="5"/>
        <v>0</v>
      </c>
      <c r="AW6" s="373"/>
      <c r="AX6" s="360">
        <v>1</v>
      </c>
      <c r="AY6" s="379"/>
      <c r="AZ6" s="360">
        <v>1</v>
      </c>
      <c r="BA6" s="1331"/>
      <c r="BB6" s="22">
        <f t="shared" si="6"/>
        <v>0</v>
      </c>
      <c r="BC6" s="373"/>
      <c r="BD6" s="360">
        <v>1</v>
      </c>
      <c r="BE6" s="379"/>
      <c r="BF6" s="360">
        <v>1</v>
      </c>
      <c r="BG6" s="1331"/>
      <c r="BH6" s="22">
        <f t="shared" si="7"/>
        <v>0</v>
      </c>
      <c r="BI6" s="373"/>
      <c r="BJ6" s="360">
        <v>1</v>
      </c>
      <c r="BK6" s="379"/>
      <c r="BL6" s="360">
        <v>1</v>
      </c>
      <c r="BM6" s="1331"/>
      <c r="BN6" s="22">
        <f t="shared" si="8"/>
        <v>0</v>
      </c>
      <c r="BO6" s="373"/>
      <c r="BP6" s="360">
        <v>1</v>
      </c>
      <c r="BQ6" s="379"/>
      <c r="BR6" s="360">
        <v>1</v>
      </c>
      <c r="BS6" s="1331"/>
      <c r="BT6" s="22">
        <f t="shared" si="9"/>
        <v>0</v>
      </c>
      <c r="BU6" s="373"/>
      <c r="BV6" s="360">
        <v>1</v>
      </c>
      <c r="BW6" s="379"/>
      <c r="BX6" s="360">
        <v>1</v>
      </c>
      <c r="BY6" s="1331"/>
      <c r="BZ6" s="22">
        <f t="shared" si="10"/>
        <v>0</v>
      </c>
      <c r="CA6" s="385"/>
    </row>
    <row r="7" spans="1:79" s="374" customFormat="1">
      <c r="A7" s="1671" t="s">
        <v>1177</v>
      </c>
      <c r="B7" s="1674" t="s">
        <v>2491</v>
      </c>
      <c r="C7" s="397">
        <v>2</v>
      </c>
      <c r="D7" s="1415" t="s">
        <v>1730</v>
      </c>
      <c r="E7" s="398"/>
      <c r="F7" s="406"/>
      <c r="G7" s="406" t="s">
        <v>1110</v>
      </c>
      <c r="H7" s="404" t="s">
        <v>1173</v>
      </c>
      <c r="I7" s="399">
        <v>3</v>
      </c>
      <c r="J7" s="1155">
        <f t="shared" si="11"/>
        <v>0.13333333333333333</v>
      </c>
      <c r="K7" s="400">
        <f>AVERAGE(BW7,BQ7,BK7,BE7,AY7,AS7,AM7,AG7,AA7,U7)</f>
        <v>2.1</v>
      </c>
      <c r="L7" s="1155">
        <f t="shared" si="12"/>
        <v>0.25</v>
      </c>
      <c r="M7" s="400">
        <f>AVERAGE(BY7,BS7,BM7,BG7,BA7,AU7,AO7,AI7,AC7,W7)</f>
        <v>1.5</v>
      </c>
      <c r="N7" s="401">
        <f t="shared" si="13"/>
        <v>-0.60000000000000009</v>
      </c>
      <c r="O7" s="372">
        <f t="shared" si="0"/>
        <v>1.5</v>
      </c>
      <c r="P7" s="372">
        <f t="shared" si="14"/>
        <v>1.0499999999999998</v>
      </c>
      <c r="Q7" s="372">
        <f t="shared" si="15"/>
        <v>0.11666666666666664</v>
      </c>
      <c r="R7" s="372">
        <f t="shared" si="16"/>
        <v>5.833333333333332E-2</v>
      </c>
      <c r="S7" s="373"/>
      <c r="T7" s="1297">
        <v>0</v>
      </c>
      <c r="U7" s="380">
        <f>IF(T7&lt;=0.15,3,IF(T7&lt;=0.3,1.5,0))</f>
        <v>3</v>
      </c>
      <c r="V7" s="1297">
        <f>ROUND(V8,0)/(ROUND(V9,0)+ROUND(V10,0))</f>
        <v>0</v>
      </c>
      <c r="W7" s="1332">
        <f>IF(V7&lt;=0.15,3,IF(V7&lt;=0.3,1.5,0))</f>
        <v>3</v>
      </c>
      <c r="X7" s="22">
        <f t="shared" si="1"/>
        <v>0</v>
      </c>
      <c r="Y7" s="373"/>
      <c r="Z7" s="1297">
        <v>0.33333333333333331</v>
      </c>
      <c r="AA7" s="380">
        <f>IF(Z7&lt;=0.15,3,IF(Z7&lt;=0.3,1.5,0))</f>
        <v>0</v>
      </c>
      <c r="AB7" s="1297">
        <f>ROUND(AB8,0)/(ROUND(AB9,0)+ROUND(AB10,0))</f>
        <v>0.33333333333333331</v>
      </c>
      <c r="AC7" s="1332">
        <f>IF(AB7&lt;=0.15,3,IF(AB7&lt;=0.3,1.5,0))</f>
        <v>0</v>
      </c>
      <c r="AD7" s="22">
        <f t="shared" si="2"/>
        <v>0</v>
      </c>
      <c r="AE7" s="373"/>
      <c r="AF7" s="360">
        <v>0</v>
      </c>
      <c r="AG7" s="380">
        <f>IF(AF7&lt;=0.15,3,IF(AF7&lt;=0.3,1.5,0))</f>
        <v>3</v>
      </c>
      <c r="AH7" s="1297">
        <f>ROUND(AH8,0)/(ROUND(AH9,0)+ROUND(AH10,0))</f>
        <v>0</v>
      </c>
      <c r="AI7" s="1332">
        <f>IF(AH7&lt;=0.15,3,IF(AH7&lt;=0.3,1.5,0))</f>
        <v>3</v>
      </c>
      <c r="AJ7" s="22">
        <f t="shared" si="3"/>
        <v>0</v>
      </c>
      <c r="AK7" s="373"/>
      <c r="AL7" s="1297">
        <v>0</v>
      </c>
      <c r="AM7" s="380">
        <f>IF(AL7&lt;=0.15,3,IF(AL7&lt;=0.3,1.5,0))</f>
        <v>3</v>
      </c>
      <c r="AN7" s="1297">
        <f>ROUND(AN8,0)/(ROUND(AN9,0)+ROUND(AN10,0))</f>
        <v>0</v>
      </c>
      <c r="AO7" s="1332">
        <f>IF(AN7&lt;=0.15,3,IF(AN7&lt;=0.3,1.5,0))</f>
        <v>3</v>
      </c>
      <c r="AP7" s="22">
        <f t="shared" si="4"/>
        <v>0</v>
      </c>
      <c r="AQ7" s="373"/>
      <c r="AR7" s="1297">
        <v>0.5</v>
      </c>
      <c r="AS7" s="380">
        <f>IF(AR7&lt;=0.15,3,IF(AR7&lt;=0.3,1.5,0))</f>
        <v>0</v>
      </c>
      <c r="AT7" s="1297">
        <f>ROUND(AT8,0)/(ROUND(AT9,0)+ROUND(AT10,0))</f>
        <v>0.66666666666666663</v>
      </c>
      <c r="AU7" s="1332">
        <f>IF(AT7&lt;=0.15,3,IF(AT7&lt;=0.3,1.5,0))</f>
        <v>0</v>
      </c>
      <c r="AV7" s="22">
        <f t="shared" si="5"/>
        <v>0.33333333333333326</v>
      </c>
      <c r="AW7" s="373"/>
      <c r="AX7" s="1297">
        <v>0</v>
      </c>
      <c r="AY7" s="380">
        <f>IF(AX7&lt;=0.15,3,IF(AX7&lt;=0.3,1.5,0))</f>
        <v>3</v>
      </c>
      <c r="AZ7" s="1297">
        <f>ROUND(AZ8,0)/(ROUND(AZ9,0)+ROUND(AZ10,0))</f>
        <v>0.5</v>
      </c>
      <c r="BA7" s="1332">
        <f>IF(AZ7&lt;=0.15,3,IF(AZ7&lt;=0.3,1.5,0))</f>
        <v>0</v>
      </c>
      <c r="BB7" s="22">
        <f t="shared" si="6"/>
        <v>1</v>
      </c>
      <c r="BC7" s="373"/>
      <c r="BD7" s="1297">
        <v>0.5</v>
      </c>
      <c r="BE7" s="380">
        <f>IF(BD7&lt;=0.15,3,IF(BD7&lt;=0.3,1.5,0))</f>
        <v>0</v>
      </c>
      <c r="BF7" s="1297">
        <f>ROUND(BF8,0)/(ROUND(BF9,0)+ROUND(BF10,0))</f>
        <v>0.5</v>
      </c>
      <c r="BG7" s="1332">
        <f>IF(BF7&lt;=0.15,3,IF(BF7&lt;=0.3,1.5,0))</f>
        <v>0</v>
      </c>
      <c r="BH7" s="22">
        <f t="shared" si="7"/>
        <v>0</v>
      </c>
      <c r="BI7" s="373"/>
      <c r="BJ7" s="1297">
        <v>0</v>
      </c>
      <c r="BK7" s="380">
        <f>IF(BJ7&lt;=0.15,3,IF(BJ7&lt;=0.3,1.5,0))</f>
        <v>3</v>
      </c>
      <c r="BL7" s="1297">
        <f>ROUND(BL8,0)/(ROUND(BL9,0)+ROUND(BL10,0))</f>
        <v>0</v>
      </c>
      <c r="BM7" s="1332">
        <f>IF(BL7&lt;=0.15,3,IF(BL7&lt;=0.3,1.5,0))</f>
        <v>3</v>
      </c>
      <c r="BN7" s="22">
        <f t="shared" si="8"/>
        <v>0</v>
      </c>
      <c r="BO7" s="373"/>
      <c r="BP7" s="1297">
        <v>0</v>
      </c>
      <c r="BQ7" s="380">
        <f>IF(BP7&lt;=0.15,3,IF(BP7&lt;=0.3,1.5,0))</f>
        <v>3</v>
      </c>
      <c r="BR7" s="1297">
        <f>ROUND(BR8,0)/(ROUND(BR9,0)+ROUND(BR10,0))</f>
        <v>0.5</v>
      </c>
      <c r="BS7" s="1332">
        <f>IF(BR7&lt;=0.15,3,IF(BR7&lt;=0.3,1.5,0))</f>
        <v>0</v>
      </c>
      <c r="BT7" s="22">
        <f t="shared" si="9"/>
        <v>1</v>
      </c>
      <c r="BU7" s="373"/>
      <c r="BV7" s="1297">
        <v>0</v>
      </c>
      <c r="BW7" s="380">
        <f>IF(BV7&lt;=0.15,3,IF(BV7&lt;=0.3,1.5,0))</f>
        <v>3</v>
      </c>
      <c r="BX7" s="1297">
        <f>ROUND(BX8,0)/(ROUND(BX9,0)+ROUND(BX10,0))</f>
        <v>0</v>
      </c>
      <c r="BY7" s="1332">
        <f>IF(BX7&lt;=0.15,3,IF(BX7&lt;=0.3,1.5,0))</f>
        <v>3</v>
      </c>
      <c r="BZ7" s="22">
        <f t="shared" si="10"/>
        <v>0</v>
      </c>
      <c r="CA7" s="385"/>
    </row>
    <row r="8" spans="1:79" s="374" customFormat="1">
      <c r="A8" s="1672"/>
      <c r="B8" s="1675"/>
      <c r="C8" s="404">
        <v>2.1</v>
      </c>
      <c r="D8" s="405" t="s">
        <v>2122</v>
      </c>
      <c r="E8" s="398" t="s">
        <v>1120</v>
      </c>
      <c r="F8" s="406"/>
      <c r="G8" s="406"/>
      <c r="H8" s="404"/>
      <c r="I8" s="406"/>
      <c r="J8" s="728">
        <f t="shared" si="11"/>
        <v>0.3</v>
      </c>
      <c r="K8" s="407"/>
      <c r="L8" s="728">
        <f t="shared" si="12"/>
        <v>0.6</v>
      </c>
      <c r="M8" s="407"/>
      <c r="N8" s="408">
        <f t="shared" si="13"/>
        <v>0</v>
      </c>
      <c r="O8" s="380">
        <f t="shared" si="0"/>
        <v>0</v>
      </c>
      <c r="P8" s="372">
        <f t="shared" si="14"/>
        <v>0</v>
      </c>
      <c r="Q8" s="372">
        <f t="shared" si="15"/>
        <v>0</v>
      </c>
      <c r="R8" s="372">
        <f t="shared" si="16"/>
        <v>0</v>
      </c>
      <c r="S8" s="373"/>
      <c r="T8" s="360">
        <v>0</v>
      </c>
      <c r="U8" s="379"/>
      <c r="V8" s="360">
        <v>0</v>
      </c>
      <c r="W8" s="1331"/>
      <c r="X8" s="22">
        <f t="shared" si="1"/>
        <v>0</v>
      </c>
      <c r="Y8" s="373"/>
      <c r="Z8" s="360">
        <v>1</v>
      </c>
      <c r="AA8" s="379"/>
      <c r="AB8" s="360">
        <v>1</v>
      </c>
      <c r="AC8" s="1331"/>
      <c r="AD8" s="22">
        <f t="shared" si="2"/>
        <v>0</v>
      </c>
      <c r="AE8" s="373"/>
      <c r="AF8" s="360">
        <v>0</v>
      </c>
      <c r="AG8" s="379"/>
      <c r="AH8" s="360">
        <v>0</v>
      </c>
      <c r="AI8" s="1331"/>
      <c r="AJ8" s="22">
        <f t="shared" si="3"/>
        <v>0</v>
      </c>
      <c r="AK8" s="373"/>
      <c r="AL8" s="360">
        <v>0</v>
      </c>
      <c r="AM8" s="379"/>
      <c r="AN8" s="360">
        <v>0</v>
      </c>
      <c r="AO8" s="1331"/>
      <c r="AP8" s="22">
        <f t="shared" si="4"/>
        <v>0</v>
      </c>
      <c r="AQ8" s="373"/>
      <c r="AR8" s="360">
        <v>1</v>
      </c>
      <c r="AS8" s="379"/>
      <c r="AT8" s="360">
        <v>2</v>
      </c>
      <c r="AU8" s="1331"/>
      <c r="AV8" s="22">
        <f t="shared" si="5"/>
        <v>1</v>
      </c>
      <c r="AW8" s="373"/>
      <c r="AX8" s="360">
        <v>0</v>
      </c>
      <c r="AY8" s="379"/>
      <c r="AZ8" s="360">
        <v>1</v>
      </c>
      <c r="BA8" s="1331"/>
      <c r="BB8" s="22">
        <f t="shared" si="6"/>
        <v>1</v>
      </c>
      <c r="BC8" s="373"/>
      <c r="BD8" s="360">
        <v>1</v>
      </c>
      <c r="BE8" s="379"/>
      <c r="BF8" s="360">
        <v>1</v>
      </c>
      <c r="BG8" s="1331"/>
      <c r="BH8" s="22">
        <f t="shared" si="7"/>
        <v>0</v>
      </c>
      <c r="BI8" s="373"/>
      <c r="BJ8" s="360">
        <v>0</v>
      </c>
      <c r="BK8" s="379"/>
      <c r="BL8" s="360">
        <v>0</v>
      </c>
      <c r="BM8" s="1331"/>
      <c r="BN8" s="22">
        <f t="shared" si="8"/>
        <v>0</v>
      </c>
      <c r="BO8" s="373"/>
      <c r="BP8" s="360">
        <v>0</v>
      </c>
      <c r="BQ8" s="379"/>
      <c r="BR8" s="360">
        <v>1</v>
      </c>
      <c r="BS8" s="1331"/>
      <c r="BT8" s="22">
        <f t="shared" si="9"/>
        <v>1</v>
      </c>
      <c r="BU8" s="373"/>
      <c r="BV8" s="360">
        <v>0</v>
      </c>
      <c r="BW8" s="379"/>
      <c r="BX8" s="360">
        <v>0</v>
      </c>
      <c r="BY8" s="1331"/>
      <c r="BZ8" s="22">
        <f t="shared" si="10"/>
        <v>0</v>
      </c>
      <c r="CA8" s="385"/>
    </row>
    <row r="9" spans="1:79" s="374" customFormat="1">
      <c r="A9" s="1672"/>
      <c r="B9" s="1675"/>
      <c r="C9" s="404">
        <v>2.2000000000000002</v>
      </c>
      <c r="D9" s="405" t="s">
        <v>2222</v>
      </c>
      <c r="E9" s="398" t="s">
        <v>1120</v>
      </c>
      <c r="F9" s="406"/>
      <c r="G9" s="406"/>
      <c r="H9" s="404"/>
      <c r="I9" s="406"/>
      <c r="J9" s="728">
        <f t="shared" si="11"/>
        <v>1.3</v>
      </c>
      <c r="K9" s="407"/>
      <c r="L9" s="728">
        <f t="shared" si="12"/>
        <v>1.3</v>
      </c>
      <c r="M9" s="407"/>
      <c r="N9" s="408">
        <f t="shared" si="13"/>
        <v>0</v>
      </c>
      <c r="O9" s="380">
        <f t="shared" si="0"/>
        <v>0</v>
      </c>
      <c r="P9" s="372">
        <f t="shared" si="14"/>
        <v>0</v>
      </c>
      <c r="Q9" s="372">
        <f t="shared" si="15"/>
        <v>0</v>
      </c>
      <c r="R9" s="372">
        <f t="shared" si="16"/>
        <v>0</v>
      </c>
      <c r="S9" s="373"/>
      <c r="T9" s="360">
        <v>1</v>
      </c>
      <c r="U9" s="379"/>
      <c r="V9" s="360">
        <v>1</v>
      </c>
      <c r="W9" s="1331"/>
      <c r="X9" s="22">
        <f t="shared" si="1"/>
        <v>0</v>
      </c>
      <c r="Y9" s="373"/>
      <c r="Z9" s="360">
        <v>2</v>
      </c>
      <c r="AA9" s="379"/>
      <c r="AB9" s="360">
        <v>2</v>
      </c>
      <c r="AC9" s="1331"/>
      <c r="AD9" s="22">
        <f t="shared" si="2"/>
        <v>0</v>
      </c>
      <c r="AE9" s="373"/>
      <c r="AF9" s="360">
        <v>2</v>
      </c>
      <c r="AG9" s="379"/>
      <c r="AH9" s="360">
        <v>2</v>
      </c>
      <c r="AI9" s="1331"/>
      <c r="AJ9" s="22">
        <f t="shared" si="3"/>
        <v>0</v>
      </c>
      <c r="AK9" s="373"/>
      <c r="AL9" s="360">
        <v>1</v>
      </c>
      <c r="AM9" s="379"/>
      <c r="AN9" s="360">
        <v>1</v>
      </c>
      <c r="AO9" s="1331"/>
      <c r="AP9" s="22">
        <f t="shared" si="4"/>
        <v>0</v>
      </c>
      <c r="AQ9" s="373"/>
      <c r="AR9" s="360">
        <v>1</v>
      </c>
      <c r="AS9" s="379"/>
      <c r="AT9" s="360">
        <v>1</v>
      </c>
      <c r="AU9" s="1331"/>
      <c r="AV9" s="22">
        <f t="shared" si="5"/>
        <v>0</v>
      </c>
      <c r="AW9" s="373"/>
      <c r="AX9" s="360">
        <v>1</v>
      </c>
      <c r="AY9" s="379"/>
      <c r="AZ9" s="360">
        <v>1</v>
      </c>
      <c r="BA9" s="1331"/>
      <c r="BB9" s="22">
        <f t="shared" si="6"/>
        <v>0</v>
      </c>
      <c r="BC9" s="373"/>
      <c r="BD9" s="360">
        <v>1</v>
      </c>
      <c r="BE9" s="379"/>
      <c r="BF9" s="360">
        <v>1</v>
      </c>
      <c r="BG9" s="1331"/>
      <c r="BH9" s="22">
        <f t="shared" si="7"/>
        <v>0</v>
      </c>
      <c r="BI9" s="373"/>
      <c r="BJ9" s="360">
        <v>2</v>
      </c>
      <c r="BK9" s="379"/>
      <c r="BL9" s="360">
        <v>2</v>
      </c>
      <c r="BM9" s="1331"/>
      <c r="BN9" s="22">
        <f t="shared" si="8"/>
        <v>0</v>
      </c>
      <c r="BO9" s="373"/>
      <c r="BP9" s="360">
        <v>1</v>
      </c>
      <c r="BQ9" s="379"/>
      <c r="BR9" s="360">
        <v>1</v>
      </c>
      <c r="BS9" s="1331"/>
      <c r="BT9" s="22">
        <f t="shared" si="9"/>
        <v>0</v>
      </c>
      <c r="BU9" s="373"/>
      <c r="BV9" s="360">
        <v>1</v>
      </c>
      <c r="BW9" s="379"/>
      <c r="BX9" s="360">
        <v>1</v>
      </c>
      <c r="BY9" s="1331"/>
      <c r="BZ9" s="22">
        <f t="shared" si="10"/>
        <v>0</v>
      </c>
      <c r="CA9" s="385"/>
    </row>
    <row r="10" spans="1:79" s="374" customFormat="1">
      <c r="A10" s="1673"/>
      <c r="B10" s="1676"/>
      <c r="C10" s="404">
        <v>2.2999999999999998</v>
      </c>
      <c r="D10" s="405" t="s">
        <v>2123</v>
      </c>
      <c r="E10" s="398" t="s">
        <v>1120</v>
      </c>
      <c r="F10" s="406"/>
      <c r="G10" s="406"/>
      <c r="H10" s="404"/>
      <c r="I10" s="406"/>
      <c r="J10" s="728">
        <f t="shared" si="11"/>
        <v>0.3</v>
      </c>
      <c r="K10" s="407"/>
      <c r="L10" s="728">
        <f t="shared" si="12"/>
        <v>0.7</v>
      </c>
      <c r="M10" s="407"/>
      <c r="N10" s="408">
        <f t="shared" si="13"/>
        <v>0</v>
      </c>
      <c r="O10" s="380">
        <f t="shared" si="0"/>
        <v>0</v>
      </c>
      <c r="P10" s="372">
        <f t="shared" si="14"/>
        <v>0</v>
      </c>
      <c r="Q10" s="372">
        <f t="shared" si="15"/>
        <v>0</v>
      </c>
      <c r="R10" s="372">
        <f t="shared" si="16"/>
        <v>0</v>
      </c>
      <c r="S10" s="373"/>
      <c r="T10" s="360">
        <v>0</v>
      </c>
      <c r="U10" s="379"/>
      <c r="V10" s="360">
        <v>0</v>
      </c>
      <c r="W10" s="1331"/>
      <c r="X10" s="22">
        <f t="shared" si="1"/>
        <v>0</v>
      </c>
      <c r="Y10" s="373"/>
      <c r="Z10" s="360">
        <v>1</v>
      </c>
      <c r="AA10" s="379"/>
      <c r="AB10" s="360">
        <v>1</v>
      </c>
      <c r="AC10" s="1331"/>
      <c r="AD10" s="22">
        <f t="shared" si="2"/>
        <v>0</v>
      </c>
      <c r="AE10" s="373"/>
      <c r="AF10" s="360">
        <v>0</v>
      </c>
      <c r="AG10" s="379"/>
      <c r="AH10" s="360">
        <v>0</v>
      </c>
      <c r="AI10" s="1331"/>
      <c r="AJ10" s="22">
        <f t="shared" si="3"/>
        <v>0</v>
      </c>
      <c r="AK10" s="373"/>
      <c r="AL10" s="360">
        <v>0</v>
      </c>
      <c r="AM10" s="379"/>
      <c r="AN10" s="360">
        <v>0</v>
      </c>
      <c r="AO10" s="1331"/>
      <c r="AP10" s="22">
        <f t="shared" si="4"/>
        <v>0</v>
      </c>
      <c r="AQ10" s="373"/>
      <c r="AR10" s="360">
        <v>1</v>
      </c>
      <c r="AS10" s="379"/>
      <c r="AT10" s="360">
        <v>2</v>
      </c>
      <c r="AU10" s="1331"/>
      <c r="AV10" s="22">
        <f t="shared" si="5"/>
        <v>1</v>
      </c>
      <c r="AW10" s="373"/>
      <c r="AX10" s="360">
        <v>0</v>
      </c>
      <c r="AY10" s="379"/>
      <c r="AZ10" s="360">
        <v>1</v>
      </c>
      <c r="BA10" s="1331"/>
      <c r="BB10" s="22">
        <f t="shared" si="6"/>
        <v>1</v>
      </c>
      <c r="BC10" s="373"/>
      <c r="BD10" s="360">
        <v>1</v>
      </c>
      <c r="BE10" s="379"/>
      <c r="BF10" s="360">
        <v>1</v>
      </c>
      <c r="BG10" s="1331"/>
      <c r="BH10" s="22">
        <f t="shared" si="7"/>
        <v>0</v>
      </c>
      <c r="BI10" s="373"/>
      <c r="BJ10" s="360">
        <v>0</v>
      </c>
      <c r="BK10" s="379"/>
      <c r="BL10" s="360">
        <v>1</v>
      </c>
      <c r="BM10" s="1331"/>
      <c r="BN10" s="22">
        <f t="shared" si="8"/>
        <v>1</v>
      </c>
      <c r="BO10" s="373"/>
      <c r="BP10" s="360">
        <v>0</v>
      </c>
      <c r="BQ10" s="379"/>
      <c r="BR10" s="360">
        <v>1</v>
      </c>
      <c r="BS10" s="1331"/>
      <c r="BT10" s="22">
        <f t="shared" si="9"/>
        <v>1</v>
      </c>
      <c r="BU10" s="373"/>
      <c r="BV10" s="360">
        <v>0</v>
      </c>
      <c r="BW10" s="379"/>
      <c r="BX10" s="360">
        <v>0</v>
      </c>
      <c r="BY10" s="1331"/>
      <c r="BZ10" s="22">
        <f t="shared" si="10"/>
        <v>0</v>
      </c>
      <c r="CA10" s="385"/>
    </row>
    <row r="11" spans="1:79" s="374" customFormat="1">
      <c r="A11" s="409" t="s">
        <v>1178</v>
      </c>
      <c r="B11" s="409" t="s">
        <v>1179</v>
      </c>
      <c r="C11" s="397">
        <v>3</v>
      </c>
      <c r="D11" s="410" t="s">
        <v>1807</v>
      </c>
      <c r="E11" s="398" t="s">
        <v>1120</v>
      </c>
      <c r="F11" s="406"/>
      <c r="G11" s="406" t="s">
        <v>1110</v>
      </c>
      <c r="H11" s="404" t="s">
        <v>1173</v>
      </c>
      <c r="I11" s="399">
        <v>3</v>
      </c>
      <c r="J11" s="728">
        <f t="shared" si="11"/>
        <v>11</v>
      </c>
      <c r="K11" s="407">
        <f>AVERAGE(BW11,BQ11,BK11,BE11,AY11,AS11,AM11,AG11,AA11,U11)</f>
        <v>3</v>
      </c>
      <c r="L11" s="728">
        <f t="shared" si="12"/>
        <v>11</v>
      </c>
      <c r="M11" s="407">
        <f>AVERAGE(BY11,BS11,BM11,BG11,BA11,AU11,AO11,AI11,AC11,W11)</f>
        <v>3</v>
      </c>
      <c r="N11" s="408">
        <f t="shared" si="13"/>
        <v>0</v>
      </c>
      <c r="O11" s="380">
        <f t="shared" si="0"/>
        <v>0</v>
      </c>
      <c r="P11" s="372">
        <f t="shared" si="14"/>
        <v>0</v>
      </c>
      <c r="Q11" s="372">
        <f t="shared" si="15"/>
        <v>0</v>
      </c>
      <c r="R11" s="372">
        <f t="shared" si="16"/>
        <v>0</v>
      </c>
      <c r="S11" s="373"/>
      <c r="T11" s="360">
        <v>11</v>
      </c>
      <c r="U11" s="380">
        <f>IF(T11&gt;=3,3,IF(T11&gt;0,1.5,0))</f>
        <v>3</v>
      </c>
      <c r="V11" s="360">
        <v>11</v>
      </c>
      <c r="W11" s="1332">
        <f>IF(V11&gt;=3,3,IF(V11&gt;0,1.5,0))</f>
        <v>3</v>
      </c>
      <c r="X11" s="22">
        <f t="shared" si="1"/>
        <v>0</v>
      </c>
      <c r="Y11" s="373"/>
      <c r="Z11" s="360">
        <v>11</v>
      </c>
      <c r="AA11" s="380">
        <f>IF(Z11&gt;=3,3,IF(Z11&gt;0,1.5,0))</f>
        <v>3</v>
      </c>
      <c r="AB11" s="360">
        <v>11</v>
      </c>
      <c r="AC11" s="1332">
        <f>IF(AB11&gt;=3,3,IF(AB11&gt;0,1.5,0))</f>
        <v>3</v>
      </c>
      <c r="AD11" s="22">
        <f t="shared" si="2"/>
        <v>0</v>
      </c>
      <c r="AE11" s="373"/>
      <c r="AF11" s="360">
        <v>11</v>
      </c>
      <c r="AG11" s="380">
        <f>IF(AF11&gt;=3,3,IF(AF11&gt;0,1.5,0))</f>
        <v>3</v>
      </c>
      <c r="AH11" s="360">
        <v>11</v>
      </c>
      <c r="AI11" s="1332">
        <f>IF(AH11&gt;=3,3,IF(AH11&gt;0,1.5,0))</f>
        <v>3</v>
      </c>
      <c r="AJ11" s="22">
        <f t="shared" si="3"/>
        <v>0</v>
      </c>
      <c r="AK11" s="373"/>
      <c r="AL11" s="360">
        <v>11</v>
      </c>
      <c r="AM11" s="380">
        <f>IF(AL11&gt;=3,3,IF(AL11&gt;0,1.5,0))</f>
        <v>3</v>
      </c>
      <c r="AN11" s="360">
        <v>11</v>
      </c>
      <c r="AO11" s="1332">
        <f>IF(AN11&gt;=3,3,IF(AN11&gt;0,1.5,0))</f>
        <v>3</v>
      </c>
      <c r="AP11" s="22">
        <f t="shared" si="4"/>
        <v>0</v>
      </c>
      <c r="AQ11" s="373"/>
      <c r="AR11" s="360">
        <v>11</v>
      </c>
      <c r="AS11" s="380">
        <f>IF(AR11&gt;=3,3,IF(AR11&gt;0,1.5,0))</f>
        <v>3</v>
      </c>
      <c r="AT11" s="360">
        <v>11</v>
      </c>
      <c r="AU11" s="1332">
        <f>IF(AT11&gt;=3,3,IF(AT11&gt;0,1.5,0))</f>
        <v>3</v>
      </c>
      <c r="AV11" s="22">
        <f t="shared" si="5"/>
        <v>0</v>
      </c>
      <c r="AW11" s="373"/>
      <c r="AX11" s="360">
        <v>11</v>
      </c>
      <c r="AY11" s="380">
        <f>IF(AX11&gt;=3,3,IF(AX11&gt;0,1.5,0))</f>
        <v>3</v>
      </c>
      <c r="AZ11" s="360">
        <v>11</v>
      </c>
      <c r="BA11" s="1332">
        <f>IF(AZ11&gt;=3,3,IF(AZ11&gt;0,1.5,0))</f>
        <v>3</v>
      </c>
      <c r="BB11" s="22">
        <f t="shared" si="6"/>
        <v>0</v>
      </c>
      <c r="BC11" s="373"/>
      <c r="BD11" s="360">
        <v>11</v>
      </c>
      <c r="BE11" s="380">
        <f>IF(BD11&gt;=3,3,IF(BD11&gt;0,1.5,0))</f>
        <v>3</v>
      </c>
      <c r="BF11" s="360">
        <v>11</v>
      </c>
      <c r="BG11" s="1332">
        <f>IF(BF11&gt;=3,3,IF(BF11&gt;0,1.5,0))</f>
        <v>3</v>
      </c>
      <c r="BH11" s="22">
        <f t="shared" si="7"/>
        <v>0</v>
      </c>
      <c r="BI11" s="373"/>
      <c r="BJ11" s="360">
        <v>11</v>
      </c>
      <c r="BK11" s="380">
        <f>IF(BJ11&gt;=3,3,IF(BJ11&gt;0,1.5,0))</f>
        <v>3</v>
      </c>
      <c r="BL11" s="360">
        <v>11</v>
      </c>
      <c r="BM11" s="1332">
        <f>IF(BL11&gt;=3,3,IF(BL11&gt;0,1.5,0))</f>
        <v>3</v>
      </c>
      <c r="BN11" s="22">
        <f t="shared" si="8"/>
        <v>0</v>
      </c>
      <c r="BO11" s="373"/>
      <c r="BP11" s="360">
        <v>11</v>
      </c>
      <c r="BQ11" s="380">
        <f>IF(BP11&gt;=3,3,IF(BP11&gt;0,1.5,0))</f>
        <v>3</v>
      </c>
      <c r="BR11" s="360">
        <v>11</v>
      </c>
      <c r="BS11" s="1332">
        <f>IF(BR11&gt;=3,3,IF(BR11&gt;0,1.5,0))</f>
        <v>3</v>
      </c>
      <c r="BT11" s="22">
        <f t="shared" si="9"/>
        <v>0</v>
      </c>
      <c r="BU11" s="373"/>
      <c r="BV11" s="360">
        <v>11</v>
      </c>
      <c r="BW11" s="380">
        <f>IF(BV11&gt;=3,3,IF(BV11&gt;0,1.5,0))</f>
        <v>3</v>
      </c>
      <c r="BX11" s="360">
        <v>11</v>
      </c>
      <c r="BY11" s="1332">
        <f>IF(BX11&gt;=3,3,IF(BX11&gt;0,1.5,0))</f>
        <v>3</v>
      </c>
      <c r="BZ11" s="22">
        <f t="shared" si="10"/>
        <v>0</v>
      </c>
      <c r="CA11" s="385"/>
    </row>
    <row r="12" spans="1:79" s="374" customFormat="1">
      <c r="A12" s="411" t="s">
        <v>1180</v>
      </c>
      <c r="B12" s="411" t="s">
        <v>1181</v>
      </c>
      <c r="C12" s="397">
        <v>4</v>
      </c>
      <c r="D12" s="410" t="s">
        <v>117</v>
      </c>
      <c r="E12" s="398" t="s">
        <v>452</v>
      </c>
      <c r="F12" s="406"/>
      <c r="G12" s="406" t="s">
        <v>399</v>
      </c>
      <c r="H12" s="404" t="s">
        <v>1173</v>
      </c>
      <c r="I12" s="399">
        <v>4</v>
      </c>
      <c r="J12" s="1380" t="s">
        <v>1182</v>
      </c>
      <c r="K12" s="407">
        <f>AVERAGE(BW12,BQ12,BK12,BE12,AY12,AS12,AM12,AG12,AA12,U12)</f>
        <v>4</v>
      </c>
      <c r="L12" s="1380" t="s">
        <v>1182</v>
      </c>
      <c r="M12" s="407">
        <f>AVERAGE(BY12,BS12,BM12,BG12,BA12,AU12,AO12,AI12,AC12,W12)</f>
        <v>4</v>
      </c>
      <c r="N12" s="408">
        <f t="shared" si="13"/>
        <v>0</v>
      </c>
      <c r="O12" s="380">
        <f t="shared" si="0"/>
        <v>0</v>
      </c>
      <c r="P12" s="372">
        <f t="shared" si="14"/>
        <v>0</v>
      </c>
      <c r="Q12" s="372">
        <f t="shared" si="15"/>
        <v>0</v>
      </c>
      <c r="R12" s="372">
        <f t="shared" si="16"/>
        <v>0</v>
      </c>
      <c r="S12" s="373"/>
      <c r="T12" s="360" t="s">
        <v>1182</v>
      </c>
      <c r="U12" s="380">
        <v>4</v>
      </c>
      <c r="V12" s="360" t="s">
        <v>1182</v>
      </c>
      <c r="W12" s="1332">
        <v>4</v>
      </c>
      <c r="X12" s="22">
        <f>IF((V12=T12)=TRUE,0,1)</f>
        <v>0</v>
      </c>
      <c r="Y12" s="373"/>
      <c r="Z12" s="360" t="s">
        <v>1182</v>
      </c>
      <c r="AA12" s="380">
        <v>4</v>
      </c>
      <c r="AB12" s="360" t="s">
        <v>1182</v>
      </c>
      <c r="AC12" s="1332">
        <v>4</v>
      </c>
      <c r="AD12" s="22">
        <f>IF((AB12=Z12)=TRUE,0,1)</f>
        <v>0</v>
      </c>
      <c r="AE12" s="373"/>
      <c r="AF12" s="360" t="s">
        <v>1182</v>
      </c>
      <c r="AG12" s="380">
        <v>4</v>
      </c>
      <c r="AH12" s="360" t="s">
        <v>1182</v>
      </c>
      <c r="AI12" s="1332">
        <v>4</v>
      </c>
      <c r="AJ12" s="22">
        <f>IF((AH12=AF12)=TRUE,0,1)</f>
        <v>0</v>
      </c>
      <c r="AK12" s="373"/>
      <c r="AL12" s="360" t="s">
        <v>1182</v>
      </c>
      <c r="AM12" s="380">
        <v>4</v>
      </c>
      <c r="AN12" s="360" t="s">
        <v>1182</v>
      </c>
      <c r="AO12" s="1332">
        <v>4</v>
      </c>
      <c r="AP12" s="22">
        <f>IF((AN12=AL12)=TRUE,0,1)</f>
        <v>0</v>
      </c>
      <c r="AQ12" s="373"/>
      <c r="AR12" s="360" t="s">
        <v>1182</v>
      </c>
      <c r="AS12" s="380">
        <v>4</v>
      </c>
      <c r="AT12" s="360" t="s">
        <v>1182</v>
      </c>
      <c r="AU12" s="1332">
        <v>4</v>
      </c>
      <c r="AV12" s="22">
        <f>IF((AT12=AR12)=TRUE,0,1)</f>
        <v>0</v>
      </c>
      <c r="AW12" s="373"/>
      <c r="AX12" s="360" t="s">
        <v>1182</v>
      </c>
      <c r="AY12" s="380">
        <v>4</v>
      </c>
      <c r="AZ12" s="360" t="s">
        <v>1182</v>
      </c>
      <c r="BA12" s="1332">
        <v>4</v>
      </c>
      <c r="BB12" s="22">
        <f>IF((AZ12=AX12)=TRUE,0,1)</f>
        <v>0</v>
      </c>
      <c r="BC12" s="373"/>
      <c r="BD12" s="360" t="s">
        <v>1182</v>
      </c>
      <c r="BE12" s="380">
        <v>4</v>
      </c>
      <c r="BF12" s="360" t="s">
        <v>1182</v>
      </c>
      <c r="BG12" s="1332">
        <v>4</v>
      </c>
      <c r="BH12" s="22">
        <f>IF((BF12=BD12)=TRUE,0,1)</f>
        <v>0</v>
      </c>
      <c r="BI12" s="373"/>
      <c r="BJ12" s="360" t="s">
        <v>1182</v>
      </c>
      <c r="BK12" s="380">
        <v>4</v>
      </c>
      <c r="BL12" s="360" t="s">
        <v>1182</v>
      </c>
      <c r="BM12" s="1332">
        <v>4</v>
      </c>
      <c r="BN12" s="22">
        <f>IF((BL12=BJ12)=TRUE,0,1)</f>
        <v>0</v>
      </c>
      <c r="BO12" s="373"/>
      <c r="BP12" s="360" t="s">
        <v>1182</v>
      </c>
      <c r="BQ12" s="380">
        <v>4</v>
      </c>
      <c r="BR12" s="360" t="s">
        <v>1182</v>
      </c>
      <c r="BS12" s="1332">
        <v>4</v>
      </c>
      <c r="BT12" s="22">
        <f>IF((BR12=BP12)=TRUE,0,1)</f>
        <v>0</v>
      </c>
      <c r="BU12" s="373"/>
      <c r="BV12" s="360" t="s">
        <v>1182</v>
      </c>
      <c r="BW12" s="380">
        <v>4</v>
      </c>
      <c r="BX12" s="360" t="s">
        <v>1182</v>
      </c>
      <c r="BY12" s="1332">
        <v>4</v>
      </c>
      <c r="BZ12" s="22">
        <f>IF((BX12=BV12)=TRUE,0,1)</f>
        <v>0</v>
      </c>
      <c r="CA12" s="385"/>
    </row>
    <row r="13" spans="1:79" s="374" customFormat="1">
      <c r="A13" s="1671" t="s">
        <v>1184</v>
      </c>
      <c r="B13" s="1674" t="s">
        <v>1185</v>
      </c>
      <c r="C13" s="397">
        <v>5</v>
      </c>
      <c r="D13" s="410" t="s">
        <v>1183</v>
      </c>
      <c r="E13" s="398"/>
      <c r="F13" s="406"/>
      <c r="G13" s="406" t="s">
        <v>1155</v>
      </c>
      <c r="H13" s="404" t="s">
        <v>1173</v>
      </c>
      <c r="I13" s="399">
        <v>6</v>
      </c>
      <c r="J13" s="728">
        <f t="shared" ref="J13:J35" si="17">AVERAGE(BV13,BP13,BJ13,BD13,AX13,AR13,AL13,AF13,Z13,T13)</f>
        <v>0.18915823791139746</v>
      </c>
      <c r="K13" s="407">
        <f>AVERAGE(BW13,BQ13,BK13,BE13,AY13,AS13,AM13,AG13,AA13,U13)</f>
        <v>6</v>
      </c>
      <c r="L13" s="728">
        <f t="shared" ref="L13:L35" si="18">AVERAGE(BX13,BR13,BL13,BF13,AZ13,AT13,AN13,AH13,AB13,V13)</f>
        <v>0.1791650602775941</v>
      </c>
      <c r="M13" s="407">
        <f>AVERAGE(BY13,BS13,BM13,BG13,BA13,AU13,AO13,AI13,AC13,W13)</f>
        <v>6</v>
      </c>
      <c r="N13" s="408">
        <f t="shared" si="13"/>
        <v>0</v>
      </c>
      <c r="O13" s="380">
        <f t="shared" si="0"/>
        <v>0</v>
      </c>
      <c r="P13" s="372">
        <f t="shared" si="14"/>
        <v>0</v>
      </c>
      <c r="Q13" s="372">
        <f t="shared" si="15"/>
        <v>0</v>
      </c>
      <c r="R13" s="372">
        <f t="shared" si="16"/>
        <v>0</v>
      </c>
      <c r="S13" s="373"/>
      <c r="T13" s="1298">
        <v>0.17647058823529413</v>
      </c>
      <c r="U13" s="378">
        <f>IF(T13&lt;=10,6,IF(T13&lt;=15,2,0))</f>
        <v>6</v>
      </c>
      <c r="V13" s="1298">
        <f>ROUND(V14,0)/ROUND(V15,0)</f>
        <v>0.13043478260869565</v>
      </c>
      <c r="W13" s="1330">
        <f>IF(V13&lt;=10,6,IF(V13&lt;=15,2,0))</f>
        <v>6</v>
      </c>
      <c r="X13" s="22">
        <f t="shared" ref="X13:X35" si="19">IF(AND(T13=0,V13&lt;&gt;0),1,IF(AND(T13=0,V13=0),0,V13/T13-1))</f>
        <v>-0.26086956521739135</v>
      </c>
      <c r="Y13" s="373"/>
      <c r="Z13" s="1298">
        <v>0.11934156378600823</v>
      </c>
      <c r="AA13" s="378">
        <f>IF(Z13&lt;=10,6,IF(Z13&lt;=15,2,0))</f>
        <v>6</v>
      </c>
      <c r="AB13" s="1298">
        <f>ROUND(AB14,0)/ROUND(AB15,0)</f>
        <v>0.12982456140350876</v>
      </c>
      <c r="AC13" s="1330">
        <f>IF(AB13&lt;=10,6,IF(AB13&lt;=15,2,0))</f>
        <v>6</v>
      </c>
      <c r="AD13" s="22">
        <f t="shared" ref="AD13:AD35" si="20">IF(AND(Z13=0,AB13&lt;&gt;0),1,IF(AND(Z13=0,AB13=0),0,AB13/Z13-1))</f>
        <v>8.7840290381125063E-2</v>
      </c>
      <c r="AE13" s="373"/>
      <c r="AF13" s="360">
        <v>0.16475972540045766</v>
      </c>
      <c r="AG13" s="378">
        <f>IF(AF13&lt;=10,6,IF(AF13&lt;=15,2,0))</f>
        <v>6</v>
      </c>
      <c r="AH13" s="1298">
        <f>ROUND(AH14,0)/ROUND(AH15,0)</f>
        <v>0.12753036437246965</v>
      </c>
      <c r="AI13" s="1330">
        <f>IF(AH13&lt;=10,6,IF(AH13&lt;=15,2,0))</f>
        <v>6</v>
      </c>
      <c r="AJ13" s="22">
        <f t="shared" ref="AJ13:AJ35" si="21">IF(AND(AF13=0,AH13&lt;&gt;0),1,IF(AND(AF13=0,AH13=0),0,AH13/AF13-1))</f>
        <v>-0.22596153846153844</v>
      </c>
      <c r="AK13" s="373"/>
      <c r="AL13" s="1298">
        <v>9.2307692307692313E-2</v>
      </c>
      <c r="AM13" s="378">
        <f>IF(AL13&lt;=10,6,IF(AL13&lt;=15,2,0))</f>
        <v>6</v>
      </c>
      <c r="AN13" s="1298">
        <f>ROUND(AN14,0)/ROUND(AN15,0)</f>
        <v>0.11290322580645161</v>
      </c>
      <c r="AO13" s="1330">
        <f>IF(AN13&lt;=10,6,IF(AN13&lt;=15,2,0))</f>
        <v>6</v>
      </c>
      <c r="AP13" s="22">
        <f t="shared" ref="AP13:AP35" si="22">IF(AND(AL13=0,AN13&lt;&gt;0),1,IF(AND(AL13=0,AN13=0),0,AN13/AL13-1))</f>
        <v>0.22311827956989227</v>
      </c>
      <c r="AQ13" s="373"/>
      <c r="AR13" s="1298">
        <v>0.18848167539267016</v>
      </c>
      <c r="AS13" s="378">
        <f>IF(AR13&lt;=10,6,IF(AR13&lt;=15,2,0))</f>
        <v>6</v>
      </c>
      <c r="AT13" s="1298">
        <f>ROUND(AT14,0)/ROUND(AT15,0)</f>
        <v>0.17770034843205576</v>
      </c>
      <c r="AU13" s="1330">
        <f>IF(AT13&lt;=10,6,IF(AT13&lt;=15,2,0))</f>
        <v>6</v>
      </c>
      <c r="AV13" s="22">
        <f t="shared" ref="AV13:AV35" si="23">IF(AND(AR13=0,AT13&lt;&gt;0),1,IF(AND(AR13=0,AT13=0),0,AT13/AR13-1))</f>
        <v>-5.7200929152148583E-2</v>
      </c>
      <c r="AW13" s="373"/>
      <c r="AX13" s="1298">
        <v>0.1388888888888889</v>
      </c>
      <c r="AY13" s="378">
        <f>IF(AX13&lt;=10,6,IF(AX13&lt;=15,2,0))</f>
        <v>6</v>
      </c>
      <c r="AZ13" s="1298">
        <f>ROUND(AZ14,0)/ROUND(AZ15,0)</f>
        <v>0.11719745222929936</v>
      </c>
      <c r="BA13" s="1330">
        <f>IF(AZ13&lt;=10,6,IF(AZ13&lt;=15,2,0))</f>
        <v>6</v>
      </c>
      <c r="BB13" s="22">
        <f t="shared" ref="BB13:BB35" si="24">IF(AND(AX13=0,AZ13&lt;&gt;0),1,IF(AND(AX13=0,AZ13=0),0,AZ13/AX13-1))</f>
        <v>-0.15617834394904462</v>
      </c>
      <c r="BC13" s="373"/>
      <c r="BD13" s="1298">
        <v>0.27272727272727271</v>
      </c>
      <c r="BE13" s="378">
        <f>IF(BD13&lt;=10,6,IF(BD13&lt;=15,2,0))</f>
        <v>6</v>
      </c>
      <c r="BF13" s="1298">
        <f>ROUND(BF14,0)/ROUND(BF15,0)</f>
        <v>0.11940298507462686</v>
      </c>
      <c r="BG13" s="1330">
        <f>IF(BF13&lt;=10,6,IF(BF13&lt;=15,2,0))</f>
        <v>6</v>
      </c>
      <c r="BH13" s="22">
        <f t="shared" ref="BH13:BH35" si="25">IF(AND(BD13=0,BF13&lt;&gt;0),1,IF(AND(BD13=0,BF13=0),0,BF13/BD13-1))</f>
        <v>-0.56218905472636815</v>
      </c>
      <c r="BI13" s="373"/>
      <c r="BJ13" s="1298">
        <v>0.13443830570902393</v>
      </c>
      <c r="BK13" s="378">
        <f>IF(BJ13&lt;=10,6,IF(BJ13&lt;=15,2,0))</f>
        <v>6</v>
      </c>
      <c r="BL13" s="1298">
        <f>ROUND(BL14,0)/ROUND(BL15,0)</f>
        <v>0.13716108452950559</v>
      </c>
      <c r="BM13" s="1330">
        <f>IF(BL13&lt;=10,6,IF(BL13&lt;=15,2,0))</f>
        <v>6</v>
      </c>
      <c r="BN13" s="22">
        <f t="shared" ref="BN13:BN35" si="26">IF(AND(BJ13=0,BL13&lt;&gt;0),1,IF(AND(BJ13=0,BL13=0),0,BL13/BJ13-1))</f>
        <v>2.0252998623582874E-2</v>
      </c>
      <c r="BO13" s="373"/>
      <c r="BP13" s="1298">
        <v>0.5</v>
      </c>
      <c r="BQ13" s="378">
        <f>IF(BP13&lt;=10,6,IF(BP13&lt;=15,2,0))</f>
        <v>6</v>
      </c>
      <c r="BR13" s="1298">
        <f>ROUND(BR14,0)/ROUND(BR15,0)</f>
        <v>0.42857142857142855</v>
      </c>
      <c r="BS13" s="1330">
        <f>IF(BR13&lt;=10,6,IF(BR13&lt;=15,2,0))</f>
        <v>6</v>
      </c>
      <c r="BT13" s="22">
        <f t="shared" ref="BT13:BT35" si="27">IF(AND(BP13=0,BR13&lt;&gt;0),1,IF(AND(BP13=0,BR13=0),0,BR13/BP13-1))</f>
        <v>-0.1428571428571429</v>
      </c>
      <c r="BU13" s="373"/>
      <c r="BV13" s="1298">
        <v>0.10416666666666667</v>
      </c>
      <c r="BW13" s="378">
        <f>IF(BV13&lt;=10,6,IF(BV13&lt;=15,2,0))</f>
        <v>6</v>
      </c>
      <c r="BX13" s="1298">
        <f>ROUND(BX14,0)/ROUND(BX15,0)</f>
        <v>0.31092436974789917</v>
      </c>
      <c r="BY13" s="1330">
        <f>IF(BX13&lt;=10,6,IF(BX13&lt;=15,2,0))</f>
        <v>6</v>
      </c>
      <c r="BZ13" s="22">
        <f t="shared" ref="BZ13:BZ35" si="28">IF(AND(BV13=0,BX13&lt;&gt;0),1,IF(AND(BV13=0,BX13=0),0,BX13/BV13-1))</f>
        <v>1.984873949579832</v>
      </c>
      <c r="CA13" s="385"/>
    </row>
    <row r="14" spans="1:79" s="374" customFormat="1">
      <c r="A14" s="1672"/>
      <c r="B14" s="1675"/>
      <c r="C14" s="404">
        <v>5.0999999999999996</v>
      </c>
      <c r="D14" s="405" t="s">
        <v>2204</v>
      </c>
      <c r="E14" s="398" t="s">
        <v>1120</v>
      </c>
      <c r="F14" s="412" t="s">
        <v>1186</v>
      </c>
      <c r="G14" s="406"/>
      <c r="H14" s="404"/>
      <c r="I14" s="406"/>
      <c r="J14" s="728">
        <f t="shared" si="17"/>
        <v>44.753</v>
      </c>
      <c r="K14" s="407"/>
      <c r="L14" s="728">
        <f t="shared" si="18"/>
        <v>46.083999999999996</v>
      </c>
      <c r="M14" s="407"/>
      <c r="N14" s="408">
        <f t="shared" si="13"/>
        <v>0</v>
      </c>
      <c r="O14" s="380">
        <f t="shared" si="0"/>
        <v>0</v>
      </c>
      <c r="P14" s="372">
        <f t="shared" si="14"/>
        <v>0</v>
      </c>
      <c r="Q14" s="372">
        <f t="shared" si="15"/>
        <v>0</v>
      </c>
      <c r="R14" s="372">
        <f t="shared" si="16"/>
        <v>0</v>
      </c>
      <c r="S14" s="373"/>
      <c r="T14" s="360">
        <v>2.9</v>
      </c>
      <c r="U14" s="379"/>
      <c r="V14" s="360">
        <v>3.31</v>
      </c>
      <c r="W14" s="1331"/>
      <c r="X14" s="22">
        <f t="shared" si="19"/>
        <v>0.14137931034482754</v>
      </c>
      <c r="Y14" s="373"/>
      <c r="Z14" s="360">
        <v>29.33</v>
      </c>
      <c r="AA14" s="379"/>
      <c r="AB14" s="360">
        <v>37.49</v>
      </c>
      <c r="AC14" s="1331"/>
      <c r="AD14" s="22">
        <f t="shared" si="20"/>
        <v>0.27821343334469839</v>
      </c>
      <c r="AE14" s="373"/>
      <c r="AF14" s="360">
        <v>71.680000000000007</v>
      </c>
      <c r="AG14" s="379"/>
      <c r="AH14" s="360">
        <v>63.32</v>
      </c>
      <c r="AI14" s="1331"/>
      <c r="AJ14" s="22">
        <f t="shared" si="21"/>
        <v>-0.11662946428571441</v>
      </c>
      <c r="AK14" s="373"/>
      <c r="AL14" s="360">
        <v>6.01</v>
      </c>
      <c r="AM14" s="379"/>
      <c r="AN14" s="360">
        <v>6.8</v>
      </c>
      <c r="AO14" s="1331"/>
      <c r="AP14" s="22">
        <f t="shared" si="22"/>
        <v>0.13144758735440942</v>
      </c>
      <c r="AQ14" s="373"/>
      <c r="AR14" s="360">
        <v>108.22</v>
      </c>
      <c r="AS14" s="379"/>
      <c r="AT14" s="360">
        <v>102.4</v>
      </c>
      <c r="AU14" s="1331"/>
      <c r="AV14" s="22">
        <f t="shared" si="23"/>
        <v>-5.3779338384771669E-2</v>
      </c>
      <c r="AW14" s="373"/>
      <c r="AX14" s="360">
        <v>105.48</v>
      </c>
      <c r="AY14" s="379"/>
      <c r="AZ14" s="360">
        <v>92.27</v>
      </c>
      <c r="BA14" s="1331"/>
      <c r="BB14" s="22">
        <f t="shared" si="24"/>
        <v>-0.12523701175578317</v>
      </c>
      <c r="BC14" s="373"/>
      <c r="BD14" s="360">
        <v>12.32</v>
      </c>
      <c r="BE14" s="379"/>
      <c r="BF14" s="360">
        <v>7.73</v>
      </c>
      <c r="BG14" s="1331"/>
      <c r="BH14" s="22">
        <f t="shared" si="25"/>
        <v>-0.37256493506493504</v>
      </c>
      <c r="BI14" s="373"/>
      <c r="BJ14" s="360">
        <v>72.95</v>
      </c>
      <c r="BK14" s="379"/>
      <c r="BL14" s="360">
        <v>85.82</v>
      </c>
      <c r="BM14" s="1331"/>
      <c r="BN14" s="22">
        <f t="shared" si="26"/>
        <v>0.17642220699108968</v>
      </c>
      <c r="BO14" s="373"/>
      <c r="BP14" s="360">
        <v>28.5</v>
      </c>
      <c r="BQ14" s="379"/>
      <c r="BR14" s="360">
        <v>24.42</v>
      </c>
      <c r="BS14" s="1331"/>
      <c r="BT14" s="22">
        <f t="shared" si="27"/>
        <v>-0.14315789473684204</v>
      </c>
      <c r="BU14" s="373"/>
      <c r="BV14" s="360">
        <v>10.14</v>
      </c>
      <c r="BW14" s="379"/>
      <c r="BX14" s="360">
        <v>37.28</v>
      </c>
      <c r="BY14" s="1331"/>
      <c r="BZ14" s="22">
        <f t="shared" si="28"/>
        <v>2.6765285996055228</v>
      </c>
      <c r="CA14" s="385"/>
    </row>
    <row r="15" spans="1:79" s="374" customFormat="1">
      <c r="A15" s="1673"/>
      <c r="B15" s="1676"/>
      <c r="C15" s="360">
        <v>5.2</v>
      </c>
      <c r="D15" s="405" t="s">
        <v>2205</v>
      </c>
      <c r="E15" s="398" t="s">
        <v>1120</v>
      </c>
      <c r="F15" s="412" t="s">
        <v>1186</v>
      </c>
      <c r="G15" s="406"/>
      <c r="H15" s="404"/>
      <c r="I15" s="406"/>
      <c r="J15" s="728">
        <f t="shared" si="17"/>
        <v>283.2</v>
      </c>
      <c r="K15" s="407"/>
      <c r="L15" s="728">
        <f t="shared" si="18"/>
        <v>309.2</v>
      </c>
      <c r="M15" s="407"/>
      <c r="N15" s="408">
        <f t="shared" si="13"/>
        <v>0</v>
      </c>
      <c r="O15" s="380">
        <f t="shared" si="0"/>
        <v>0</v>
      </c>
      <c r="P15" s="372">
        <f t="shared" si="14"/>
        <v>0</v>
      </c>
      <c r="Q15" s="372">
        <f t="shared" si="15"/>
        <v>0</v>
      </c>
      <c r="R15" s="372">
        <f t="shared" si="16"/>
        <v>0</v>
      </c>
      <c r="S15" s="373"/>
      <c r="T15" s="360">
        <v>17</v>
      </c>
      <c r="U15" s="379"/>
      <c r="V15" s="360">
        <v>23</v>
      </c>
      <c r="W15" s="1331"/>
      <c r="X15" s="22">
        <f t="shared" si="19"/>
        <v>0.35294117647058831</v>
      </c>
      <c r="Y15" s="373"/>
      <c r="Z15" s="360">
        <v>243</v>
      </c>
      <c r="AA15" s="379"/>
      <c r="AB15" s="360">
        <v>285</v>
      </c>
      <c r="AC15" s="1331"/>
      <c r="AD15" s="22">
        <f t="shared" si="20"/>
        <v>0.17283950617283961</v>
      </c>
      <c r="AE15" s="373"/>
      <c r="AF15" s="360">
        <v>437</v>
      </c>
      <c r="AG15" s="379"/>
      <c r="AH15" s="360">
        <v>494</v>
      </c>
      <c r="AI15" s="1331"/>
      <c r="AJ15" s="22">
        <f t="shared" si="21"/>
        <v>0.13043478260869557</v>
      </c>
      <c r="AK15" s="373"/>
      <c r="AL15" s="360">
        <v>65</v>
      </c>
      <c r="AM15" s="379"/>
      <c r="AN15" s="360">
        <v>62</v>
      </c>
      <c r="AO15" s="1331"/>
      <c r="AP15" s="22">
        <f t="shared" si="22"/>
        <v>-4.6153846153846101E-2</v>
      </c>
      <c r="AQ15" s="373"/>
      <c r="AR15" s="360">
        <v>573</v>
      </c>
      <c r="AS15" s="379"/>
      <c r="AT15" s="360">
        <v>574</v>
      </c>
      <c r="AU15" s="1331"/>
      <c r="AV15" s="22">
        <f t="shared" si="23"/>
        <v>1.7452006980802626E-3</v>
      </c>
      <c r="AW15" s="373"/>
      <c r="AX15" s="360">
        <v>756</v>
      </c>
      <c r="AY15" s="379"/>
      <c r="AZ15" s="360">
        <v>785</v>
      </c>
      <c r="BA15" s="1331"/>
      <c r="BB15" s="22">
        <f t="shared" si="24"/>
        <v>3.8359788359788372E-2</v>
      </c>
      <c r="BC15" s="373"/>
      <c r="BD15" s="360">
        <v>44</v>
      </c>
      <c r="BE15" s="379"/>
      <c r="BF15" s="360">
        <v>67</v>
      </c>
      <c r="BG15" s="1331"/>
      <c r="BH15" s="22">
        <f t="shared" si="25"/>
        <v>0.52272727272727271</v>
      </c>
      <c r="BI15" s="373"/>
      <c r="BJ15" s="360">
        <v>543</v>
      </c>
      <c r="BK15" s="379"/>
      <c r="BL15" s="360">
        <v>627</v>
      </c>
      <c r="BM15" s="1331"/>
      <c r="BN15" s="22">
        <f t="shared" si="26"/>
        <v>0.15469613259668513</v>
      </c>
      <c r="BO15" s="373"/>
      <c r="BP15" s="360">
        <v>58</v>
      </c>
      <c r="BQ15" s="379"/>
      <c r="BR15" s="360">
        <v>56</v>
      </c>
      <c r="BS15" s="1331"/>
      <c r="BT15" s="22">
        <f t="shared" si="27"/>
        <v>-3.4482758620689613E-2</v>
      </c>
      <c r="BU15" s="373"/>
      <c r="BV15" s="360">
        <v>96</v>
      </c>
      <c r="BW15" s="379"/>
      <c r="BX15" s="360">
        <v>119</v>
      </c>
      <c r="BY15" s="1331"/>
      <c r="BZ15" s="22">
        <f t="shared" si="28"/>
        <v>0.23958333333333326</v>
      </c>
      <c r="CA15" s="385"/>
    </row>
    <row r="16" spans="1:79" s="374" customFormat="1" ht="14.25">
      <c r="A16" s="1671" t="s">
        <v>1187</v>
      </c>
      <c r="B16" s="1674" t="s">
        <v>1188</v>
      </c>
      <c r="C16" s="361">
        <v>6</v>
      </c>
      <c r="D16" s="1416" t="s">
        <v>1698</v>
      </c>
      <c r="E16" s="413"/>
      <c r="F16" s="406"/>
      <c r="G16" s="406" t="s">
        <v>1155</v>
      </c>
      <c r="H16" s="414" t="s">
        <v>1170</v>
      </c>
      <c r="I16" s="1699">
        <v>8</v>
      </c>
      <c r="J16" s="728">
        <f t="shared" si="17"/>
        <v>0.48417662567150749</v>
      </c>
      <c r="K16" s="1680">
        <v>0</v>
      </c>
      <c r="L16" s="728">
        <f>AVERAGE(BX16,BR16,BL16,BF16,AZ16,AT16,AN16,AH16,AB16,V16)</f>
        <v>0.26665104232116221</v>
      </c>
      <c r="M16" s="1680">
        <v>0</v>
      </c>
      <c r="N16" s="408">
        <f t="shared" si="13"/>
        <v>0</v>
      </c>
      <c r="O16" s="1705">
        <f t="shared" si="0"/>
        <v>8</v>
      </c>
      <c r="P16" s="1705">
        <f t="shared" si="14"/>
        <v>5.6</v>
      </c>
      <c r="Q16" s="1705">
        <f t="shared" si="15"/>
        <v>0.62222222222222223</v>
      </c>
      <c r="R16" s="1705">
        <f t="shared" si="16"/>
        <v>0.31111111111111112</v>
      </c>
      <c r="S16" s="373"/>
      <c r="T16" s="1298">
        <v>0.47058823529411764</v>
      </c>
      <c r="U16" s="360" t="s">
        <v>1189</v>
      </c>
      <c r="V16" s="1298">
        <f>IF(V18=0,"",V17/V18)</f>
        <v>0.52173913043478259</v>
      </c>
      <c r="W16" s="1666" t="s">
        <v>1189</v>
      </c>
      <c r="X16" s="22">
        <f t="shared" si="19"/>
        <v>0.10869565217391308</v>
      </c>
      <c r="Y16" s="373"/>
      <c r="Z16" s="1298">
        <v>0.65991902834008098</v>
      </c>
      <c r="AA16" s="360" t="s">
        <v>1190</v>
      </c>
      <c r="AB16" s="1298">
        <f>IF(AB18=0,"",AB17/AB18)</f>
        <v>0.28222996515679444</v>
      </c>
      <c r="AC16" s="1666" t="s">
        <v>1190</v>
      </c>
      <c r="AD16" s="22">
        <f t="shared" si="20"/>
        <v>-0.57232637181761825</v>
      </c>
      <c r="AE16" s="373"/>
      <c r="AF16" s="360">
        <v>0.46258503401360546</v>
      </c>
      <c r="AG16" s="360" t="s">
        <v>1190</v>
      </c>
      <c r="AH16" s="1298">
        <f>IF(AH18=0,"",AH17/AH18)</f>
        <v>0.21572580645161291</v>
      </c>
      <c r="AI16" s="1666" t="s">
        <v>1190</v>
      </c>
      <c r="AJ16" s="22">
        <f t="shared" si="21"/>
        <v>-0.53365156546489567</v>
      </c>
      <c r="AK16" s="373"/>
      <c r="AL16" s="1298">
        <v>0.22727272727272727</v>
      </c>
      <c r="AM16" s="360" t="s">
        <v>1190</v>
      </c>
      <c r="AN16" s="1298">
        <f>IF(AN18=0,"",AN17/AN18)</f>
        <v>0.27419354838709675</v>
      </c>
      <c r="AO16" s="1666" t="s">
        <v>1190</v>
      </c>
      <c r="AP16" s="22">
        <f t="shared" si="22"/>
        <v>0.20645161290322567</v>
      </c>
      <c r="AQ16" s="373"/>
      <c r="AR16" s="1298">
        <v>0.14982578397212543</v>
      </c>
      <c r="AS16" s="360" t="s">
        <v>1190</v>
      </c>
      <c r="AT16" s="1298">
        <f>IF(AT18=0,"",AT17/AT18)</f>
        <v>0.1951219512195122</v>
      </c>
      <c r="AU16" s="1666" t="s">
        <v>1190</v>
      </c>
      <c r="AV16" s="22">
        <f t="shared" si="23"/>
        <v>0.30232558139534893</v>
      </c>
      <c r="AW16" s="373"/>
      <c r="AX16" s="1298">
        <v>0.23614775725593667</v>
      </c>
      <c r="AY16" s="360" t="s">
        <v>1190</v>
      </c>
      <c r="AZ16" s="1298">
        <f>IF(AZ18=0,"",AZ17/AZ18)</f>
        <v>0.21392405063291139</v>
      </c>
      <c r="BA16" s="1666" t="s">
        <v>1190</v>
      </c>
      <c r="BB16" s="22">
        <f t="shared" si="24"/>
        <v>-9.4109327487447825E-2</v>
      </c>
      <c r="BC16" s="373"/>
      <c r="BD16" s="1298">
        <v>1.9130434782608696</v>
      </c>
      <c r="BE16" s="360" t="s">
        <v>1190</v>
      </c>
      <c r="BF16" s="1298">
        <f>IF(BF18=0,"",BF17/BF18)</f>
        <v>0.6029411764705882</v>
      </c>
      <c r="BG16" s="1666" t="s">
        <v>1190</v>
      </c>
      <c r="BH16" s="22">
        <f t="shared" si="25"/>
        <v>-0.68482620320855614</v>
      </c>
      <c r="BI16" s="373"/>
      <c r="BJ16" s="1298">
        <v>0.18933823529411764</v>
      </c>
      <c r="BK16" s="360" t="s">
        <v>1190</v>
      </c>
      <c r="BL16" s="1298">
        <f>IF(BL18=0,"",BL17/BL18)</f>
        <v>0.15580286168521462</v>
      </c>
      <c r="BM16" s="1666" t="s">
        <v>1190</v>
      </c>
      <c r="BN16" s="22">
        <f t="shared" si="26"/>
        <v>-0.17711886643925479</v>
      </c>
      <c r="BO16" s="373"/>
      <c r="BP16" s="1298">
        <v>0.2413793103448276</v>
      </c>
      <c r="BQ16" s="360" t="s">
        <v>1190</v>
      </c>
      <c r="BR16" s="1298">
        <f>IF(BR18=0,"",BR17/BR18)</f>
        <v>5.3571428571428568E-2</v>
      </c>
      <c r="BS16" s="1666" t="s">
        <v>1190</v>
      </c>
      <c r="BT16" s="22">
        <f t="shared" si="27"/>
        <v>-0.77806122448979598</v>
      </c>
      <c r="BU16" s="373"/>
      <c r="BV16" s="1298">
        <v>0.29166666666666669</v>
      </c>
      <c r="BW16" s="360" t="s">
        <v>1190</v>
      </c>
      <c r="BX16" s="1298">
        <f>IF(BX18=0,"",BX17/BX18)</f>
        <v>0.15126050420168066</v>
      </c>
      <c r="BY16" s="1666" t="s">
        <v>1190</v>
      </c>
      <c r="BZ16" s="22">
        <f t="shared" si="28"/>
        <v>-0.48139255702280914</v>
      </c>
      <c r="CA16" s="385"/>
    </row>
    <row r="17" spans="1:79" s="374" customFormat="1">
      <c r="A17" s="1672"/>
      <c r="B17" s="1675"/>
      <c r="C17" s="360">
        <v>6.1</v>
      </c>
      <c r="D17" s="405" t="s">
        <v>2206</v>
      </c>
      <c r="E17" s="398" t="s">
        <v>1120</v>
      </c>
      <c r="F17" s="412" t="s">
        <v>1186</v>
      </c>
      <c r="G17" s="406"/>
      <c r="H17" s="415"/>
      <c r="I17" s="1700"/>
      <c r="J17" s="728">
        <f t="shared" si="17"/>
        <v>88.8</v>
      </c>
      <c r="K17" s="1681"/>
      <c r="L17" s="728">
        <f t="shared" si="18"/>
        <v>65.8</v>
      </c>
      <c r="M17" s="1681"/>
      <c r="N17" s="408">
        <f t="shared" si="13"/>
        <v>0</v>
      </c>
      <c r="O17" s="1706"/>
      <c r="P17" s="1706"/>
      <c r="Q17" s="1706"/>
      <c r="R17" s="1706"/>
      <c r="S17" s="373"/>
      <c r="T17" s="360">
        <v>8</v>
      </c>
      <c r="U17" s="379"/>
      <c r="V17" s="360">
        <v>12</v>
      </c>
      <c r="W17" s="1667"/>
      <c r="X17" s="22">
        <f t="shared" si="19"/>
        <v>0.5</v>
      </c>
      <c r="Y17" s="373"/>
      <c r="Z17" s="360">
        <v>163</v>
      </c>
      <c r="AA17" s="379"/>
      <c r="AB17" s="360">
        <v>81</v>
      </c>
      <c r="AC17" s="1667"/>
      <c r="AD17" s="22">
        <f t="shared" si="20"/>
        <v>-0.50306748466257667</v>
      </c>
      <c r="AE17" s="373"/>
      <c r="AF17" s="360">
        <v>204</v>
      </c>
      <c r="AG17" s="379"/>
      <c r="AH17" s="360">
        <v>107</v>
      </c>
      <c r="AI17" s="1667"/>
      <c r="AJ17" s="22">
        <f t="shared" si="21"/>
        <v>-0.47549019607843135</v>
      </c>
      <c r="AK17" s="373"/>
      <c r="AL17" s="360">
        <v>15</v>
      </c>
      <c r="AM17" s="379"/>
      <c r="AN17" s="360">
        <v>17</v>
      </c>
      <c r="AO17" s="1667"/>
      <c r="AP17" s="22">
        <f t="shared" si="22"/>
        <v>0.1333333333333333</v>
      </c>
      <c r="AQ17" s="373"/>
      <c r="AR17" s="360">
        <v>86</v>
      </c>
      <c r="AS17" s="379"/>
      <c r="AT17" s="360">
        <v>112</v>
      </c>
      <c r="AU17" s="1667"/>
      <c r="AV17" s="22">
        <f t="shared" si="23"/>
        <v>0.30232558139534893</v>
      </c>
      <c r="AW17" s="373"/>
      <c r="AX17" s="360">
        <v>179</v>
      </c>
      <c r="AY17" s="379"/>
      <c r="AZ17" s="360">
        <v>169</v>
      </c>
      <c r="BA17" s="1667"/>
      <c r="BB17" s="22">
        <f t="shared" si="24"/>
        <v>-5.5865921787709549E-2</v>
      </c>
      <c r="BC17" s="373"/>
      <c r="BD17" s="360">
        <v>88</v>
      </c>
      <c r="BE17" s="379"/>
      <c r="BF17" s="360">
        <v>41</v>
      </c>
      <c r="BG17" s="1667"/>
      <c r="BH17" s="22">
        <f t="shared" si="25"/>
        <v>-0.53409090909090917</v>
      </c>
      <c r="BI17" s="373"/>
      <c r="BJ17" s="360">
        <v>103</v>
      </c>
      <c r="BK17" s="379"/>
      <c r="BL17" s="360">
        <v>98</v>
      </c>
      <c r="BM17" s="1667"/>
      <c r="BN17" s="22">
        <f t="shared" si="26"/>
        <v>-4.8543689320388328E-2</v>
      </c>
      <c r="BO17" s="373"/>
      <c r="BP17" s="360">
        <v>14</v>
      </c>
      <c r="BQ17" s="379"/>
      <c r="BR17" s="360">
        <v>3</v>
      </c>
      <c r="BS17" s="1667"/>
      <c r="BT17" s="22">
        <f t="shared" si="27"/>
        <v>-0.7857142857142857</v>
      </c>
      <c r="BU17" s="373"/>
      <c r="BV17" s="360">
        <v>28</v>
      </c>
      <c r="BW17" s="379"/>
      <c r="BX17" s="360">
        <v>18</v>
      </c>
      <c r="BY17" s="1667"/>
      <c r="BZ17" s="22">
        <f t="shared" si="28"/>
        <v>-0.3571428571428571</v>
      </c>
      <c r="CA17" s="385"/>
    </row>
    <row r="18" spans="1:79" s="374" customFormat="1">
      <c r="A18" s="1673"/>
      <c r="B18" s="1676"/>
      <c r="C18" s="360">
        <v>6.2</v>
      </c>
      <c r="D18" s="405" t="s">
        <v>2207</v>
      </c>
      <c r="E18" s="398" t="s">
        <v>1120</v>
      </c>
      <c r="F18" s="412" t="s">
        <v>1186</v>
      </c>
      <c r="G18" s="406"/>
      <c r="H18" s="415"/>
      <c r="I18" s="1701"/>
      <c r="J18" s="728">
        <f t="shared" si="17"/>
        <v>284.7</v>
      </c>
      <c r="K18" s="1682"/>
      <c r="L18" s="728">
        <f t="shared" si="18"/>
        <v>310.39999999999998</v>
      </c>
      <c r="M18" s="1682"/>
      <c r="N18" s="408">
        <f t="shared" si="13"/>
        <v>0</v>
      </c>
      <c r="O18" s="1707"/>
      <c r="P18" s="1707"/>
      <c r="Q18" s="1707"/>
      <c r="R18" s="1707"/>
      <c r="S18" s="373"/>
      <c r="T18" s="360">
        <v>17</v>
      </c>
      <c r="U18" s="379"/>
      <c r="V18" s="360">
        <v>23</v>
      </c>
      <c r="W18" s="1668"/>
      <c r="X18" s="22">
        <f t="shared" si="19"/>
        <v>0.35294117647058831</v>
      </c>
      <c r="Y18" s="373"/>
      <c r="Z18" s="360">
        <v>247</v>
      </c>
      <c r="AA18" s="379"/>
      <c r="AB18" s="360">
        <v>287</v>
      </c>
      <c r="AC18" s="1668"/>
      <c r="AD18" s="22">
        <f t="shared" si="20"/>
        <v>0.16194331983805665</v>
      </c>
      <c r="AE18" s="373"/>
      <c r="AF18" s="360">
        <v>441</v>
      </c>
      <c r="AG18" s="379"/>
      <c r="AH18" s="360">
        <v>496</v>
      </c>
      <c r="AI18" s="1668"/>
      <c r="AJ18" s="22">
        <f t="shared" si="21"/>
        <v>0.12471655328798192</v>
      </c>
      <c r="AK18" s="373"/>
      <c r="AL18" s="360">
        <v>66</v>
      </c>
      <c r="AM18" s="379"/>
      <c r="AN18" s="360">
        <v>62</v>
      </c>
      <c r="AO18" s="1668"/>
      <c r="AP18" s="22">
        <f t="shared" si="22"/>
        <v>-6.0606060606060552E-2</v>
      </c>
      <c r="AQ18" s="373"/>
      <c r="AR18" s="360">
        <v>574</v>
      </c>
      <c r="AS18" s="379"/>
      <c r="AT18" s="360">
        <v>574</v>
      </c>
      <c r="AU18" s="1668"/>
      <c r="AV18" s="22">
        <f t="shared" si="23"/>
        <v>0</v>
      </c>
      <c r="AW18" s="373"/>
      <c r="AX18" s="360">
        <v>758</v>
      </c>
      <c r="AY18" s="379"/>
      <c r="AZ18" s="360">
        <v>790</v>
      </c>
      <c r="BA18" s="1668"/>
      <c r="BB18" s="22">
        <f t="shared" si="24"/>
        <v>4.2216358839050061E-2</v>
      </c>
      <c r="BC18" s="373"/>
      <c r="BD18" s="360">
        <v>46</v>
      </c>
      <c r="BE18" s="379"/>
      <c r="BF18" s="360">
        <v>68</v>
      </c>
      <c r="BG18" s="1668"/>
      <c r="BH18" s="22">
        <f t="shared" si="25"/>
        <v>0.47826086956521729</v>
      </c>
      <c r="BI18" s="373"/>
      <c r="BJ18" s="360">
        <v>544</v>
      </c>
      <c r="BK18" s="379"/>
      <c r="BL18" s="360">
        <v>629</v>
      </c>
      <c r="BM18" s="1668"/>
      <c r="BN18" s="22">
        <f t="shared" si="26"/>
        <v>0.15625</v>
      </c>
      <c r="BO18" s="373"/>
      <c r="BP18" s="360">
        <v>58</v>
      </c>
      <c r="BQ18" s="379"/>
      <c r="BR18" s="360">
        <v>56</v>
      </c>
      <c r="BS18" s="1668"/>
      <c r="BT18" s="22">
        <f t="shared" si="27"/>
        <v>-3.4482758620689613E-2</v>
      </c>
      <c r="BU18" s="373"/>
      <c r="BV18" s="360">
        <v>96</v>
      </c>
      <c r="BW18" s="379"/>
      <c r="BX18" s="360">
        <v>119</v>
      </c>
      <c r="BY18" s="1668"/>
      <c r="BZ18" s="22">
        <f t="shared" si="28"/>
        <v>0.23958333333333326</v>
      </c>
      <c r="CA18" s="385"/>
    </row>
    <row r="19" spans="1:79" s="374" customFormat="1">
      <c r="A19" s="1671" t="s">
        <v>1192</v>
      </c>
      <c r="B19" s="1674" t="s">
        <v>1193</v>
      </c>
      <c r="C19" s="361">
        <v>7</v>
      </c>
      <c r="D19" s="410" t="s">
        <v>1191</v>
      </c>
      <c r="E19" s="398"/>
      <c r="F19" s="406"/>
      <c r="G19" s="406" t="s">
        <v>1155</v>
      </c>
      <c r="H19" s="404" t="s">
        <v>1173</v>
      </c>
      <c r="I19" s="399">
        <v>6</v>
      </c>
      <c r="J19" s="1155">
        <f t="shared" si="17"/>
        <v>1</v>
      </c>
      <c r="K19" s="407">
        <f>AVERAGE(BW19,BQ19,BK19,BE19,AY19,AS19,AM19,AG19,AA19,U19)</f>
        <v>6</v>
      </c>
      <c r="L19" s="1155">
        <f t="shared" si="18"/>
        <v>1</v>
      </c>
      <c r="M19" s="407">
        <f>AVERAGE(BY19,BS19,BM19,BG19,BA19,AU19,AO19,AI19,AC19,W19)</f>
        <v>6</v>
      </c>
      <c r="N19" s="408">
        <f t="shared" si="13"/>
        <v>0</v>
      </c>
      <c r="O19" s="380">
        <f t="shared" si="0"/>
        <v>0</v>
      </c>
      <c r="P19" s="372">
        <f t="shared" si="14"/>
        <v>0</v>
      </c>
      <c r="Q19" s="372">
        <f t="shared" si="15"/>
        <v>0</v>
      </c>
      <c r="R19" s="372">
        <f t="shared" si="16"/>
        <v>0</v>
      </c>
      <c r="S19" s="373"/>
      <c r="T19" s="1297">
        <v>1</v>
      </c>
      <c r="U19" s="380">
        <f>IF(T19&gt;=0.95,6,IF(T19&gt;0.9,2,0))</f>
        <v>6</v>
      </c>
      <c r="V19" s="1297">
        <f>V20/V21</f>
        <v>1</v>
      </c>
      <c r="W19" s="1332">
        <f>IF(V19&gt;=0.95,6,IF(V19&gt;0.9,2,0))</f>
        <v>6</v>
      </c>
      <c r="X19" s="22">
        <f t="shared" si="19"/>
        <v>0</v>
      </c>
      <c r="Y19" s="373"/>
      <c r="Z19" s="1297">
        <v>1</v>
      </c>
      <c r="AA19" s="380">
        <f>IF(Z19&gt;=0.95,6,IF(Z19&gt;0.9,2,0))</f>
        <v>6</v>
      </c>
      <c r="AB19" s="1297">
        <f>AB20/AB21</f>
        <v>1</v>
      </c>
      <c r="AC19" s="1332">
        <f>IF(AB19&gt;=0.95,6,IF(AB19&gt;0.9,2,0))</f>
        <v>6</v>
      </c>
      <c r="AD19" s="22">
        <f t="shared" si="20"/>
        <v>0</v>
      </c>
      <c r="AE19" s="373"/>
      <c r="AF19" s="360">
        <v>1</v>
      </c>
      <c r="AG19" s="380">
        <f>IF(AF19&gt;=0.95,6,IF(AF19&gt;0.9,2,0))</f>
        <v>6</v>
      </c>
      <c r="AH19" s="1297">
        <f>AH20/AH21</f>
        <v>1</v>
      </c>
      <c r="AI19" s="1332">
        <f>IF(AH19&gt;=0.95,6,IF(AH19&gt;0.9,2,0))</f>
        <v>6</v>
      </c>
      <c r="AJ19" s="22">
        <f t="shared" si="21"/>
        <v>0</v>
      </c>
      <c r="AK19" s="373"/>
      <c r="AL19" s="1297">
        <v>1</v>
      </c>
      <c r="AM19" s="380">
        <f>IF(AL19&gt;=0.95,6,IF(AL19&gt;0.9,2,0))</f>
        <v>6</v>
      </c>
      <c r="AN19" s="1297">
        <f>AN20/AN21</f>
        <v>1</v>
      </c>
      <c r="AO19" s="1332">
        <f>IF(AN19&gt;=0.95,6,IF(AN19&gt;0.9,2,0))</f>
        <v>6</v>
      </c>
      <c r="AP19" s="22">
        <f t="shared" si="22"/>
        <v>0</v>
      </c>
      <c r="AQ19" s="373"/>
      <c r="AR19" s="1297">
        <v>1</v>
      </c>
      <c r="AS19" s="380">
        <f>IF(AR19&gt;=0.95,6,IF(AR19&gt;0.9,2,0))</f>
        <v>6</v>
      </c>
      <c r="AT19" s="1297">
        <f>AT20/AT21</f>
        <v>1</v>
      </c>
      <c r="AU19" s="1332">
        <f>IF(AT19&gt;=0.95,6,IF(AT19&gt;0.9,2,0))</f>
        <v>6</v>
      </c>
      <c r="AV19" s="22">
        <f t="shared" si="23"/>
        <v>0</v>
      </c>
      <c r="AW19" s="373"/>
      <c r="AX19" s="1297">
        <v>1</v>
      </c>
      <c r="AY19" s="380">
        <f>IF(AX19&gt;=0.95,6,IF(AX19&gt;0.9,2,0))</f>
        <v>6</v>
      </c>
      <c r="AZ19" s="1297">
        <f>AZ20/AZ21</f>
        <v>1</v>
      </c>
      <c r="BA19" s="1332">
        <f>IF(AZ19&gt;=0.95,6,IF(AZ19&gt;0.9,2,0))</f>
        <v>6</v>
      </c>
      <c r="BB19" s="22">
        <f t="shared" si="24"/>
        <v>0</v>
      </c>
      <c r="BC19" s="373"/>
      <c r="BD19" s="1297">
        <v>1</v>
      </c>
      <c r="BE19" s="380">
        <f>IF(BD19&gt;=0.95,6,IF(BD19&gt;0.9,2,0))</f>
        <v>6</v>
      </c>
      <c r="BF19" s="1297">
        <f>BF20/BF21</f>
        <v>1</v>
      </c>
      <c r="BG19" s="1332">
        <f>IF(BF19&gt;=0.95,6,IF(BF19&gt;0.9,2,0))</f>
        <v>6</v>
      </c>
      <c r="BH19" s="22">
        <f t="shared" si="25"/>
        <v>0</v>
      </c>
      <c r="BI19" s="373"/>
      <c r="BJ19" s="1297">
        <v>1</v>
      </c>
      <c r="BK19" s="380">
        <f>IF(BJ19&gt;=0.95,6,IF(BJ19&gt;0.9,2,0))</f>
        <v>6</v>
      </c>
      <c r="BL19" s="1297">
        <f>BL20/BL21</f>
        <v>1</v>
      </c>
      <c r="BM19" s="1332">
        <f>IF(BL19&gt;=0.95,6,IF(BL19&gt;0.9,2,0))</f>
        <v>6</v>
      </c>
      <c r="BN19" s="22">
        <f t="shared" si="26"/>
        <v>0</v>
      </c>
      <c r="BO19" s="373"/>
      <c r="BP19" s="1297">
        <v>1</v>
      </c>
      <c r="BQ19" s="380">
        <f>IF(BP19&gt;=0.95,6,IF(BP19&gt;0.9,2,0))</f>
        <v>6</v>
      </c>
      <c r="BR19" s="1297">
        <f>BR20/BR21</f>
        <v>1</v>
      </c>
      <c r="BS19" s="1332">
        <f>IF(BR19&gt;=0.95,6,IF(BR19&gt;0.9,2,0))</f>
        <v>6</v>
      </c>
      <c r="BT19" s="22">
        <f t="shared" si="27"/>
        <v>0</v>
      </c>
      <c r="BU19" s="373"/>
      <c r="BV19" s="1297">
        <v>1</v>
      </c>
      <c r="BW19" s="380">
        <f>IF(BV19&gt;=0.95,6,IF(BV19&gt;0.9,2,0))</f>
        <v>6</v>
      </c>
      <c r="BX19" s="1297">
        <f>BX20/BX21</f>
        <v>1</v>
      </c>
      <c r="BY19" s="1332">
        <f>IF(BX19&gt;=0.95,6,IF(BX19&gt;0.9,2,0))</f>
        <v>6</v>
      </c>
      <c r="BZ19" s="22">
        <f t="shared" si="28"/>
        <v>0</v>
      </c>
      <c r="CA19" s="385"/>
    </row>
    <row r="20" spans="1:79" s="374" customFormat="1">
      <c r="A20" s="1672"/>
      <c r="B20" s="1675"/>
      <c r="C20" s="360">
        <v>7.1</v>
      </c>
      <c r="D20" s="405" t="s">
        <v>2208</v>
      </c>
      <c r="E20" s="398" t="s">
        <v>1120</v>
      </c>
      <c r="F20" s="412" t="s">
        <v>1186</v>
      </c>
      <c r="G20" s="406"/>
      <c r="H20" s="404"/>
      <c r="I20" s="406"/>
      <c r="J20" s="1380">
        <f t="shared" si="17"/>
        <v>283.2</v>
      </c>
      <c r="K20" s="407"/>
      <c r="L20" s="1380">
        <f t="shared" si="18"/>
        <v>309.2</v>
      </c>
      <c r="M20" s="407"/>
      <c r="N20" s="408">
        <f t="shared" si="13"/>
        <v>0</v>
      </c>
      <c r="O20" s="380">
        <f t="shared" si="0"/>
        <v>0</v>
      </c>
      <c r="P20" s="372">
        <f t="shared" si="14"/>
        <v>0</v>
      </c>
      <c r="Q20" s="372">
        <f t="shared" si="15"/>
        <v>0</v>
      </c>
      <c r="R20" s="372">
        <f t="shared" si="16"/>
        <v>0</v>
      </c>
      <c r="S20" s="373"/>
      <c r="T20" s="360">
        <v>17</v>
      </c>
      <c r="U20" s="379"/>
      <c r="V20" s="360">
        <v>23</v>
      </c>
      <c r="W20" s="1331"/>
      <c r="X20" s="22">
        <f t="shared" si="19"/>
        <v>0.35294117647058831</v>
      </c>
      <c r="Y20" s="373"/>
      <c r="Z20" s="360">
        <v>243</v>
      </c>
      <c r="AA20" s="379"/>
      <c r="AB20" s="360">
        <v>285</v>
      </c>
      <c r="AC20" s="1331"/>
      <c r="AD20" s="22">
        <f t="shared" si="20"/>
        <v>0.17283950617283961</v>
      </c>
      <c r="AE20" s="373"/>
      <c r="AF20" s="360">
        <v>437</v>
      </c>
      <c r="AG20" s="379"/>
      <c r="AH20" s="360">
        <v>494</v>
      </c>
      <c r="AI20" s="1331"/>
      <c r="AJ20" s="22">
        <f t="shared" si="21"/>
        <v>0.13043478260869557</v>
      </c>
      <c r="AK20" s="373"/>
      <c r="AL20" s="360">
        <v>65</v>
      </c>
      <c r="AM20" s="379"/>
      <c r="AN20" s="360">
        <v>62</v>
      </c>
      <c r="AO20" s="1331"/>
      <c r="AP20" s="22">
        <f t="shared" si="22"/>
        <v>-4.6153846153846101E-2</v>
      </c>
      <c r="AQ20" s="373"/>
      <c r="AR20" s="360">
        <v>573</v>
      </c>
      <c r="AS20" s="379"/>
      <c r="AT20" s="360">
        <v>574</v>
      </c>
      <c r="AU20" s="1331"/>
      <c r="AV20" s="22">
        <f t="shared" si="23"/>
        <v>1.7452006980802626E-3</v>
      </c>
      <c r="AW20" s="373"/>
      <c r="AX20" s="360">
        <v>756</v>
      </c>
      <c r="AY20" s="379"/>
      <c r="AZ20" s="360">
        <v>785</v>
      </c>
      <c r="BA20" s="1331"/>
      <c r="BB20" s="22">
        <f t="shared" si="24"/>
        <v>3.8359788359788372E-2</v>
      </c>
      <c r="BC20" s="373"/>
      <c r="BD20" s="360">
        <v>44</v>
      </c>
      <c r="BE20" s="379"/>
      <c r="BF20" s="360">
        <v>67</v>
      </c>
      <c r="BG20" s="1331"/>
      <c r="BH20" s="22">
        <f t="shared" si="25"/>
        <v>0.52272727272727271</v>
      </c>
      <c r="BI20" s="373"/>
      <c r="BJ20" s="360">
        <v>543</v>
      </c>
      <c r="BK20" s="379"/>
      <c r="BL20" s="360">
        <v>627</v>
      </c>
      <c r="BM20" s="1331"/>
      <c r="BN20" s="22">
        <f t="shared" si="26"/>
        <v>0.15469613259668513</v>
      </c>
      <c r="BO20" s="373"/>
      <c r="BP20" s="360">
        <v>58</v>
      </c>
      <c r="BQ20" s="379"/>
      <c r="BR20" s="360">
        <v>56</v>
      </c>
      <c r="BS20" s="1331"/>
      <c r="BT20" s="22">
        <f t="shared" si="27"/>
        <v>-3.4482758620689613E-2</v>
      </c>
      <c r="BU20" s="373"/>
      <c r="BV20" s="360">
        <v>96</v>
      </c>
      <c r="BW20" s="379"/>
      <c r="BX20" s="360">
        <v>119</v>
      </c>
      <c r="BY20" s="1331"/>
      <c r="BZ20" s="22">
        <f t="shared" si="28"/>
        <v>0.23958333333333326</v>
      </c>
      <c r="CA20" s="385"/>
    </row>
    <row r="21" spans="1:79" s="374" customFormat="1">
      <c r="A21" s="1673"/>
      <c r="B21" s="1676"/>
      <c r="C21" s="360">
        <v>7.2</v>
      </c>
      <c r="D21" s="405" t="s">
        <v>2209</v>
      </c>
      <c r="E21" s="398" t="s">
        <v>1120</v>
      </c>
      <c r="F21" s="412" t="s">
        <v>1186</v>
      </c>
      <c r="G21" s="406"/>
      <c r="H21" s="404"/>
      <c r="I21" s="406"/>
      <c r="J21" s="1380">
        <f t="shared" si="17"/>
        <v>283.2</v>
      </c>
      <c r="K21" s="407"/>
      <c r="L21" s="1380">
        <f t="shared" si="18"/>
        <v>309.2</v>
      </c>
      <c r="M21" s="407"/>
      <c r="N21" s="408">
        <f t="shared" si="13"/>
        <v>0</v>
      </c>
      <c r="O21" s="380">
        <f t="shared" si="0"/>
        <v>0</v>
      </c>
      <c r="P21" s="372">
        <f t="shared" si="14"/>
        <v>0</v>
      </c>
      <c r="Q21" s="372">
        <f t="shared" si="15"/>
        <v>0</v>
      </c>
      <c r="R21" s="372">
        <f t="shared" si="16"/>
        <v>0</v>
      </c>
      <c r="S21" s="373"/>
      <c r="T21" s="360">
        <v>17</v>
      </c>
      <c r="U21" s="379"/>
      <c r="V21" s="360">
        <v>23</v>
      </c>
      <c r="W21" s="1331"/>
      <c r="X21" s="22">
        <f t="shared" si="19"/>
        <v>0.35294117647058831</v>
      </c>
      <c r="Y21" s="373"/>
      <c r="Z21" s="360">
        <v>243</v>
      </c>
      <c r="AA21" s="379"/>
      <c r="AB21" s="360">
        <v>285</v>
      </c>
      <c r="AC21" s="1331"/>
      <c r="AD21" s="22">
        <f t="shared" si="20"/>
        <v>0.17283950617283961</v>
      </c>
      <c r="AE21" s="373"/>
      <c r="AF21" s="360">
        <v>437</v>
      </c>
      <c r="AG21" s="379"/>
      <c r="AH21" s="360">
        <v>494</v>
      </c>
      <c r="AI21" s="1331"/>
      <c r="AJ21" s="22">
        <f t="shared" si="21"/>
        <v>0.13043478260869557</v>
      </c>
      <c r="AK21" s="373"/>
      <c r="AL21" s="360">
        <v>65</v>
      </c>
      <c r="AM21" s="379"/>
      <c r="AN21" s="360">
        <v>62</v>
      </c>
      <c r="AO21" s="1331"/>
      <c r="AP21" s="22">
        <f t="shared" si="22"/>
        <v>-4.6153846153846101E-2</v>
      </c>
      <c r="AQ21" s="373"/>
      <c r="AR21" s="360">
        <v>573</v>
      </c>
      <c r="AS21" s="379"/>
      <c r="AT21" s="360">
        <v>574</v>
      </c>
      <c r="AU21" s="1331"/>
      <c r="AV21" s="22">
        <f t="shared" si="23"/>
        <v>1.7452006980802626E-3</v>
      </c>
      <c r="AW21" s="373"/>
      <c r="AX21" s="360">
        <v>756</v>
      </c>
      <c r="AY21" s="379"/>
      <c r="AZ21" s="360">
        <v>785</v>
      </c>
      <c r="BA21" s="1331"/>
      <c r="BB21" s="22">
        <f t="shared" si="24"/>
        <v>3.8359788359788372E-2</v>
      </c>
      <c r="BC21" s="373"/>
      <c r="BD21" s="360">
        <v>44</v>
      </c>
      <c r="BE21" s="379"/>
      <c r="BF21" s="360">
        <v>67</v>
      </c>
      <c r="BG21" s="1331"/>
      <c r="BH21" s="22">
        <f t="shared" si="25"/>
        <v>0.52272727272727271</v>
      </c>
      <c r="BI21" s="373"/>
      <c r="BJ21" s="360">
        <v>543</v>
      </c>
      <c r="BK21" s="379"/>
      <c r="BL21" s="360">
        <v>627</v>
      </c>
      <c r="BM21" s="1331"/>
      <c r="BN21" s="22">
        <f t="shared" si="26"/>
        <v>0.15469613259668513</v>
      </c>
      <c r="BO21" s="373"/>
      <c r="BP21" s="360">
        <v>58</v>
      </c>
      <c r="BQ21" s="379"/>
      <c r="BR21" s="360">
        <v>56</v>
      </c>
      <c r="BS21" s="1331"/>
      <c r="BT21" s="22">
        <f t="shared" si="27"/>
        <v>-3.4482758620689613E-2</v>
      </c>
      <c r="BU21" s="373"/>
      <c r="BV21" s="360">
        <v>96</v>
      </c>
      <c r="BW21" s="379"/>
      <c r="BX21" s="360">
        <v>119</v>
      </c>
      <c r="BY21" s="1331"/>
      <c r="BZ21" s="22">
        <f t="shared" si="28"/>
        <v>0.23958333333333326</v>
      </c>
      <c r="CA21" s="385"/>
    </row>
    <row r="22" spans="1:79" s="374" customFormat="1">
      <c r="A22" s="1671" t="s">
        <v>1194</v>
      </c>
      <c r="B22" s="1674" t="s">
        <v>1740</v>
      </c>
      <c r="C22" s="361">
        <v>8</v>
      </c>
      <c r="D22" s="724" t="s">
        <v>1739</v>
      </c>
      <c r="E22" s="398"/>
      <c r="F22" s="406"/>
      <c r="G22" s="406" t="s">
        <v>1155</v>
      </c>
      <c r="H22" s="404" t="s">
        <v>1173</v>
      </c>
      <c r="I22" s="399">
        <v>4</v>
      </c>
      <c r="J22" s="1155">
        <f t="shared" si="17"/>
        <v>1.9348578247306489E-3</v>
      </c>
      <c r="K22" s="407">
        <f>AVERAGE(BW22,BQ22,BK22,BE22,AY22,AS22,AM22,AG22,AA22,U22)</f>
        <v>4</v>
      </c>
      <c r="L22" s="1155">
        <f t="shared" si="18"/>
        <v>1.6330966529606041E-3</v>
      </c>
      <c r="M22" s="407">
        <f>AVERAGE(BY22,BS22,BM22,BG22,BA22,AU22,AO22,AI22,AC22,W22)</f>
        <v>4</v>
      </c>
      <c r="N22" s="408">
        <f t="shared" si="13"/>
        <v>0</v>
      </c>
      <c r="O22" s="380">
        <f t="shared" si="0"/>
        <v>0</v>
      </c>
      <c r="P22" s="372">
        <f t="shared" si="14"/>
        <v>0</v>
      </c>
      <c r="Q22" s="372">
        <f t="shared" si="15"/>
        <v>0</v>
      </c>
      <c r="R22" s="372">
        <f t="shared" si="16"/>
        <v>0</v>
      </c>
      <c r="S22" s="373"/>
      <c r="T22" s="1297">
        <v>8.3573468840248083E-4</v>
      </c>
      <c r="U22" s="378">
        <f>IF(T22&lt;=0.2,4,0)</f>
        <v>4</v>
      </c>
      <c r="V22" s="1297">
        <f>V23/V24</f>
        <v>6.9601599054977336E-5</v>
      </c>
      <c r="W22" s="1330">
        <f>IF(V22&lt;=0.2,4,0)</f>
        <v>4</v>
      </c>
      <c r="X22" s="22">
        <f t="shared" si="19"/>
        <v>-0.91671806852002058</v>
      </c>
      <c r="Y22" s="373"/>
      <c r="Z22" s="1297">
        <v>8.054767327504435E-4</v>
      </c>
      <c r="AA22" s="378">
        <f>IF(Z22&lt;=0.2,4,0)</f>
        <v>4</v>
      </c>
      <c r="AB22" s="1297">
        <f>AB23/AB24</f>
        <v>5.3603998657526198E-3</v>
      </c>
      <c r="AC22" s="1330">
        <f>IF(AB22&lt;=0.2,4,0)</f>
        <v>4</v>
      </c>
      <c r="AD22" s="22">
        <f t="shared" si="20"/>
        <v>5.6549406678062342</v>
      </c>
      <c r="AE22" s="373"/>
      <c r="AF22" s="360">
        <v>2.5004695719764518E-3</v>
      </c>
      <c r="AG22" s="378">
        <f>IF(AF22&lt;=0.2,4,0)</f>
        <v>4</v>
      </c>
      <c r="AH22" s="1297">
        <f>AH23/AH24</f>
        <v>2.21869355447229E-3</v>
      </c>
      <c r="AI22" s="1330">
        <f>IF(AH22&lt;=0.2,4,0)</f>
        <v>4</v>
      </c>
      <c r="AJ22" s="22">
        <f t="shared" si="21"/>
        <v>-0.11268924071786923</v>
      </c>
      <c r="AK22" s="373"/>
      <c r="AL22" s="1297">
        <v>2.742547285187229E-3</v>
      </c>
      <c r="AM22" s="378">
        <f>IF(AL22&lt;=0.2,4,0)</f>
        <v>4</v>
      </c>
      <c r="AN22" s="1297">
        <f>AN23/AN24</f>
        <v>1.0721978091993681E-3</v>
      </c>
      <c r="AO22" s="1330">
        <f>IF(AN22&lt;=0.2,4,0)</f>
        <v>4</v>
      </c>
      <c r="AP22" s="22">
        <f t="shared" si="22"/>
        <v>-0.60905038356479202</v>
      </c>
      <c r="AQ22" s="373"/>
      <c r="AR22" s="1297">
        <v>7.7733945015656929E-4</v>
      </c>
      <c r="AS22" s="378">
        <f>IF(AR22&lt;=0.2,4,0)</f>
        <v>4</v>
      </c>
      <c r="AT22" s="1297">
        <f>AT23/AT24</f>
        <v>9.3217936007353121E-4</v>
      </c>
      <c r="AU22" s="1330">
        <f>IF(AT22&lt;=0.2,4,0)</f>
        <v>4</v>
      </c>
      <c r="AV22" s="22">
        <f t="shared" si="23"/>
        <v>0.19919214171591904</v>
      </c>
      <c r="AW22" s="373"/>
      <c r="AX22" s="1297">
        <v>2.2303725495257821E-3</v>
      </c>
      <c r="AY22" s="378">
        <f>IF(AX22&lt;=0.2,4,0)</f>
        <v>4</v>
      </c>
      <c r="AZ22" s="1297">
        <f>AZ23/AZ24</f>
        <v>1.4209813531919516E-3</v>
      </c>
      <c r="BA22" s="1330">
        <f>IF(AZ22&lt;=0.2,4,0)</f>
        <v>4</v>
      </c>
      <c r="BB22" s="22">
        <f t="shared" si="24"/>
        <v>-0.36289506724153409</v>
      </c>
      <c r="BC22" s="373"/>
      <c r="BD22" s="1297">
        <v>1.0912004511983678E-3</v>
      </c>
      <c r="BE22" s="378">
        <f>IF(BD22&lt;=0.2,4,0)</f>
        <v>4</v>
      </c>
      <c r="BF22" s="1297">
        <f>BF23/BF24</f>
        <v>9.2951945702291025E-4</v>
      </c>
      <c r="BG22" s="1330">
        <f>IF(BF22&lt;=0.2,4,0)</f>
        <v>4</v>
      </c>
      <c r="BH22" s="22">
        <f t="shared" si="25"/>
        <v>-0.14816800524403906</v>
      </c>
      <c r="BI22" s="373"/>
      <c r="BJ22" s="1297">
        <v>2.1948656776427156E-3</v>
      </c>
      <c r="BK22" s="378">
        <f>IF(BJ22&lt;=0.2,4,0)</f>
        <v>4</v>
      </c>
      <c r="BL22" s="1297">
        <f>BL23/BL24</f>
        <v>3.1350307086646626E-3</v>
      </c>
      <c r="BM22" s="1330">
        <f>IF(BL22&lt;=0.2,4,0)</f>
        <v>4</v>
      </c>
      <c r="BN22" s="22">
        <f t="shared" si="26"/>
        <v>0.42834741123278386</v>
      </c>
      <c r="BO22" s="373"/>
      <c r="BP22" s="1297">
        <v>9.230650228687074E-5</v>
      </c>
      <c r="BQ22" s="378">
        <f>IF(BP22&lt;=0.2,4,0)</f>
        <v>4</v>
      </c>
      <c r="BR22" s="1297">
        <f>BR23/BR24</f>
        <v>0</v>
      </c>
      <c r="BS22" s="1330">
        <f>IF(BR22&lt;=0.2,4,0)</f>
        <v>4</v>
      </c>
      <c r="BT22" s="22">
        <f t="shared" si="27"/>
        <v>-1</v>
      </c>
      <c r="BU22" s="373"/>
      <c r="BV22" s="1297">
        <v>6.0782653381795783E-3</v>
      </c>
      <c r="BW22" s="378">
        <f>IF(BV22&lt;=0.2,4,0)</f>
        <v>4</v>
      </c>
      <c r="BX22" s="1297">
        <f>BX23/BX24</f>
        <v>1.1923628221737323E-3</v>
      </c>
      <c r="BY22" s="1330">
        <f>IF(BX22&lt;=0.2,4,0)</f>
        <v>4</v>
      </c>
      <c r="BZ22" s="22">
        <f t="shared" si="28"/>
        <v>-0.80383172569250794</v>
      </c>
      <c r="CA22" s="385"/>
    </row>
    <row r="23" spans="1:79" s="374" customFormat="1">
      <c r="A23" s="1672"/>
      <c r="B23" s="1675"/>
      <c r="C23" s="360">
        <v>8.1</v>
      </c>
      <c r="D23" s="405" t="s">
        <v>2230</v>
      </c>
      <c r="E23" s="398" t="s">
        <v>1120</v>
      </c>
      <c r="F23" s="412" t="s">
        <v>1186</v>
      </c>
      <c r="G23" s="406"/>
      <c r="H23" s="404"/>
      <c r="I23" s="406"/>
      <c r="J23" s="1380">
        <f t="shared" si="17"/>
        <v>5283.8750000000009</v>
      </c>
      <c r="K23" s="407"/>
      <c r="L23" s="1380">
        <f t="shared" si="18"/>
        <v>7911.4719999999998</v>
      </c>
      <c r="M23" s="407"/>
      <c r="N23" s="408">
        <f t="shared" si="13"/>
        <v>0</v>
      </c>
      <c r="O23" s="380">
        <f t="shared" si="0"/>
        <v>0</v>
      </c>
      <c r="P23" s="372">
        <f t="shared" si="14"/>
        <v>0</v>
      </c>
      <c r="Q23" s="372">
        <f t="shared" si="15"/>
        <v>0</v>
      </c>
      <c r="R23" s="372">
        <f t="shared" si="16"/>
        <v>0</v>
      </c>
      <c r="S23" s="373"/>
      <c r="T23" s="360">
        <v>794.37</v>
      </c>
      <c r="U23" s="379"/>
      <c r="V23" s="360">
        <v>150</v>
      </c>
      <c r="W23" s="1331"/>
      <c r="X23" s="22">
        <f t="shared" si="19"/>
        <v>-0.81117111673401565</v>
      </c>
      <c r="Y23" s="373"/>
      <c r="Z23" s="360">
        <v>2652.05</v>
      </c>
      <c r="AA23" s="379"/>
      <c r="AB23" s="360">
        <v>24495.01</v>
      </c>
      <c r="AC23" s="1331"/>
      <c r="AD23" s="22">
        <f t="shared" si="20"/>
        <v>8.2362549725683891</v>
      </c>
      <c r="AE23" s="373"/>
      <c r="AF23" s="360">
        <v>14294.29</v>
      </c>
      <c r="AG23" s="379"/>
      <c r="AH23" s="360">
        <v>14127.69</v>
      </c>
      <c r="AI23" s="1331"/>
      <c r="AJ23" s="22">
        <f t="shared" si="21"/>
        <v>-1.1655003501398142E-2</v>
      </c>
      <c r="AK23" s="373"/>
      <c r="AL23" s="360">
        <v>1835.22</v>
      </c>
      <c r="AM23" s="379"/>
      <c r="AN23" s="360">
        <v>1614.5</v>
      </c>
      <c r="AO23" s="1331"/>
      <c r="AP23" s="22">
        <f t="shared" si="22"/>
        <v>-0.1202689595797779</v>
      </c>
      <c r="AQ23" s="373"/>
      <c r="AR23" s="360">
        <v>4229.43</v>
      </c>
      <c r="AS23" s="379"/>
      <c r="AT23" s="360">
        <v>4416.78</v>
      </c>
      <c r="AU23" s="1331"/>
      <c r="AV23" s="22">
        <f t="shared" si="23"/>
        <v>4.4296749207339836E-2</v>
      </c>
      <c r="AW23" s="373"/>
      <c r="AX23" s="360">
        <v>13411.66</v>
      </c>
      <c r="AY23" s="416"/>
      <c r="AZ23" s="360">
        <v>11503.02</v>
      </c>
      <c r="BA23" s="1336"/>
      <c r="BB23" s="22">
        <f t="shared" si="24"/>
        <v>-0.14231198822517122</v>
      </c>
      <c r="BC23" s="373"/>
      <c r="BD23" s="360">
        <v>2227.4499999999998</v>
      </c>
      <c r="BE23" s="379"/>
      <c r="BF23" s="360">
        <v>816.36</v>
      </c>
      <c r="BG23" s="1331"/>
      <c r="BH23" s="22">
        <f t="shared" si="25"/>
        <v>-0.63350019080114028</v>
      </c>
      <c r="BI23" s="373"/>
      <c r="BJ23" s="360">
        <v>9493.4599999999991</v>
      </c>
      <c r="BK23" s="379"/>
      <c r="BL23" s="360">
        <v>20658.759999999998</v>
      </c>
      <c r="BM23" s="1331"/>
      <c r="BN23" s="22">
        <f t="shared" si="26"/>
        <v>1.1761043918655578</v>
      </c>
      <c r="BO23" s="373"/>
      <c r="BP23" s="360">
        <v>44.44</v>
      </c>
      <c r="BQ23" s="379"/>
      <c r="BR23" s="360">
        <v>0</v>
      </c>
      <c r="BS23" s="1331"/>
      <c r="BT23" s="22">
        <f t="shared" si="27"/>
        <v>-1</v>
      </c>
      <c r="BU23" s="373"/>
      <c r="BV23" s="360">
        <v>3856.38</v>
      </c>
      <c r="BW23" s="379"/>
      <c r="BX23" s="360">
        <v>1332.6</v>
      </c>
      <c r="BY23" s="1331"/>
      <c r="BZ23" s="22">
        <f t="shared" si="28"/>
        <v>-0.65444276756958608</v>
      </c>
      <c r="CA23" s="385"/>
    </row>
    <row r="24" spans="1:79" s="374" customFormat="1">
      <c r="A24" s="1673"/>
      <c r="B24" s="1676"/>
      <c r="C24" s="360">
        <v>8.1999999999999993</v>
      </c>
      <c r="D24" s="405" t="s">
        <v>2231</v>
      </c>
      <c r="E24" s="398" t="s">
        <v>1120</v>
      </c>
      <c r="F24" s="412" t="s">
        <v>1186</v>
      </c>
      <c r="G24" s="406"/>
      <c r="H24" s="404"/>
      <c r="I24" s="406"/>
      <c r="J24" s="728">
        <f t="shared" si="17"/>
        <v>2956541.4210000001</v>
      </c>
      <c r="K24" s="407"/>
      <c r="L24" s="728">
        <f t="shared" si="18"/>
        <v>3666308.7509999997</v>
      </c>
      <c r="M24" s="407"/>
      <c r="N24" s="408">
        <f t="shared" si="13"/>
        <v>0</v>
      </c>
      <c r="O24" s="380">
        <f t="shared" si="0"/>
        <v>0</v>
      </c>
      <c r="P24" s="372">
        <f t="shared" si="14"/>
        <v>0</v>
      </c>
      <c r="Q24" s="372">
        <f t="shared" si="15"/>
        <v>0</v>
      </c>
      <c r="R24" s="372">
        <f t="shared" si="16"/>
        <v>0</v>
      </c>
      <c r="S24" s="373"/>
      <c r="T24" s="360">
        <v>950505</v>
      </c>
      <c r="U24" s="379"/>
      <c r="V24" s="360">
        <v>2155122.9</v>
      </c>
      <c r="W24" s="1331"/>
      <c r="X24" s="22">
        <f>IF(AND(T24=0,V24&lt;&gt;0),1,IF(AND(T24=0,V24=0),0,V24/T24-1))</f>
        <v>1.2673451481054805</v>
      </c>
      <c r="Y24" s="373"/>
      <c r="Z24" s="360">
        <v>3292522.17</v>
      </c>
      <c r="AA24" s="379"/>
      <c r="AB24" s="360">
        <v>4569623.6500000004</v>
      </c>
      <c r="AC24" s="1331"/>
      <c r="AD24" s="22">
        <f t="shared" si="20"/>
        <v>0.38787938670128996</v>
      </c>
      <c r="AE24" s="373"/>
      <c r="AF24" s="360">
        <v>5716642.25</v>
      </c>
      <c r="AG24" s="379"/>
      <c r="AH24" s="360">
        <v>6367571.5700000003</v>
      </c>
      <c r="AI24" s="1331"/>
      <c r="AJ24" s="22">
        <f t="shared" si="21"/>
        <v>0.11386567350790577</v>
      </c>
      <c r="AK24" s="373"/>
      <c r="AL24" s="360">
        <v>669166.22</v>
      </c>
      <c r="AM24" s="379"/>
      <c r="AN24" s="360">
        <v>1505785.58</v>
      </c>
      <c r="AO24" s="1331"/>
      <c r="AP24" s="22">
        <f t="shared" si="22"/>
        <v>1.2502414721412567</v>
      </c>
      <c r="AQ24" s="373"/>
      <c r="AR24" s="360">
        <v>5440904.8700000001</v>
      </c>
      <c r="AS24" s="379"/>
      <c r="AT24" s="360">
        <v>4738122.5</v>
      </c>
      <c r="AU24" s="1331"/>
      <c r="AV24" s="22">
        <f t="shared" si="23"/>
        <v>-0.1291664505797544</v>
      </c>
      <c r="AW24" s="373"/>
      <c r="AX24" s="360">
        <v>6013192.7300000004</v>
      </c>
      <c r="AY24" s="379"/>
      <c r="AZ24" s="360">
        <v>8095123.8200000003</v>
      </c>
      <c r="BA24" s="1331"/>
      <c r="BB24" s="22">
        <f t="shared" si="24"/>
        <v>0.34622723459588833</v>
      </c>
      <c r="BC24" s="373"/>
      <c r="BD24" s="360">
        <v>2041283.98</v>
      </c>
      <c r="BE24" s="379"/>
      <c r="BF24" s="360">
        <v>878260.26</v>
      </c>
      <c r="BG24" s="1331"/>
      <c r="BH24" s="22">
        <f t="shared" si="25"/>
        <v>-0.56975106422968147</v>
      </c>
      <c r="BI24" s="373"/>
      <c r="BJ24" s="360">
        <v>4325303.41</v>
      </c>
      <c r="BK24" s="379"/>
      <c r="BL24" s="360">
        <v>6589651.5599999996</v>
      </c>
      <c r="BM24" s="1331"/>
      <c r="BN24" s="22">
        <f t="shared" si="26"/>
        <v>0.52351197947521544</v>
      </c>
      <c r="BO24" s="373"/>
      <c r="BP24" s="360">
        <v>481439.54</v>
      </c>
      <c r="BQ24" s="379"/>
      <c r="BR24" s="360">
        <v>646212.82999999996</v>
      </c>
      <c r="BS24" s="1331"/>
      <c r="BT24" s="22">
        <f t="shared" si="27"/>
        <v>0.34225126170567544</v>
      </c>
      <c r="BU24" s="373"/>
      <c r="BV24" s="360">
        <v>634454.04</v>
      </c>
      <c r="BW24" s="379"/>
      <c r="BX24" s="360">
        <v>1117612.8400000001</v>
      </c>
      <c r="BY24" s="1331"/>
      <c r="BZ24" s="22">
        <f t="shared" si="28"/>
        <v>0.76153475198928522</v>
      </c>
      <c r="CA24" s="385"/>
    </row>
    <row r="25" spans="1:79" s="374" customFormat="1">
      <c r="A25" s="1686" t="s">
        <v>1196</v>
      </c>
      <c r="B25" s="1689" t="s">
        <v>2015</v>
      </c>
      <c r="C25" s="397">
        <v>9</v>
      </c>
      <c r="D25" s="410" t="s">
        <v>2223</v>
      </c>
      <c r="E25" s="398" t="s">
        <v>1120</v>
      </c>
      <c r="F25" s="402" t="s">
        <v>1128</v>
      </c>
      <c r="G25" s="406" t="s">
        <v>1155</v>
      </c>
      <c r="H25" s="1677" t="s">
        <v>1173</v>
      </c>
      <c r="I25" s="1679">
        <v>4</v>
      </c>
      <c r="J25" s="728">
        <f t="shared" si="17"/>
        <v>0</v>
      </c>
      <c r="K25" s="1680">
        <f>AVERAGE(BW25,BQ25,BK25,BE25,AY25,AS25,AM25,AG25,AA25,U25)</f>
        <v>4</v>
      </c>
      <c r="L25" s="728">
        <f t="shared" si="18"/>
        <v>0</v>
      </c>
      <c r="M25" s="1680">
        <f>AVERAGE(BY25,BS25,BM25,BG25,BA25,AU25,AO25,AI25,AC25,W25)</f>
        <v>4</v>
      </c>
      <c r="N25" s="408">
        <f t="shared" si="13"/>
        <v>0</v>
      </c>
      <c r="O25" s="380">
        <f t="shared" si="0"/>
        <v>0</v>
      </c>
      <c r="P25" s="372">
        <f t="shared" si="14"/>
        <v>0</v>
      </c>
      <c r="Q25" s="372">
        <f t="shared" si="15"/>
        <v>0</v>
      </c>
      <c r="R25" s="372">
        <f t="shared" si="16"/>
        <v>0</v>
      </c>
      <c r="S25" s="373"/>
      <c r="T25" s="360">
        <v>0</v>
      </c>
      <c r="U25" s="1669">
        <f>4-SUM(T25:T28)</f>
        <v>4</v>
      </c>
      <c r="V25" s="360">
        <v>0</v>
      </c>
      <c r="W25" s="1670">
        <f>4-SUM(V25:V28)</f>
        <v>4</v>
      </c>
      <c r="X25" s="22">
        <f t="shared" si="19"/>
        <v>0</v>
      </c>
      <c r="Y25" s="373"/>
      <c r="Z25" s="360">
        <v>0</v>
      </c>
      <c r="AA25" s="1669">
        <f>4-SUM(Z25:Z28)</f>
        <v>4</v>
      </c>
      <c r="AB25" s="360">
        <v>0</v>
      </c>
      <c r="AC25" s="1670">
        <f>4-SUM(AB25:AB28)</f>
        <v>4</v>
      </c>
      <c r="AD25" s="22">
        <f t="shared" si="20"/>
        <v>0</v>
      </c>
      <c r="AE25" s="373"/>
      <c r="AF25" s="360">
        <v>0</v>
      </c>
      <c r="AG25" s="1669">
        <f>4-SUM(AF25:AF28)</f>
        <v>4</v>
      </c>
      <c r="AH25" s="360">
        <v>0</v>
      </c>
      <c r="AI25" s="1670">
        <f>4-SUM(AH25:AH28)</f>
        <v>4</v>
      </c>
      <c r="AJ25" s="22">
        <f t="shared" si="21"/>
        <v>0</v>
      </c>
      <c r="AK25" s="373"/>
      <c r="AL25" s="360">
        <v>0</v>
      </c>
      <c r="AM25" s="1669">
        <f>4-SUM(AL25:AL28)</f>
        <v>4</v>
      </c>
      <c r="AN25" s="360">
        <v>0</v>
      </c>
      <c r="AO25" s="1670">
        <f>4-SUM(AN25:AN28)</f>
        <v>4</v>
      </c>
      <c r="AP25" s="22">
        <f t="shared" si="22"/>
        <v>0</v>
      </c>
      <c r="AQ25" s="373"/>
      <c r="AR25" s="360">
        <v>0</v>
      </c>
      <c r="AS25" s="1669">
        <f>4-SUM(AR25:AR28)</f>
        <v>4</v>
      </c>
      <c r="AT25" s="360">
        <v>0</v>
      </c>
      <c r="AU25" s="1670">
        <f>4-SUM(AT25:AT28)</f>
        <v>4</v>
      </c>
      <c r="AV25" s="22">
        <f t="shared" si="23"/>
        <v>0</v>
      </c>
      <c r="AW25" s="373"/>
      <c r="AX25" s="360">
        <v>0</v>
      </c>
      <c r="AY25" s="1669">
        <f>4-SUM(AX25:AX28)</f>
        <v>4</v>
      </c>
      <c r="AZ25" s="360">
        <v>0</v>
      </c>
      <c r="BA25" s="1670">
        <f>4-SUM(AZ25:AZ28)</f>
        <v>4</v>
      </c>
      <c r="BB25" s="22">
        <f t="shared" si="24"/>
        <v>0</v>
      </c>
      <c r="BC25" s="373"/>
      <c r="BD25" s="360">
        <v>0</v>
      </c>
      <c r="BE25" s="1669">
        <f>4-SUM(BD25:BD28)</f>
        <v>4</v>
      </c>
      <c r="BF25" s="360">
        <v>0</v>
      </c>
      <c r="BG25" s="1670">
        <f>4-SUM(BF25:BF28)</f>
        <v>4</v>
      </c>
      <c r="BH25" s="22">
        <f t="shared" si="25"/>
        <v>0</v>
      </c>
      <c r="BI25" s="373"/>
      <c r="BJ25" s="360">
        <v>0</v>
      </c>
      <c r="BK25" s="1669">
        <f>4-SUM(BJ25:BJ28)</f>
        <v>4</v>
      </c>
      <c r="BL25" s="360">
        <v>0</v>
      </c>
      <c r="BM25" s="1670">
        <f>4-SUM(BL25:BL28)</f>
        <v>4</v>
      </c>
      <c r="BN25" s="22">
        <f t="shared" si="26"/>
        <v>0</v>
      </c>
      <c r="BO25" s="373"/>
      <c r="BP25" s="360">
        <v>0</v>
      </c>
      <c r="BQ25" s="1669">
        <f>4-SUM(BP25:BP28)</f>
        <v>4</v>
      </c>
      <c r="BR25" s="360">
        <v>0</v>
      </c>
      <c r="BS25" s="1670">
        <f>4-SUM(BR25:BR28)</f>
        <v>4</v>
      </c>
      <c r="BT25" s="22">
        <f t="shared" si="27"/>
        <v>0</v>
      </c>
      <c r="BU25" s="373"/>
      <c r="BV25" s="360">
        <v>0</v>
      </c>
      <c r="BW25" s="1669">
        <f>4-SUM(BV25:BV28)</f>
        <v>4</v>
      </c>
      <c r="BX25" s="360">
        <v>0</v>
      </c>
      <c r="BY25" s="1670">
        <f>4-SUM(BX25:BX28)</f>
        <v>4</v>
      </c>
      <c r="BZ25" s="22">
        <f t="shared" si="28"/>
        <v>0</v>
      </c>
      <c r="CA25" s="385"/>
    </row>
    <row r="26" spans="1:79" s="374" customFormat="1">
      <c r="A26" s="1687"/>
      <c r="B26" s="1690"/>
      <c r="C26" s="397">
        <v>10</v>
      </c>
      <c r="D26" s="410" t="s">
        <v>2024</v>
      </c>
      <c r="E26" s="398" t="s">
        <v>1120</v>
      </c>
      <c r="F26" s="402" t="s">
        <v>1128</v>
      </c>
      <c r="G26" s="406" t="s">
        <v>1155</v>
      </c>
      <c r="H26" s="1677"/>
      <c r="I26" s="1679"/>
      <c r="J26" s="728">
        <f t="shared" si="17"/>
        <v>0</v>
      </c>
      <c r="K26" s="1681"/>
      <c r="L26" s="728">
        <f t="shared" si="18"/>
        <v>0</v>
      </c>
      <c r="M26" s="1681"/>
      <c r="N26" s="408">
        <f t="shared" si="13"/>
        <v>0</v>
      </c>
      <c r="O26" s="380">
        <f t="shared" si="0"/>
        <v>0</v>
      </c>
      <c r="P26" s="372">
        <f t="shared" si="14"/>
        <v>0</v>
      </c>
      <c r="Q26" s="372">
        <f t="shared" si="15"/>
        <v>0</v>
      </c>
      <c r="R26" s="372">
        <f t="shared" si="16"/>
        <v>0</v>
      </c>
      <c r="S26" s="373"/>
      <c r="T26" s="360">
        <v>0</v>
      </c>
      <c r="U26" s="1669"/>
      <c r="V26" s="360">
        <v>0</v>
      </c>
      <c r="W26" s="1670"/>
      <c r="X26" s="22">
        <f t="shared" si="19"/>
        <v>0</v>
      </c>
      <c r="Y26" s="373"/>
      <c r="Z26" s="360">
        <v>0</v>
      </c>
      <c r="AA26" s="1669"/>
      <c r="AB26" s="360">
        <v>0</v>
      </c>
      <c r="AC26" s="1670"/>
      <c r="AD26" s="22">
        <f t="shared" si="20"/>
        <v>0</v>
      </c>
      <c r="AE26" s="373"/>
      <c r="AF26" s="360">
        <v>0</v>
      </c>
      <c r="AG26" s="1669"/>
      <c r="AH26" s="360">
        <v>0</v>
      </c>
      <c r="AI26" s="1670"/>
      <c r="AJ26" s="22">
        <f t="shared" si="21"/>
        <v>0</v>
      </c>
      <c r="AK26" s="373"/>
      <c r="AL26" s="360">
        <v>0</v>
      </c>
      <c r="AM26" s="1669"/>
      <c r="AN26" s="360">
        <v>0</v>
      </c>
      <c r="AO26" s="1670"/>
      <c r="AP26" s="22">
        <f t="shared" si="22"/>
        <v>0</v>
      </c>
      <c r="AQ26" s="373"/>
      <c r="AR26" s="360">
        <v>0</v>
      </c>
      <c r="AS26" s="1669"/>
      <c r="AT26" s="360">
        <v>0</v>
      </c>
      <c r="AU26" s="1670"/>
      <c r="AV26" s="22">
        <f t="shared" si="23"/>
        <v>0</v>
      </c>
      <c r="AW26" s="373"/>
      <c r="AX26" s="360">
        <v>0</v>
      </c>
      <c r="AY26" s="1669"/>
      <c r="AZ26" s="360">
        <v>0</v>
      </c>
      <c r="BA26" s="1670"/>
      <c r="BB26" s="22">
        <f t="shared" si="24"/>
        <v>0</v>
      </c>
      <c r="BC26" s="373"/>
      <c r="BD26" s="360">
        <v>0</v>
      </c>
      <c r="BE26" s="1669"/>
      <c r="BF26" s="360">
        <v>0</v>
      </c>
      <c r="BG26" s="1670"/>
      <c r="BH26" s="22">
        <f t="shared" si="25"/>
        <v>0</v>
      </c>
      <c r="BI26" s="373"/>
      <c r="BJ26" s="360">
        <v>0</v>
      </c>
      <c r="BK26" s="1669"/>
      <c r="BL26" s="360">
        <v>0</v>
      </c>
      <c r="BM26" s="1670"/>
      <c r="BN26" s="22">
        <f t="shared" si="26"/>
        <v>0</v>
      </c>
      <c r="BO26" s="373"/>
      <c r="BP26" s="360">
        <v>0</v>
      </c>
      <c r="BQ26" s="1669"/>
      <c r="BR26" s="360">
        <v>0</v>
      </c>
      <c r="BS26" s="1670"/>
      <c r="BT26" s="22">
        <f t="shared" si="27"/>
        <v>0</v>
      </c>
      <c r="BU26" s="373"/>
      <c r="BV26" s="360">
        <v>0</v>
      </c>
      <c r="BW26" s="1669"/>
      <c r="BX26" s="360">
        <v>0</v>
      </c>
      <c r="BY26" s="1670"/>
      <c r="BZ26" s="22">
        <f t="shared" si="28"/>
        <v>0</v>
      </c>
      <c r="CA26" s="385"/>
    </row>
    <row r="27" spans="1:79" s="374" customFormat="1">
      <c r="A27" s="1687"/>
      <c r="B27" s="1690"/>
      <c r="C27" s="397">
        <v>11</v>
      </c>
      <c r="D27" s="410" t="s">
        <v>2224</v>
      </c>
      <c r="E27" s="398" t="s">
        <v>1120</v>
      </c>
      <c r="F27" s="402" t="s">
        <v>1128</v>
      </c>
      <c r="G27" s="406" t="s">
        <v>1155</v>
      </c>
      <c r="H27" s="1677"/>
      <c r="I27" s="1679"/>
      <c r="J27" s="728">
        <f t="shared" si="17"/>
        <v>0</v>
      </c>
      <c r="K27" s="1681"/>
      <c r="L27" s="728">
        <f t="shared" si="18"/>
        <v>0</v>
      </c>
      <c r="M27" s="1681"/>
      <c r="N27" s="408">
        <f t="shared" si="13"/>
        <v>0</v>
      </c>
      <c r="O27" s="380">
        <f t="shared" si="0"/>
        <v>0</v>
      </c>
      <c r="P27" s="372">
        <f t="shared" si="14"/>
        <v>0</v>
      </c>
      <c r="Q27" s="372">
        <f t="shared" si="15"/>
        <v>0</v>
      </c>
      <c r="R27" s="372">
        <f t="shared" si="16"/>
        <v>0</v>
      </c>
      <c r="S27" s="373"/>
      <c r="T27" s="360">
        <v>0</v>
      </c>
      <c r="U27" s="1669"/>
      <c r="V27" s="360">
        <v>0</v>
      </c>
      <c r="W27" s="1670"/>
      <c r="X27" s="22">
        <f t="shared" si="19"/>
        <v>0</v>
      </c>
      <c r="Y27" s="373"/>
      <c r="Z27" s="360">
        <v>0</v>
      </c>
      <c r="AA27" s="1669"/>
      <c r="AB27" s="360">
        <v>0</v>
      </c>
      <c r="AC27" s="1670"/>
      <c r="AD27" s="22">
        <f t="shared" si="20"/>
        <v>0</v>
      </c>
      <c r="AE27" s="373"/>
      <c r="AF27" s="360">
        <v>0</v>
      </c>
      <c r="AG27" s="1669"/>
      <c r="AH27" s="360">
        <v>0</v>
      </c>
      <c r="AI27" s="1670"/>
      <c r="AJ27" s="22">
        <f t="shared" si="21"/>
        <v>0</v>
      </c>
      <c r="AK27" s="373"/>
      <c r="AL27" s="360">
        <v>0</v>
      </c>
      <c r="AM27" s="1669"/>
      <c r="AN27" s="360">
        <v>0</v>
      </c>
      <c r="AO27" s="1670"/>
      <c r="AP27" s="22">
        <f t="shared" si="22"/>
        <v>0</v>
      </c>
      <c r="AQ27" s="373"/>
      <c r="AR27" s="360">
        <v>0</v>
      </c>
      <c r="AS27" s="1669"/>
      <c r="AT27" s="360">
        <v>0</v>
      </c>
      <c r="AU27" s="1670"/>
      <c r="AV27" s="22">
        <f t="shared" si="23"/>
        <v>0</v>
      </c>
      <c r="AW27" s="373"/>
      <c r="AX27" s="360">
        <v>0</v>
      </c>
      <c r="AY27" s="1669"/>
      <c r="AZ27" s="360">
        <v>0</v>
      </c>
      <c r="BA27" s="1670"/>
      <c r="BB27" s="22">
        <f t="shared" si="24"/>
        <v>0</v>
      </c>
      <c r="BC27" s="373"/>
      <c r="BD27" s="360">
        <v>0</v>
      </c>
      <c r="BE27" s="1669"/>
      <c r="BF27" s="360">
        <v>0</v>
      </c>
      <c r="BG27" s="1670"/>
      <c r="BH27" s="22">
        <f t="shared" si="25"/>
        <v>0</v>
      </c>
      <c r="BI27" s="373"/>
      <c r="BJ27" s="360">
        <v>0</v>
      </c>
      <c r="BK27" s="1669"/>
      <c r="BL27" s="360">
        <v>0</v>
      </c>
      <c r="BM27" s="1670"/>
      <c r="BN27" s="22">
        <f t="shared" si="26"/>
        <v>0</v>
      </c>
      <c r="BO27" s="373"/>
      <c r="BP27" s="360">
        <v>0</v>
      </c>
      <c r="BQ27" s="1669"/>
      <c r="BR27" s="360">
        <v>0</v>
      </c>
      <c r="BS27" s="1670"/>
      <c r="BT27" s="22">
        <f t="shared" si="27"/>
        <v>0</v>
      </c>
      <c r="BU27" s="373"/>
      <c r="BV27" s="360">
        <v>0</v>
      </c>
      <c r="BW27" s="1669"/>
      <c r="BX27" s="360">
        <v>0</v>
      </c>
      <c r="BY27" s="1670"/>
      <c r="BZ27" s="22">
        <f t="shared" si="28"/>
        <v>0</v>
      </c>
      <c r="CA27" s="385"/>
    </row>
    <row r="28" spans="1:79" s="374" customFormat="1">
      <c r="A28" s="1688"/>
      <c r="B28" s="1691"/>
      <c r="C28" s="397">
        <v>12</v>
      </c>
      <c r="D28" s="410" t="s">
        <v>2225</v>
      </c>
      <c r="E28" s="398" t="s">
        <v>1120</v>
      </c>
      <c r="F28" s="402" t="s">
        <v>1128</v>
      </c>
      <c r="G28" s="406" t="s">
        <v>1155</v>
      </c>
      <c r="H28" s="1677"/>
      <c r="I28" s="1679"/>
      <c r="J28" s="728">
        <f t="shared" si="17"/>
        <v>0</v>
      </c>
      <c r="K28" s="1682"/>
      <c r="L28" s="728">
        <f t="shared" si="18"/>
        <v>0</v>
      </c>
      <c r="M28" s="1682"/>
      <c r="N28" s="408">
        <f t="shared" si="13"/>
        <v>0</v>
      </c>
      <c r="O28" s="380">
        <f t="shared" si="0"/>
        <v>0</v>
      </c>
      <c r="P28" s="372">
        <f t="shared" si="14"/>
        <v>0</v>
      </c>
      <c r="Q28" s="372">
        <f t="shared" si="15"/>
        <v>0</v>
      </c>
      <c r="R28" s="372">
        <f t="shared" si="16"/>
        <v>0</v>
      </c>
      <c r="S28" s="373"/>
      <c r="T28" s="360">
        <v>0</v>
      </c>
      <c r="U28" s="1669"/>
      <c r="V28" s="360">
        <v>0</v>
      </c>
      <c r="W28" s="1670"/>
      <c r="X28" s="22">
        <f t="shared" si="19"/>
        <v>0</v>
      </c>
      <c r="Y28" s="373"/>
      <c r="Z28" s="360">
        <v>0</v>
      </c>
      <c r="AA28" s="1669"/>
      <c r="AB28" s="360">
        <v>0</v>
      </c>
      <c r="AC28" s="1670"/>
      <c r="AD28" s="22">
        <f t="shared" si="20"/>
        <v>0</v>
      </c>
      <c r="AE28" s="373"/>
      <c r="AF28" s="360">
        <v>0</v>
      </c>
      <c r="AG28" s="1669"/>
      <c r="AH28" s="360">
        <v>0</v>
      </c>
      <c r="AI28" s="1670"/>
      <c r="AJ28" s="22">
        <f t="shared" si="21"/>
        <v>0</v>
      </c>
      <c r="AK28" s="373"/>
      <c r="AL28" s="360">
        <v>0</v>
      </c>
      <c r="AM28" s="1669"/>
      <c r="AN28" s="360">
        <v>0</v>
      </c>
      <c r="AO28" s="1670"/>
      <c r="AP28" s="22">
        <f t="shared" si="22"/>
        <v>0</v>
      </c>
      <c r="AQ28" s="373"/>
      <c r="AR28" s="360">
        <v>0</v>
      </c>
      <c r="AS28" s="1669"/>
      <c r="AT28" s="360">
        <v>0</v>
      </c>
      <c r="AU28" s="1670"/>
      <c r="AV28" s="22">
        <f t="shared" si="23"/>
        <v>0</v>
      </c>
      <c r="AW28" s="373"/>
      <c r="AX28" s="360">
        <v>0</v>
      </c>
      <c r="AY28" s="1669"/>
      <c r="AZ28" s="360">
        <v>0</v>
      </c>
      <c r="BA28" s="1670"/>
      <c r="BB28" s="22">
        <f t="shared" si="24"/>
        <v>0</v>
      </c>
      <c r="BC28" s="373"/>
      <c r="BD28" s="360">
        <v>0</v>
      </c>
      <c r="BE28" s="1669"/>
      <c r="BF28" s="360">
        <v>0</v>
      </c>
      <c r="BG28" s="1670"/>
      <c r="BH28" s="22">
        <f t="shared" si="25"/>
        <v>0</v>
      </c>
      <c r="BI28" s="373"/>
      <c r="BJ28" s="360">
        <v>0</v>
      </c>
      <c r="BK28" s="1669"/>
      <c r="BL28" s="360">
        <v>0</v>
      </c>
      <c r="BM28" s="1670"/>
      <c r="BN28" s="22">
        <f t="shared" si="26"/>
        <v>0</v>
      </c>
      <c r="BO28" s="373"/>
      <c r="BP28" s="360">
        <v>0</v>
      </c>
      <c r="BQ28" s="1669"/>
      <c r="BR28" s="360">
        <v>0</v>
      </c>
      <c r="BS28" s="1670"/>
      <c r="BT28" s="22">
        <f t="shared" si="27"/>
        <v>0</v>
      </c>
      <c r="BU28" s="373"/>
      <c r="BV28" s="360">
        <v>0</v>
      </c>
      <c r="BW28" s="1669"/>
      <c r="BX28" s="360">
        <v>0</v>
      </c>
      <c r="BY28" s="1670"/>
      <c r="BZ28" s="22">
        <f t="shared" si="28"/>
        <v>0</v>
      </c>
      <c r="CA28" s="385"/>
    </row>
    <row r="29" spans="1:79" s="374" customFormat="1" ht="14.25" customHeight="1">
      <c r="A29" s="1671" t="s">
        <v>1472</v>
      </c>
      <c r="B29" s="1674" t="s">
        <v>1200</v>
      </c>
      <c r="C29" s="397">
        <v>13</v>
      </c>
      <c r="D29" s="1296" t="s">
        <v>1480</v>
      </c>
      <c r="E29" s="398" t="s">
        <v>1120</v>
      </c>
      <c r="F29" s="402" t="s">
        <v>1128</v>
      </c>
      <c r="G29" s="406" t="s">
        <v>1110</v>
      </c>
      <c r="H29" s="1694" t="s">
        <v>1173</v>
      </c>
      <c r="I29" s="1679">
        <v>20</v>
      </c>
      <c r="J29" s="728">
        <f t="shared" si="17"/>
        <v>0</v>
      </c>
      <c r="K29" s="1680">
        <f>AVERAGE(BW29,BQ29,BK29,BE29,AY29,AS29,AM29,AG29,AA29,U29)</f>
        <v>20</v>
      </c>
      <c r="L29" s="728">
        <f t="shared" si="18"/>
        <v>0</v>
      </c>
      <c r="M29" s="1680">
        <f>AVERAGE(BY29,BS29,BM29,BG29,BA29,AU29,AO29,AI29,AC29,W29)</f>
        <v>20</v>
      </c>
      <c r="N29" s="408">
        <f t="shared" si="13"/>
        <v>0</v>
      </c>
      <c r="O29" s="380">
        <f t="shared" si="0"/>
        <v>0</v>
      </c>
      <c r="P29" s="372">
        <f t="shared" si="14"/>
        <v>0</v>
      </c>
      <c r="Q29" s="372">
        <f t="shared" si="15"/>
        <v>0</v>
      </c>
      <c r="R29" s="372">
        <f t="shared" si="16"/>
        <v>0</v>
      </c>
      <c r="S29" s="373"/>
      <c r="T29" s="360">
        <v>0</v>
      </c>
      <c r="U29" s="1669">
        <f>20-T29*0.5-T30*3</f>
        <v>20</v>
      </c>
      <c r="V29" s="360">
        <v>0</v>
      </c>
      <c r="W29" s="1670">
        <f>20-V29*0.5-V30*3</f>
        <v>20</v>
      </c>
      <c r="X29" s="22">
        <f t="shared" si="19"/>
        <v>0</v>
      </c>
      <c r="Y29" s="373"/>
      <c r="Z29" s="360">
        <v>0</v>
      </c>
      <c r="AA29" s="1669">
        <f>20-Z29*0.5-Z30*3</f>
        <v>20</v>
      </c>
      <c r="AB29" s="360">
        <v>0</v>
      </c>
      <c r="AC29" s="1670">
        <f>20-AB29*0.5-AB30*3</f>
        <v>20</v>
      </c>
      <c r="AD29" s="22">
        <f t="shared" si="20"/>
        <v>0</v>
      </c>
      <c r="AE29" s="373"/>
      <c r="AF29" s="360">
        <v>0</v>
      </c>
      <c r="AG29" s="1669">
        <f>20-AF29*0.5-AF30*3</f>
        <v>20</v>
      </c>
      <c r="AH29" s="360">
        <v>0</v>
      </c>
      <c r="AI29" s="1670">
        <f>20-AH29*0.5-AH30*3</f>
        <v>20</v>
      </c>
      <c r="AJ29" s="22">
        <f t="shared" si="21"/>
        <v>0</v>
      </c>
      <c r="AK29" s="373"/>
      <c r="AL29" s="360">
        <v>0</v>
      </c>
      <c r="AM29" s="1669">
        <f>20-AL29*0.5-AL30*3</f>
        <v>20</v>
      </c>
      <c r="AN29" s="360">
        <v>0</v>
      </c>
      <c r="AO29" s="1670">
        <f>20-AN29*0.5-AN30*3</f>
        <v>20</v>
      </c>
      <c r="AP29" s="22">
        <f t="shared" si="22"/>
        <v>0</v>
      </c>
      <c r="AQ29" s="373"/>
      <c r="AR29" s="360">
        <v>0</v>
      </c>
      <c r="AS29" s="1669">
        <f>20-AR29*0.5-AR30*3</f>
        <v>20</v>
      </c>
      <c r="AT29" s="360">
        <v>0</v>
      </c>
      <c r="AU29" s="1670">
        <f>20-AT29*0.5-AT30*3</f>
        <v>20</v>
      </c>
      <c r="AV29" s="22">
        <f t="shared" si="23"/>
        <v>0</v>
      </c>
      <c r="AW29" s="373"/>
      <c r="AX29" s="360">
        <v>0</v>
      </c>
      <c r="AY29" s="1669">
        <f>20-AX29*0.5-AX30*3</f>
        <v>20</v>
      </c>
      <c r="AZ29" s="360">
        <v>0</v>
      </c>
      <c r="BA29" s="1670">
        <f>20-AZ29*0.5-AZ30*3</f>
        <v>20</v>
      </c>
      <c r="BB29" s="22">
        <f t="shared" si="24"/>
        <v>0</v>
      </c>
      <c r="BC29" s="373"/>
      <c r="BD29" s="360">
        <v>0</v>
      </c>
      <c r="BE29" s="1669">
        <f>20-BD29*0.5-BD30*3</f>
        <v>20</v>
      </c>
      <c r="BF29" s="360">
        <v>0</v>
      </c>
      <c r="BG29" s="1670">
        <f>20-BF29*0.5-BF30*3</f>
        <v>20</v>
      </c>
      <c r="BH29" s="22">
        <f t="shared" si="25"/>
        <v>0</v>
      </c>
      <c r="BI29" s="373"/>
      <c r="BJ29" s="360">
        <v>0</v>
      </c>
      <c r="BK29" s="1669">
        <f>20-BJ29*0.5-BJ30*3</f>
        <v>20</v>
      </c>
      <c r="BL29" s="360">
        <v>0</v>
      </c>
      <c r="BM29" s="1670">
        <f>20-BL29*0.5-BL30*3</f>
        <v>20</v>
      </c>
      <c r="BN29" s="22">
        <f t="shared" si="26"/>
        <v>0</v>
      </c>
      <c r="BO29" s="373"/>
      <c r="BP29" s="360">
        <v>0</v>
      </c>
      <c r="BQ29" s="1669">
        <f>20-BP29*0.5-BP30*3</f>
        <v>20</v>
      </c>
      <c r="BR29" s="360">
        <v>0</v>
      </c>
      <c r="BS29" s="1670">
        <f>20-BR29*0.5-BR30*3</f>
        <v>20</v>
      </c>
      <c r="BT29" s="22">
        <f t="shared" si="27"/>
        <v>0</v>
      </c>
      <c r="BU29" s="373"/>
      <c r="BV29" s="360">
        <v>0</v>
      </c>
      <c r="BW29" s="1669">
        <f>20-BV29*0.5-BV30*3</f>
        <v>20</v>
      </c>
      <c r="BX29" s="360">
        <v>0</v>
      </c>
      <c r="BY29" s="1670">
        <f>20-BX29*0.5-BX30*3</f>
        <v>20</v>
      </c>
      <c r="BZ29" s="22">
        <f t="shared" si="28"/>
        <v>0</v>
      </c>
      <c r="CA29" s="385"/>
    </row>
    <row r="30" spans="1:79" s="374" customFormat="1">
      <c r="A30" s="1673"/>
      <c r="B30" s="1676"/>
      <c r="C30" s="397">
        <v>14</v>
      </c>
      <c r="D30" s="410" t="s">
        <v>2226</v>
      </c>
      <c r="E30" s="398" t="s">
        <v>1120</v>
      </c>
      <c r="F30" s="402" t="s">
        <v>1128</v>
      </c>
      <c r="G30" s="406" t="s">
        <v>1110</v>
      </c>
      <c r="H30" s="1695"/>
      <c r="I30" s="1679"/>
      <c r="J30" s="728">
        <f t="shared" si="17"/>
        <v>0</v>
      </c>
      <c r="K30" s="1682"/>
      <c r="L30" s="728">
        <f t="shared" si="18"/>
        <v>0</v>
      </c>
      <c r="M30" s="1682"/>
      <c r="N30" s="408">
        <f t="shared" si="13"/>
        <v>0</v>
      </c>
      <c r="O30" s="380">
        <f t="shared" si="0"/>
        <v>0</v>
      </c>
      <c r="P30" s="372">
        <f t="shared" si="14"/>
        <v>0</v>
      </c>
      <c r="Q30" s="372">
        <f t="shared" si="15"/>
        <v>0</v>
      </c>
      <c r="R30" s="372">
        <f t="shared" si="16"/>
        <v>0</v>
      </c>
      <c r="S30" s="373"/>
      <c r="T30" s="360">
        <v>0</v>
      </c>
      <c r="U30" s="1669"/>
      <c r="V30" s="360">
        <v>0</v>
      </c>
      <c r="W30" s="1670"/>
      <c r="X30" s="22">
        <f t="shared" si="19"/>
        <v>0</v>
      </c>
      <c r="Y30" s="373"/>
      <c r="Z30" s="360">
        <v>0</v>
      </c>
      <c r="AA30" s="1669"/>
      <c r="AB30" s="360">
        <v>0</v>
      </c>
      <c r="AC30" s="1670"/>
      <c r="AD30" s="22">
        <f t="shared" si="20"/>
        <v>0</v>
      </c>
      <c r="AE30" s="373"/>
      <c r="AF30" s="360">
        <v>0</v>
      </c>
      <c r="AG30" s="1669"/>
      <c r="AH30" s="360">
        <v>0</v>
      </c>
      <c r="AI30" s="1670"/>
      <c r="AJ30" s="22">
        <f t="shared" si="21"/>
        <v>0</v>
      </c>
      <c r="AK30" s="373"/>
      <c r="AL30" s="360">
        <v>0</v>
      </c>
      <c r="AM30" s="1669"/>
      <c r="AN30" s="360">
        <v>0</v>
      </c>
      <c r="AO30" s="1670"/>
      <c r="AP30" s="22">
        <f t="shared" si="22"/>
        <v>0</v>
      </c>
      <c r="AQ30" s="373"/>
      <c r="AR30" s="360">
        <v>0</v>
      </c>
      <c r="AS30" s="1669"/>
      <c r="AT30" s="360">
        <v>0</v>
      </c>
      <c r="AU30" s="1670"/>
      <c r="AV30" s="22">
        <f t="shared" si="23"/>
        <v>0</v>
      </c>
      <c r="AW30" s="373"/>
      <c r="AX30" s="360">
        <v>0</v>
      </c>
      <c r="AY30" s="1669"/>
      <c r="AZ30" s="360">
        <v>0</v>
      </c>
      <c r="BA30" s="1670"/>
      <c r="BB30" s="22">
        <f t="shared" si="24"/>
        <v>0</v>
      </c>
      <c r="BC30" s="373"/>
      <c r="BD30" s="360">
        <v>0</v>
      </c>
      <c r="BE30" s="1669"/>
      <c r="BF30" s="360">
        <v>0</v>
      </c>
      <c r="BG30" s="1670"/>
      <c r="BH30" s="22">
        <f t="shared" si="25"/>
        <v>0</v>
      </c>
      <c r="BI30" s="373"/>
      <c r="BJ30" s="360">
        <v>0</v>
      </c>
      <c r="BK30" s="1669"/>
      <c r="BL30" s="360">
        <v>0</v>
      </c>
      <c r="BM30" s="1670"/>
      <c r="BN30" s="22">
        <f t="shared" si="26"/>
        <v>0</v>
      </c>
      <c r="BO30" s="373"/>
      <c r="BP30" s="360">
        <v>0</v>
      </c>
      <c r="BQ30" s="1669"/>
      <c r="BR30" s="360">
        <v>0</v>
      </c>
      <c r="BS30" s="1670"/>
      <c r="BT30" s="22">
        <f t="shared" si="27"/>
        <v>0</v>
      </c>
      <c r="BU30" s="373"/>
      <c r="BV30" s="360">
        <v>0</v>
      </c>
      <c r="BW30" s="1669"/>
      <c r="BX30" s="360">
        <v>0</v>
      </c>
      <c r="BY30" s="1670"/>
      <c r="BZ30" s="22">
        <f t="shared" si="28"/>
        <v>0</v>
      </c>
      <c r="CA30" s="385"/>
    </row>
    <row r="31" spans="1:79" s="374" customFormat="1">
      <c r="A31" s="1671" t="s">
        <v>1202</v>
      </c>
      <c r="B31" s="1674" t="s">
        <v>1203</v>
      </c>
      <c r="C31" s="397">
        <v>15</v>
      </c>
      <c r="D31" s="410" t="s">
        <v>1481</v>
      </c>
      <c r="E31" s="398" t="s">
        <v>1120</v>
      </c>
      <c r="F31" s="402" t="s">
        <v>1128</v>
      </c>
      <c r="G31" s="406" t="s">
        <v>1110</v>
      </c>
      <c r="H31" s="1677" t="s">
        <v>1173</v>
      </c>
      <c r="I31" s="1679">
        <v>12</v>
      </c>
      <c r="J31" s="728">
        <f t="shared" si="17"/>
        <v>0</v>
      </c>
      <c r="K31" s="1680">
        <f>AVERAGE(BW31,BQ31,BK31,BE31,AY31,AS31,AM31,AG31,AA31,U31)</f>
        <v>12</v>
      </c>
      <c r="L31" s="728">
        <f t="shared" si="18"/>
        <v>0</v>
      </c>
      <c r="M31" s="1680">
        <f>AVERAGE(BY31,BS31,BM31,BG31,BA31,AU31,AO31,AI31,AC31,W31)</f>
        <v>12</v>
      </c>
      <c r="N31" s="408">
        <f t="shared" si="13"/>
        <v>0</v>
      </c>
      <c r="O31" s="380">
        <f t="shared" si="0"/>
        <v>0</v>
      </c>
      <c r="P31" s="372">
        <f t="shared" si="14"/>
        <v>0</v>
      </c>
      <c r="Q31" s="372">
        <f t="shared" si="15"/>
        <v>0</v>
      </c>
      <c r="R31" s="372">
        <f t="shared" si="16"/>
        <v>0</v>
      </c>
      <c r="S31" s="373"/>
      <c r="T31" s="360">
        <v>0</v>
      </c>
      <c r="U31" s="1669">
        <f>12-T31*3-T32</f>
        <v>12</v>
      </c>
      <c r="V31" s="360">
        <v>0</v>
      </c>
      <c r="W31" s="1670">
        <f>12-V31*3-V32</f>
        <v>12</v>
      </c>
      <c r="X31" s="22">
        <f t="shared" si="19"/>
        <v>0</v>
      </c>
      <c r="Y31" s="373"/>
      <c r="Z31" s="360">
        <v>0</v>
      </c>
      <c r="AA31" s="1669">
        <f>12-Z31*3-Z32</f>
        <v>12</v>
      </c>
      <c r="AB31" s="360">
        <v>0</v>
      </c>
      <c r="AC31" s="1670">
        <f>12-AB31*3-AB32</f>
        <v>12</v>
      </c>
      <c r="AD31" s="22">
        <f t="shared" si="20"/>
        <v>0</v>
      </c>
      <c r="AE31" s="373"/>
      <c r="AF31" s="360">
        <v>0</v>
      </c>
      <c r="AG31" s="1669">
        <f>12-AF31*3-AF32</f>
        <v>12</v>
      </c>
      <c r="AH31" s="360">
        <v>0</v>
      </c>
      <c r="AI31" s="1670">
        <f>12-AH31*3-AH32</f>
        <v>12</v>
      </c>
      <c r="AJ31" s="22">
        <f t="shared" si="21"/>
        <v>0</v>
      </c>
      <c r="AK31" s="373"/>
      <c r="AL31" s="360">
        <v>0</v>
      </c>
      <c r="AM31" s="1669">
        <f>12-AL31*3-AL32</f>
        <v>12</v>
      </c>
      <c r="AN31" s="360">
        <v>0</v>
      </c>
      <c r="AO31" s="1670">
        <f>12-AN31*3-AN32</f>
        <v>12</v>
      </c>
      <c r="AP31" s="22">
        <f t="shared" si="22"/>
        <v>0</v>
      </c>
      <c r="AQ31" s="373"/>
      <c r="AR31" s="360">
        <v>0</v>
      </c>
      <c r="AS31" s="1669">
        <f>12-AR31*3-AR32</f>
        <v>12</v>
      </c>
      <c r="AT31" s="360">
        <v>0</v>
      </c>
      <c r="AU31" s="1670">
        <f>12-AT31*3-AT32</f>
        <v>12</v>
      </c>
      <c r="AV31" s="22">
        <f t="shared" si="23"/>
        <v>0</v>
      </c>
      <c r="AW31" s="373"/>
      <c r="AX31" s="360">
        <v>0</v>
      </c>
      <c r="AY31" s="1669">
        <f>12-AX31*3-AX32</f>
        <v>12</v>
      </c>
      <c r="AZ31" s="360">
        <v>0</v>
      </c>
      <c r="BA31" s="1670">
        <f>12-AZ31*3-AZ32</f>
        <v>12</v>
      </c>
      <c r="BB31" s="22">
        <f t="shared" si="24"/>
        <v>0</v>
      </c>
      <c r="BC31" s="373"/>
      <c r="BD31" s="360">
        <v>0</v>
      </c>
      <c r="BE31" s="1669">
        <f>12-BD31*3-BD32</f>
        <v>12</v>
      </c>
      <c r="BF31" s="360">
        <v>0</v>
      </c>
      <c r="BG31" s="1670">
        <f>12-BF31*3-BF32</f>
        <v>12</v>
      </c>
      <c r="BH31" s="22">
        <f t="shared" si="25"/>
        <v>0</v>
      </c>
      <c r="BI31" s="373"/>
      <c r="BJ31" s="360">
        <v>0</v>
      </c>
      <c r="BK31" s="1669">
        <f>12-BJ31*3-BJ32</f>
        <v>12</v>
      </c>
      <c r="BL31" s="360">
        <v>0</v>
      </c>
      <c r="BM31" s="1670">
        <f>12-BL31*3-BL32</f>
        <v>12</v>
      </c>
      <c r="BN31" s="22">
        <f t="shared" si="26"/>
        <v>0</v>
      </c>
      <c r="BO31" s="373"/>
      <c r="BP31" s="360">
        <v>0</v>
      </c>
      <c r="BQ31" s="1669">
        <f>12-BP31*3-BP32</f>
        <v>12</v>
      </c>
      <c r="BR31" s="360">
        <v>0</v>
      </c>
      <c r="BS31" s="1670">
        <f>12-BR31*3-BR32</f>
        <v>12</v>
      </c>
      <c r="BT31" s="22">
        <f t="shared" si="27"/>
        <v>0</v>
      </c>
      <c r="BU31" s="373"/>
      <c r="BV31" s="360">
        <v>0</v>
      </c>
      <c r="BW31" s="1669">
        <f>12-BV31*3-BV32</f>
        <v>12</v>
      </c>
      <c r="BX31" s="360">
        <v>0</v>
      </c>
      <c r="BY31" s="1670">
        <f>12-BX31*3-BX32</f>
        <v>12</v>
      </c>
      <c r="BZ31" s="22">
        <f t="shared" si="28"/>
        <v>0</v>
      </c>
      <c r="CA31" s="385"/>
    </row>
    <row r="32" spans="1:79" s="374" customFormat="1">
      <c r="A32" s="1673"/>
      <c r="B32" s="1676"/>
      <c r="C32" s="397">
        <v>16</v>
      </c>
      <c r="D32" s="410" t="s">
        <v>2227</v>
      </c>
      <c r="E32" s="398" t="s">
        <v>1120</v>
      </c>
      <c r="F32" s="402" t="s">
        <v>1128</v>
      </c>
      <c r="G32" s="406" t="s">
        <v>1110</v>
      </c>
      <c r="H32" s="1677"/>
      <c r="I32" s="1679"/>
      <c r="J32" s="728">
        <f t="shared" si="17"/>
        <v>0</v>
      </c>
      <c r="K32" s="1682"/>
      <c r="L32" s="728">
        <f t="shared" si="18"/>
        <v>0</v>
      </c>
      <c r="M32" s="1682"/>
      <c r="N32" s="408">
        <f t="shared" si="13"/>
        <v>0</v>
      </c>
      <c r="O32" s="380">
        <f t="shared" si="0"/>
        <v>0</v>
      </c>
      <c r="P32" s="372">
        <f t="shared" si="14"/>
        <v>0</v>
      </c>
      <c r="Q32" s="372">
        <f t="shared" si="15"/>
        <v>0</v>
      </c>
      <c r="R32" s="372">
        <f t="shared" si="16"/>
        <v>0</v>
      </c>
      <c r="S32" s="373"/>
      <c r="T32" s="360">
        <v>0</v>
      </c>
      <c r="U32" s="1669"/>
      <c r="V32" s="360">
        <v>0</v>
      </c>
      <c r="W32" s="1670"/>
      <c r="X32" s="22">
        <f t="shared" si="19"/>
        <v>0</v>
      </c>
      <c r="Y32" s="373"/>
      <c r="Z32" s="360">
        <v>0</v>
      </c>
      <c r="AA32" s="1669"/>
      <c r="AB32" s="360">
        <v>0</v>
      </c>
      <c r="AC32" s="1670"/>
      <c r="AD32" s="22">
        <f t="shared" si="20"/>
        <v>0</v>
      </c>
      <c r="AE32" s="373"/>
      <c r="AF32" s="360">
        <v>0</v>
      </c>
      <c r="AG32" s="1669"/>
      <c r="AH32" s="360">
        <v>0</v>
      </c>
      <c r="AI32" s="1670"/>
      <c r="AJ32" s="22">
        <f t="shared" si="21"/>
        <v>0</v>
      </c>
      <c r="AK32" s="373"/>
      <c r="AL32" s="360">
        <v>0</v>
      </c>
      <c r="AM32" s="1669"/>
      <c r="AN32" s="360">
        <v>0</v>
      </c>
      <c r="AO32" s="1670"/>
      <c r="AP32" s="22">
        <f t="shared" si="22"/>
        <v>0</v>
      </c>
      <c r="AQ32" s="373"/>
      <c r="AR32" s="360">
        <v>0</v>
      </c>
      <c r="AS32" s="1669"/>
      <c r="AT32" s="360">
        <v>0</v>
      </c>
      <c r="AU32" s="1670"/>
      <c r="AV32" s="22">
        <f t="shared" si="23"/>
        <v>0</v>
      </c>
      <c r="AW32" s="373"/>
      <c r="AX32" s="360">
        <v>0</v>
      </c>
      <c r="AY32" s="1669"/>
      <c r="AZ32" s="360">
        <v>0</v>
      </c>
      <c r="BA32" s="1670"/>
      <c r="BB32" s="22">
        <f t="shared" si="24"/>
        <v>0</v>
      </c>
      <c r="BC32" s="373"/>
      <c r="BD32" s="360">
        <v>0</v>
      </c>
      <c r="BE32" s="1669"/>
      <c r="BF32" s="360">
        <v>0</v>
      </c>
      <c r="BG32" s="1670"/>
      <c r="BH32" s="22">
        <f t="shared" si="25"/>
        <v>0</v>
      </c>
      <c r="BI32" s="373"/>
      <c r="BJ32" s="360">
        <v>0</v>
      </c>
      <c r="BK32" s="1669"/>
      <c r="BL32" s="360">
        <v>0</v>
      </c>
      <c r="BM32" s="1670"/>
      <c r="BN32" s="22">
        <f t="shared" si="26"/>
        <v>0</v>
      </c>
      <c r="BO32" s="373"/>
      <c r="BP32" s="360">
        <v>0</v>
      </c>
      <c r="BQ32" s="1669"/>
      <c r="BR32" s="360">
        <v>0</v>
      </c>
      <c r="BS32" s="1670"/>
      <c r="BT32" s="22">
        <f t="shared" si="27"/>
        <v>0</v>
      </c>
      <c r="BU32" s="373"/>
      <c r="BV32" s="360">
        <v>0</v>
      </c>
      <c r="BW32" s="1669"/>
      <c r="BX32" s="360">
        <v>0</v>
      </c>
      <c r="BY32" s="1670"/>
      <c r="BZ32" s="22">
        <f t="shared" si="28"/>
        <v>0</v>
      </c>
      <c r="CA32" s="385"/>
    </row>
    <row r="33" spans="1:79" s="374" customFormat="1">
      <c r="A33" s="409" t="s">
        <v>1159</v>
      </c>
      <c r="B33" s="409" t="s">
        <v>1206</v>
      </c>
      <c r="C33" s="397">
        <v>17</v>
      </c>
      <c r="D33" s="410" t="s">
        <v>2228</v>
      </c>
      <c r="E33" s="398" t="s">
        <v>1120</v>
      </c>
      <c r="F33" s="402" t="s">
        <v>1128</v>
      </c>
      <c r="G33" s="406" t="s">
        <v>1110</v>
      </c>
      <c r="H33" s="404" t="s">
        <v>1173</v>
      </c>
      <c r="I33" s="399" t="s">
        <v>1102</v>
      </c>
      <c r="J33" s="728">
        <f t="shared" si="17"/>
        <v>0</v>
      </c>
      <c r="K33" s="417"/>
      <c r="L33" s="728">
        <f t="shared" si="18"/>
        <v>0</v>
      </c>
      <c r="M33" s="417"/>
      <c r="N33" s="408">
        <f t="shared" si="13"/>
        <v>0</v>
      </c>
      <c r="O33" s="417"/>
      <c r="P33" s="417"/>
      <c r="Q33" s="417"/>
      <c r="R33" s="417"/>
      <c r="S33" s="373"/>
      <c r="T33" s="360">
        <v>0</v>
      </c>
      <c r="U33" s="380" t="s">
        <v>1161</v>
      </c>
      <c r="V33" s="360">
        <v>0</v>
      </c>
      <c r="W33" s="1332" t="s">
        <v>1161</v>
      </c>
      <c r="X33" s="22">
        <f t="shared" si="19"/>
        <v>0</v>
      </c>
      <c r="Y33" s="373"/>
      <c r="Z33" s="360">
        <v>0</v>
      </c>
      <c r="AA33" s="380" t="s">
        <v>1161</v>
      </c>
      <c r="AB33" s="360">
        <v>0</v>
      </c>
      <c r="AC33" s="1332" t="s">
        <v>1078</v>
      </c>
      <c r="AD33" s="22">
        <f t="shared" si="20"/>
        <v>0</v>
      </c>
      <c r="AE33" s="373"/>
      <c r="AF33" s="360">
        <v>0</v>
      </c>
      <c r="AG33" s="380" t="s">
        <v>1161</v>
      </c>
      <c r="AH33" s="360">
        <v>0</v>
      </c>
      <c r="AI33" s="1332" t="s">
        <v>1078</v>
      </c>
      <c r="AJ33" s="22">
        <f t="shared" si="21"/>
        <v>0</v>
      </c>
      <c r="AK33" s="373"/>
      <c r="AL33" s="360">
        <v>0</v>
      </c>
      <c r="AM33" s="380" t="s">
        <v>1161</v>
      </c>
      <c r="AN33" s="360">
        <v>0</v>
      </c>
      <c r="AO33" s="1332" t="s">
        <v>1078</v>
      </c>
      <c r="AP33" s="22">
        <f t="shared" si="22"/>
        <v>0</v>
      </c>
      <c r="AQ33" s="373"/>
      <c r="AR33" s="360">
        <v>0</v>
      </c>
      <c r="AS33" s="380" t="s">
        <v>1161</v>
      </c>
      <c r="AT33" s="360">
        <v>0</v>
      </c>
      <c r="AU33" s="1332" t="s">
        <v>1078</v>
      </c>
      <c r="AV33" s="22">
        <f t="shared" si="23"/>
        <v>0</v>
      </c>
      <c r="AW33" s="373"/>
      <c r="AX33" s="360">
        <v>0</v>
      </c>
      <c r="AY33" s="380" t="s">
        <v>1161</v>
      </c>
      <c r="AZ33" s="360">
        <v>0</v>
      </c>
      <c r="BA33" s="1332" t="s">
        <v>1078</v>
      </c>
      <c r="BB33" s="22">
        <f t="shared" si="24"/>
        <v>0</v>
      </c>
      <c r="BC33" s="373"/>
      <c r="BD33" s="360">
        <v>0</v>
      </c>
      <c r="BE33" s="380" t="s">
        <v>1161</v>
      </c>
      <c r="BF33" s="360">
        <v>0</v>
      </c>
      <c r="BG33" s="1332" t="s">
        <v>1078</v>
      </c>
      <c r="BH33" s="22">
        <f t="shared" si="25"/>
        <v>0</v>
      </c>
      <c r="BI33" s="373"/>
      <c r="BJ33" s="360">
        <v>0</v>
      </c>
      <c r="BK33" s="380" t="s">
        <v>1161</v>
      </c>
      <c r="BL33" s="360">
        <v>0</v>
      </c>
      <c r="BM33" s="1332" t="s">
        <v>1078</v>
      </c>
      <c r="BN33" s="22">
        <f t="shared" si="26"/>
        <v>0</v>
      </c>
      <c r="BO33" s="373"/>
      <c r="BP33" s="360">
        <v>0</v>
      </c>
      <c r="BQ33" s="380" t="s">
        <v>1161</v>
      </c>
      <c r="BR33" s="360">
        <v>0</v>
      </c>
      <c r="BS33" s="1332" t="s">
        <v>1078</v>
      </c>
      <c r="BT33" s="22">
        <f t="shared" si="27"/>
        <v>0</v>
      </c>
      <c r="BU33" s="373"/>
      <c r="BV33" s="360">
        <v>0</v>
      </c>
      <c r="BW33" s="380" t="s">
        <v>1161</v>
      </c>
      <c r="BX33" s="360">
        <v>0</v>
      </c>
      <c r="BY33" s="1332" t="s">
        <v>1078</v>
      </c>
      <c r="BZ33" s="22">
        <f t="shared" si="28"/>
        <v>0</v>
      </c>
      <c r="CA33" s="385"/>
    </row>
    <row r="34" spans="1:79" s="374" customFormat="1">
      <c r="A34" s="1671" t="s">
        <v>1207</v>
      </c>
      <c r="B34" s="1674" t="s">
        <v>1208</v>
      </c>
      <c r="C34" s="397">
        <v>18</v>
      </c>
      <c r="D34" s="410" t="s">
        <v>1162</v>
      </c>
      <c r="E34" s="398" t="s">
        <v>455</v>
      </c>
      <c r="F34" s="406"/>
      <c r="G34" s="1678" t="s">
        <v>1155</v>
      </c>
      <c r="H34" s="1677" t="s">
        <v>1173</v>
      </c>
      <c r="I34" s="1679">
        <v>2</v>
      </c>
      <c r="J34" s="728">
        <f t="shared" si="17"/>
        <v>0</v>
      </c>
      <c r="K34" s="1680">
        <f>AVERAGE(BW34,BQ34,BK34,BE34,AY34,AS34,AM34,AG34,AA34,U34)</f>
        <v>2</v>
      </c>
      <c r="L34" s="728">
        <f t="shared" si="18"/>
        <v>0</v>
      </c>
      <c r="M34" s="1680">
        <f>AVERAGE(BY34,BS34,BM34,BG34,BA34,AU34,AO34,AI34,AC34,W34)</f>
        <v>2</v>
      </c>
      <c r="N34" s="408">
        <f t="shared" si="13"/>
        <v>0</v>
      </c>
      <c r="O34" s="380">
        <f>I34-M34</f>
        <v>0</v>
      </c>
      <c r="P34" s="372">
        <f t="shared" si="14"/>
        <v>0</v>
      </c>
      <c r="Q34" s="372">
        <f t="shared" si="15"/>
        <v>0</v>
      </c>
      <c r="R34" s="372">
        <f t="shared" si="16"/>
        <v>0</v>
      </c>
      <c r="S34" s="373"/>
      <c r="T34" s="360">
        <v>0</v>
      </c>
      <c r="U34" s="1669">
        <f>2-T34*0.5-T35</f>
        <v>2</v>
      </c>
      <c r="V34" s="360">
        <v>0</v>
      </c>
      <c r="W34" s="1670">
        <f>2-V34*0.5-V35</f>
        <v>2</v>
      </c>
      <c r="X34" s="22">
        <f t="shared" si="19"/>
        <v>0</v>
      </c>
      <c r="Y34" s="373"/>
      <c r="Z34" s="360">
        <v>0</v>
      </c>
      <c r="AA34" s="1669">
        <f>2-Z34*0.5-Z35</f>
        <v>2</v>
      </c>
      <c r="AB34" s="360">
        <v>0</v>
      </c>
      <c r="AC34" s="1670">
        <f>2-AB34*0.5-AB35</f>
        <v>2</v>
      </c>
      <c r="AD34" s="22">
        <f t="shared" si="20"/>
        <v>0</v>
      </c>
      <c r="AE34" s="373"/>
      <c r="AF34" s="360">
        <v>0</v>
      </c>
      <c r="AG34" s="1669">
        <f>2-AF34*0.5-AF35</f>
        <v>2</v>
      </c>
      <c r="AH34" s="360">
        <v>0</v>
      </c>
      <c r="AI34" s="1670">
        <f>2-AH34*0.5-AH35</f>
        <v>2</v>
      </c>
      <c r="AJ34" s="22">
        <f t="shared" si="21"/>
        <v>0</v>
      </c>
      <c r="AK34" s="373"/>
      <c r="AL34" s="360">
        <v>0</v>
      </c>
      <c r="AM34" s="1669">
        <f>2-AL34*0.5-AL35</f>
        <v>2</v>
      </c>
      <c r="AN34" s="360">
        <v>0</v>
      </c>
      <c r="AO34" s="1670">
        <f>2-AN34*0.5-AN35</f>
        <v>2</v>
      </c>
      <c r="AP34" s="22">
        <f t="shared" si="22"/>
        <v>0</v>
      </c>
      <c r="AQ34" s="373"/>
      <c r="AR34" s="360">
        <v>0</v>
      </c>
      <c r="AS34" s="1669">
        <f>2-AR34*0.5-AR35</f>
        <v>2</v>
      </c>
      <c r="AT34" s="360">
        <v>0</v>
      </c>
      <c r="AU34" s="1670">
        <f>2-AT34*0.5-AT35</f>
        <v>2</v>
      </c>
      <c r="AV34" s="22">
        <f t="shared" si="23"/>
        <v>0</v>
      </c>
      <c r="AW34" s="373"/>
      <c r="AX34" s="360">
        <v>0</v>
      </c>
      <c r="AY34" s="1669">
        <f>2-AX34*0.5-AX35</f>
        <v>2</v>
      </c>
      <c r="AZ34" s="360">
        <v>0</v>
      </c>
      <c r="BA34" s="1670">
        <f>2-AZ34*0.5-AZ35</f>
        <v>2</v>
      </c>
      <c r="BB34" s="22">
        <f t="shared" si="24"/>
        <v>0</v>
      </c>
      <c r="BC34" s="373"/>
      <c r="BD34" s="360">
        <v>0</v>
      </c>
      <c r="BE34" s="1669">
        <f>2-BD34*0.5-BD35</f>
        <v>2</v>
      </c>
      <c r="BF34" s="360">
        <v>0</v>
      </c>
      <c r="BG34" s="1670">
        <f>2-BF34*0.5-BF35</f>
        <v>2</v>
      </c>
      <c r="BH34" s="22">
        <f t="shared" si="25"/>
        <v>0</v>
      </c>
      <c r="BI34" s="373"/>
      <c r="BJ34" s="360">
        <v>0</v>
      </c>
      <c r="BK34" s="1669">
        <f>2-BJ34*0.5-BJ35</f>
        <v>2</v>
      </c>
      <c r="BL34" s="360">
        <v>0</v>
      </c>
      <c r="BM34" s="1670">
        <f>2-BL34*0.5-BL35</f>
        <v>2</v>
      </c>
      <c r="BN34" s="22">
        <f t="shared" si="26"/>
        <v>0</v>
      </c>
      <c r="BO34" s="373"/>
      <c r="BP34" s="360">
        <v>0</v>
      </c>
      <c r="BQ34" s="1669">
        <f>2-BP34*0.5-BP35</f>
        <v>2</v>
      </c>
      <c r="BR34" s="360">
        <v>0</v>
      </c>
      <c r="BS34" s="1670">
        <f>2-BR34*0.5-BR35</f>
        <v>2</v>
      </c>
      <c r="BT34" s="22">
        <f t="shared" si="27"/>
        <v>0</v>
      </c>
      <c r="BU34" s="373"/>
      <c r="BV34" s="360">
        <v>0</v>
      </c>
      <c r="BW34" s="1669">
        <f>2-BV34*0.5-BV35</f>
        <v>2</v>
      </c>
      <c r="BX34" s="360">
        <v>0</v>
      </c>
      <c r="BY34" s="1670">
        <f>2-BX34*0.5-BX35</f>
        <v>2</v>
      </c>
      <c r="BZ34" s="22">
        <f t="shared" si="28"/>
        <v>0</v>
      </c>
      <c r="CA34" s="385"/>
    </row>
    <row r="35" spans="1:79" s="374" customFormat="1">
      <c r="A35" s="1673"/>
      <c r="B35" s="1676"/>
      <c r="C35" s="397">
        <v>19</v>
      </c>
      <c r="D35" s="410" t="s">
        <v>1164</v>
      </c>
      <c r="E35" s="398" t="s">
        <v>455</v>
      </c>
      <c r="F35" s="406"/>
      <c r="G35" s="1678"/>
      <c r="H35" s="1677"/>
      <c r="I35" s="1679"/>
      <c r="J35" s="728">
        <f t="shared" si="17"/>
        <v>0</v>
      </c>
      <c r="K35" s="1682"/>
      <c r="L35" s="728">
        <f t="shared" si="18"/>
        <v>0</v>
      </c>
      <c r="M35" s="1682"/>
      <c r="N35" s="408">
        <f t="shared" si="13"/>
        <v>0</v>
      </c>
      <c r="O35" s="380">
        <f>I35-M35</f>
        <v>0</v>
      </c>
      <c r="P35" s="372">
        <f t="shared" si="14"/>
        <v>0</v>
      </c>
      <c r="Q35" s="372">
        <f t="shared" si="15"/>
        <v>0</v>
      </c>
      <c r="R35" s="372">
        <f t="shared" si="16"/>
        <v>0</v>
      </c>
      <c r="S35" s="373"/>
      <c r="T35" s="360">
        <v>0</v>
      </c>
      <c r="U35" s="1669"/>
      <c r="V35" s="360">
        <v>0</v>
      </c>
      <c r="W35" s="1670"/>
      <c r="X35" s="22">
        <f t="shared" si="19"/>
        <v>0</v>
      </c>
      <c r="Y35" s="373"/>
      <c r="Z35" s="360">
        <v>0</v>
      </c>
      <c r="AA35" s="1669"/>
      <c r="AB35" s="360">
        <v>0</v>
      </c>
      <c r="AC35" s="1670"/>
      <c r="AD35" s="22">
        <f t="shared" si="20"/>
        <v>0</v>
      </c>
      <c r="AE35" s="373"/>
      <c r="AF35" s="360">
        <v>0</v>
      </c>
      <c r="AG35" s="1669"/>
      <c r="AH35" s="360">
        <v>0</v>
      </c>
      <c r="AI35" s="1670"/>
      <c r="AJ35" s="22">
        <f t="shared" si="21"/>
        <v>0</v>
      </c>
      <c r="AK35" s="373"/>
      <c r="AL35" s="360">
        <v>0</v>
      </c>
      <c r="AM35" s="1669"/>
      <c r="AN35" s="360">
        <v>0</v>
      </c>
      <c r="AO35" s="1670"/>
      <c r="AP35" s="22">
        <f t="shared" si="22"/>
        <v>0</v>
      </c>
      <c r="AQ35" s="373"/>
      <c r="AR35" s="360">
        <v>0</v>
      </c>
      <c r="AS35" s="1669"/>
      <c r="AT35" s="360">
        <v>0</v>
      </c>
      <c r="AU35" s="1670"/>
      <c r="AV35" s="22">
        <f t="shared" si="23"/>
        <v>0</v>
      </c>
      <c r="AW35" s="373"/>
      <c r="AX35" s="360">
        <v>0</v>
      </c>
      <c r="AY35" s="1669"/>
      <c r="AZ35" s="360">
        <v>0</v>
      </c>
      <c r="BA35" s="1670"/>
      <c r="BB35" s="22">
        <f t="shared" si="24"/>
        <v>0</v>
      </c>
      <c r="BC35" s="373"/>
      <c r="BD35" s="360">
        <v>0</v>
      </c>
      <c r="BE35" s="1669"/>
      <c r="BF35" s="360">
        <v>0</v>
      </c>
      <c r="BG35" s="1670"/>
      <c r="BH35" s="22">
        <f t="shared" si="25"/>
        <v>0</v>
      </c>
      <c r="BI35" s="373"/>
      <c r="BJ35" s="360">
        <v>0</v>
      </c>
      <c r="BK35" s="1669"/>
      <c r="BL35" s="360">
        <v>0</v>
      </c>
      <c r="BM35" s="1670"/>
      <c r="BN35" s="22">
        <f t="shared" si="26"/>
        <v>0</v>
      </c>
      <c r="BO35" s="373"/>
      <c r="BP35" s="360">
        <v>0</v>
      </c>
      <c r="BQ35" s="1669"/>
      <c r="BR35" s="360">
        <v>0</v>
      </c>
      <c r="BS35" s="1670"/>
      <c r="BT35" s="22">
        <f t="shared" si="27"/>
        <v>0</v>
      </c>
      <c r="BU35" s="373"/>
      <c r="BV35" s="360">
        <v>0</v>
      </c>
      <c r="BW35" s="1669"/>
      <c r="BX35" s="360">
        <v>0</v>
      </c>
      <c r="BY35" s="1670"/>
      <c r="BZ35" s="22">
        <f t="shared" si="28"/>
        <v>0</v>
      </c>
      <c r="CA35" s="385"/>
    </row>
    <row r="36" spans="1:79" s="374" customFormat="1">
      <c r="A36" s="411" t="s">
        <v>1210</v>
      </c>
      <c r="B36" s="411" t="s">
        <v>1211</v>
      </c>
      <c r="C36" s="397">
        <v>20</v>
      </c>
      <c r="D36" s="410" t="s">
        <v>1209</v>
      </c>
      <c r="E36" s="398" t="s">
        <v>455</v>
      </c>
      <c r="F36" s="406"/>
      <c r="G36" s="406" t="s">
        <v>399</v>
      </c>
      <c r="H36" s="404" t="s">
        <v>1173</v>
      </c>
      <c r="I36" s="399">
        <v>2</v>
      </c>
      <c r="J36" s="1380" t="s">
        <v>1212</v>
      </c>
      <c r="K36" s="407">
        <f>AVERAGE(BW36,BQ36,BK36,BE36,AY36,AS36,AM36,AG36,AA36,U36)</f>
        <v>2</v>
      </c>
      <c r="L36" s="1380" t="s">
        <v>1212</v>
      </c>
      <c r="M36" s="407">
        <f>AVERAGE(BY36,BS36,BM36,BG36,BA36,AU36,AO36,AI36,AC36,W36)</f>
        <v>2</v>
      </c>
      <c r="N36" s="408">
        <f t="shared" si="13"/>
        <v>0</v>
      </c>
      <c r="O36" s="380">
        <f>I36-M36</f>
        <v>0</v>
      </c>
      <c r="P36" s="372">
        <f t="shared" si="14"/>
        <v>0</v>
      </c>
      <c r="Q36" s="372">
        <f t="shared" si="15"/>
        <v>0</v>
      </c>
      <c r="R36" s="372">
        <f t="shared" si="16"/>
        <v>0</v>
      </c>
      <c r="S36" s="373"/>
      <c r="T36" s="360" t="s">
        <v>1212</v>
      </c>
      <c r="U36" s="380">
        <v>2</v>
      </c>
      <c r="V36" s="360" t="s">
        <v>2193</v>
      </c>
      <c r="W36" s="1332">
        <f>IF(LEFT(V36,1)="1",2,0)</f>
        <v>2</v>
      </c>
      <c r="X36" s="22">
        <f>IF((V36=T36)=TRUE,0,1)</f>
        <v>0</v>
      </c>
      <c r="Y36" s="373"/>
      <c r="Z36" s="360" t="s">
        <v>1212</v>
      </c>
      <c r="AA36" s="380">
        <v>2</v>
      </c>
      <c r="AB36" s="360" t="s">
        <v>1212</v>
      </c>
      <c r="AC36" s="1332">
        <f>IF(LEFT(AB36,1)="1",2,0)</f>
        <v>2</v>
      </c>
      <c r="AD36" s="22">
        <f>IF((AB36=Z36)=TRUE,0,1)</f>
        <v>0</v>
      </c>
      <c r="AE36" s="373"/>
      <c r="AF36" s="360" t="s">
        <v>1212</v>
      </c>
      <c r="AG36" s="380">
        <v>2</v>
      </c>
      <c r="AH36" s="360" t="s">
        <v>1212</v>
      </c>
      <c r="AI36" s="1332">
        <f>IF(LEFT(AH36,1)="1",2,0)</f>
        <v>2</v>
      </c>
      <c r="AJ36" s="22">
        <f>IF((AH36=AF36)=TRUE,0,1)</f>
        <v>0</v>
      </c>
      <c r="AK36" s="373"/>
      <c r="AL36" s="360" t="s">
        <v>1212</v>
      </c>
      <c r="AM36" s="380">
        <v>2</v>
      </c>
      <c r="AN36" s="360" t="s">
        <v>1212</v>
      </c>
      <c r="AO36" s="1332">
        <f>IF(LEFT(AN36,1)="1",2,0)</f>
        <v>2</v>
      </c>
      <c r="AP36" s="22">
        <f>IF((AN36=AL36)=TRUE,0,1)</f>
        <v>0</v>
      </c>
      <c r="AQ36" s="373"/>
      <c r="AR36" s="360" t="s">
        <v>1212</v>
      </c>
      <c r="AS36" s="380">
        <v>2</v>
      </c>
      <c r="AT36" s="360" t="s">
        <v>1212</v>
      </c>
      <c r="AU36" s="1332">
        <f>IF(LEFT(AT36,1)="1",2,0)</f>
        <v>2</v>
      </c>
      <c r="AV36" s="22">
        <f>IF((AT36=AR36)=TRUE,0,1)</f>
        <v>0</v>
      </c>
      <c r="AW36" s="373"/>
      <c r="AX36" s="360" t="s">
        <v>1212</v>
      </c>
      <c r="AY36" s="380">
        <v>2</v>
      </c>
      <c r="AZ36" s="360" t="s">
        <v>1212</v>
      </c>
      <c r="BA36" s="1332">
        <f>IF(LEFT(AZ36,1)="1",2,0)</f>
        <v>2</v>
      </c>
      <c r="BB36" s="22">
        <f>IF((AZ36=AX36)=TRUE,0,1)</f>
        <v>0</v>
      </c>
      <c r="BC36" s="373"/>
      <c r="BD36" s="360" t="s">
        <v>1212</v>
      </c>
      <c r="BE36" s="380">
        <v>2</v>
      </c>
      <c r="BF36" s="360" t="s">
        <v>1212</v>
      </c>
      <c r="BG36" s="1332">
        <f>IF(LEFT(BF36,1)="1",2,0)</f>
        <v>2</v>
      </c>
      <c r="BH36" s="22">
        <f>IF((BF36=BD36)=TRUE,0,1)</f>
        <v>0</v>
      </c>
      <c r="BI36" s="373"/>
      <c r="BJ36" s="360" t="s">
        <v>1212</v>
      </c>
      <c r="BK36" s="380">
        <v>2</v>
      </c>
      <c r="BL36" s="360" t="s">
        <v>1212</v>
      </c>
      <c r="BM36" s="1332">
        <f>IF(LEFT(BL36,1)="1",2,0)</f>
        <v>2</v>
      </c>
      <c r="BN36" s="22">
        <f>IF((BL36=BJ36)=TRUE,0,1)</f>
        <v>0</v>
      </c>
      <c r="BO36" s="373"/>
      <c r="BP36" s="360" t="s">
        <v>1212</v>
      </c>
      <c r="BQ36" s="380">
        <v>2</v>
      </c>
      <c r="BR36" s="360" t="s">
        <v>1212</v>
      </c>
      <c r="BS36" s="1332">
        <f>IF(LEFT(BR36,1)="1",2,0)</f>
        <v>2</v>
      </c>
      <c r="BT36" s="22">
        <f>IF((BR36=BP36)=TRUE,0,1)</f>
        <v>0</v>
      </c>
      <c r="BU36" s="373"/>
      <c r="BV36" s="360" t="s">
        <v>1212</v>
      </c>
      <c r="BW36" s="380">
        <v>2</v>
      </c>
      <c r="BX36" s="360" t="s">
        <v>1212</v>
      </c>
      <c r="BY36" s="1332">
        <f>IF(LEFT(BX36,1)="1",2,0)</f>
        <v>2</v>
      </c>
      <c r="BZ36" s="22">
        <f>IF((BX36=BV36)=TRUE,0,1)</f>
        <v>0</v>
      </c>
      <c r="CA36" s="385"/>
    </row>
    <row r="37" spans="1:79" s="374" customFormat="1" ht="15" customHeight="1">
      <c r="A37" s="411" t="s">
        <v>1214</v>
      </c>
      <c r="B37" s="411" t="s">
        <v>1215</v>
      </c>
      <c r="C37" s="397">
        <v>21</v>
      </c>
      <c r="D37" s="410" t="s">
        <v>1213</v>
      </c>
      <c r="E37" s="398" t="s">
        <v>455</v>
      </c>
      <c r="F37" s="406"/>
      <c r="G37" s="406" t="s">
        <v>399</v>
      </c>
      <c r="H37" s="404" t="s">
        <v>1173</v>
      </c>
      <c r="I37" s="399">
        <v>1</v>
      </c>
      <c r="J37" s="1380" t="s">
        <v>1216</v>
      </c>
      <c r="K37" s="407">
        <f>AVERAGE(BW37,BQ37,BK37,BE37,AY37,AS37,AM37,AG37,AA37,U37)</f>
        <v>1</v>
      </c>
      <c r="L37" s="1380" t="s">
        <v>1216</v>
      </c>
      <c r="M37" s="407">
        <f>AVERAGE(BY37,BS37,BM37,BG37,BA37,AU37,AO37,AI37,AC37,W37)</f>
        <v>1</v>
      </c>
      <c r="N37" s="408">
        <f t="shared" si="13"/>
        <v>0</v>
      </c>
      <c r="O37" s="380">
        <f>I37-M37</f>
        <v>0</v>
      </c>
      <c r="P37" s="372">
        <f t="shared" si="14"/>
        <v>0</v>
      </c>
      <c r="Q37" s="372">
        <f t="shared" si="15"/>
        <v>0</v>
      </c>
      <c r="R37" s="372">
        <f t="shared" si="16"/>
        <v>0</v>
      </c>
      <c r="S37" s="373"/>
      <c r="T37" s="360" t="s">
        <v>1216</v>
      </c>
      <c r="U37" s="380">
        <v>1</v>
      </c>
      <c r="V37" s="360" t="s">
        <v>2194</v>
      </c>
      <c r="W37" s="1332">
        <f>IF(LEFT(V37,1)="1",1,0)</f>
        <v>1</v>
      </c>
      <c r="X37" s="22">
        <f>IF((V37=T37)=TRUE,0,1)</f>
        <v>0</v>
      </c>
      <c r="Y37" s="373"/>
      <c r="Z37" s="360" t="s">
        <v>1216</v>
      </c>
      <c r="AA37" s="380">
        <v>1</v>
      </c>
      <c r="AB37" s="360" t="s">
        <v>1216</v>
      </c>
      <c r="AC37" s="1332">
        <f>IF(LEFT(AB37,1)="1",1,0)</f>
        <v>1</v>
      </c>
      <c r="AD37" s="22">
        <f>IF((AB37=Z37)=TRUE,0,1)</f>
        <v>0</v>
      </c>
      <c r="AE37" s="373"/>
      <c r="AF37" s="360" t="s">
        <v>1216</v>
      </c>
      <c r="AG37" s="380">
        <v>1</v>
      </c>
      <c r="AH37" s="360" t="s">
        <v>1216</v>
      </c>
      <c r="AI37" s="1332">
        <f>IF(LEFT(AH37,1)="1",1,0)</f>
        <v>1</v>
      </c>
      <c r="AJ37" s="22">
        <f>IF((AH37=AF37)=TRUE,0,1)</f>
        <v>0</v>
      </c>
      <c r="AK37" s="373"/>
      <c r="AL37" s="360" t="s">
        <v>1216</v>
      </c>
      <c r="AM37" s="380">
        <v>1</v>
      </c>
      <c r="AN37" s="360" t="s">
        <v>1216</v>
      </c>
      <c r="AO37" s="1332">
        <f>IF(LEFT(AN37,1)="1",1,0)</f>
        <v>1</v>
      </c>
      <c r="AP37" s="22">
        <f>IF((AN37=AL37)=TRUE,0,1)</f>
        <v>0</v>
      </c>
      <c r="AQ37" s="373"/>
      <c r="AR37" s="360" t="s">
        <v>1216</v>
      </c>
      <c r="AS37" s="380">
        <v>1</v>
      </c>
      <c r="AT37" s="360" t="s">
        <v>1216</v>
      </c>
      <c r="AU37" s="1332">
        <f>IF(LEFT(AT37,1)="1",1,0)</f>
        <v>1</v>
      </c>
      <c r="AV37" s="22">
        <f>IF((AT37=AR37)=TRUE,0,1)</f>
        <v>0</v>
      </c>
      <c r="AW37" s="373"/>
      <c r="AX37" s="360" t="s">
        <v>1216</v>
      </c>
      <c r="AY37" s="380">
        <v>1</v>
      </c>
      <c r="AZ37" s="360" t="s">
        <v>1216</v>
      </c>
      <c r="BA37" s="1332">
        <f>IF(LEFT(AZ37,1)="1",1,0)</f>
        <v>1</v>
      </c>
      <c r="BB37" s="22">
        <f>IF((AZ37=AX37)=TRUE,0,1)</f>
        <v>0</v>
      </c>
      <c r="BC37" s="373"/>
      <c r="BD37" s="360" t="s">
        <v>1216</v>
      </c>
      <c r="BE37" s="380">
        <v>1</v>
      </c>
      <c r="BF37" s="360" t="s">
        <v>1216</v>
      </c>
      <c r="BG37" s="1332">
        <f>IF(LEFT(BF37,1)="1",1,0)</f>
        <v>1</v>
      </c>
      <c r="BH37" s="22">
        <f>IF((BF37=BD37)=TRUE,0,1)</f>
        <v>0</v>
      </c>
      <c r="BI37" s="373"/>
      <c r="BJ37" s="360" t="s">
        <v>1216</v>
      </c>
      <c r="BK37" s="380">
        <v>1</v>
      </c>
      <c r="BL37" s="360" t="s">
        <v>1216</v>
      </c>
      <c r="BM37" s="1332">
        <f>IF(LEFT(BL37,1)="1",1,0)</f>
        <v>1</v>
      </c>
      <c r="BN37" s="22">
        <f>IF((BL37=BJ37)=TRUE,0,1)</f>
        <v>0</v>
      </c>
      <c r="BO37" s="373"/>
      <c r="BP37" s="360" t="s">
        <v>1216</v>
      </c>
      <c r="BQ37" s="380">
        <v>1</v>
      </c>
      <c r="BR37" s="360" t="s">
        <v>1216</v>
      </c>
      <c r="BS37" s="1332">
        <f>IF(LEFT(BR37,1)="1",1,0)</f>
        <v>1</v>
      </c>
      <c r="BT37" s="22">
        <f>IF((BR37=BP37)=TRUE,0,1)</f>
        <v>0</v>
      </c>
      <c r="BU37" s="373"/>
      <c r="BV37" s="360" t="s">
        <v>1216</v>
      </c>
      <c r="BW37" s="380">
        <v>1</v>
      </c>
      <c r="BX37" s="360" t="s">
        <v>1216</v>
      </c>
      <c r="BY37" s="1332">
        <f>IF(LEFT(BX37,1)="1",1,0)</f>
        <v>1</v>
      </c>
      <c r="BZ37" s="22">
        <f>IF((BX37=BV37)=TRUE,0,1)</f>
        <v>0</v>
      </c>
      <c r="CA37" s="385"/>
    </row>
    <row r="38" spans="1:79" s="374" customFormat="1">
      <c r="A38" s="1671" t="s">
        <v>1904</v>
      </c>
      <c r="B38" s="1674" t="s">
        <v>1217</v>
      </c>
      <c r="C38" s="397">
        <v>22</v>
      </c>
      <c r="D38" s="1416" t="s">
        <v>2027</v>
      </c>
      <c r="E38" s="398" t="s">
        <v>958</v>
      </c>
      <c r="F38" s="406"/>
      <c r="G38" s="1678" t="s">
        <v>402</v>
      </c>
      <c r="H38" s="1677" t="s">
        <v>1170</v>
      </c>
      <c r="I38" s="1679">
        <v>10</v>
      </c>
      <c r="J38" s="1380">
        <f>AVERAGE(BV38,BP38,BJ38,BD38,AX38,AR38,AL38,AF38,Z38,T38)</f>
        <v>343526725.40999997</v>
      </c>
      <c r="K38" s="1680">
        <f>AVERAGE(BW38,BQ38,BK38,BE38,AY38,AS38,AM38,AG38,AA38,U38)</f>
        <v>10</v>
      </c>
      <c r="L38" s="1380">
        <f>AVERAGE(BX38,BR38,BL38,BF38,AZ38,AT38,AN38,AH38,AB38,V38)</f>
        <v>359015069.08300006</v>
      </c>
      <c r="M38" s="1680">
        <f>AVERAGE(BY38,BS38,BM38,BG38,BA38,AU38,AO38,AI38,AC38,W38)</f>
        <v>10</v>
      </c>
      <c r="N38" s="1696">
        <f t="shared" si="13"/>
        <v>0</v>
      </c>
      <c r="O38" s="1702">
        <f>I38-M38</f>
        <v>0</v>
      </c>
      <c r="P38" s="372">
        <f t="shared" si="14"/>
        <v>0</v>
      </c>
      <c r="Q38" s="372">
        <f t="shared" si="15"/>
        <v>0</v>
      </c>
      <c r="R38" s="372">
        <f t="shared" si="16"/>
        <v>0</v>
      </c>
      <c r="S38" s="373"/>
      <c r="T38" s="360">
        <v>199634881.32999998</v>
      </c>
      <c r="U38" s="1669">
        <f>IF(T29+T30+T31=0,10,"行业水平评分")</f>
        <v>10</v>
      </c>
      <c r="V38" s="360">
        <v>219161691.91999999</v>
      </c>
      <c r="W38" s="1670">
        <f>IF(V29+V30+V31=0,10,"行业水平评分")</f>
        <v>10</v>
      </c>
      <c r="X38" s="22">
        <f>IF(AND(T38=0,V38&lt;&gt;0),1,IF(AND(T38=0,V38=0),0,V38/T38-1))</f>
        <v>9.7812619016823144E-2</v>
      </c>
      <c r="Y38" s="373"/>
      <c r="Z38" s="360">
        <v>766967121.24000001</v>
      </c>
      <c r="AA38" s="1669">
        <f>IF(Z29+Z30+Z31=0,10,"行业水平评分")</f>
        <v>10</v>
      </c>
      <c r="AB38" s="360">
        <v>803965379.51999998</v>
      </c>
      <c r="AC38" s="1670">
        <f>IF(AB29+AB30+AB31=0,10,"行业水平评分")</f>
        <v>10</v>
      </c>
      <c r="AD38" s="22">
        <f>IF(AND(Z38=0,AB38&lt;&gt;0),1,IF(AND(Z38=0,AB38=0),0,AB38/Z38-1))</f>
        <v>4.8239692752647167E-2</v>
      </c>
      <c r="AE38" s="373"/>
      <c r="AF38" s="418">
        <v>543573174.1400001</v>
      </c>
      <c r="AG38" s="1669">
        <f>IF(AF29+AF30+AF31=0,10,"行业水平评分")</f>
        <v>10</v>
      </c>
      <c r="AH38" s="360">
        <v>553478053.49000013</v>
      </c>
      <c r="AI38" s="1670">
        <f>IF(AH29+AH30+AH31=0,10,"行业水平评分")</f>
        <v>10</v>
      </c>
      <c r="AJ38" s="22">
        <f>IF(AND(AF38=0,AH38&lt;&gt;0),1,IF(AND(AF38=0,AH38=0),0,AH38/AF38-1))</f>
        <v>1.822179574198235E-2</v>
      </c>
      <c r="AK38" s="373"/>
      <c r="AL38" s="360">
        <v>250873009.13</v>
      </c>
      <c r="AM38" s="1669">
        <f>IF(AL29+AL30+AL31=0,10,"行业水平评分")</f>
        <v>10</v>
      </c>
      <c r="AN38" s="360">
        <v>268983251.95999998</v>
      </c>
      <c r="AO38" s="1670">
        <f>IF(AN29+AN30+AN31=0,10,"行业水平评分")</f>
        <v>10</v>
      </c>
      <c r="AP38" s="22">
        <f>IF(AND(AL38=0,AN38&lt;&gt;0),1,IF(AND(AL38=0,AN38=0),0,AN38/AL38-1))</f>
        <v>7.2188885096903466E-2</v>
      </c>
      <c r="AQ38" s="373"/>
      <c r="AR38" s="360">
        <v>474163028.04999995</v>
      </c>
      <c r="AS38" s="1669">
        <f>IF(AR29+AR30+AR31=0,10,"行业水平评分")</f>
        <v>10</v>
      </c>
      <c r="AT38" s="360">
        <v>498430654.99000007</v>
      </c>
      <c r="AU38" s="1670">
        <f>IF(AT29+AT30+AT31=0,10,"行业水平评分")</f>
        <v>10</v>
      </c>
      <c r="AV38" s="22">
        <f>IF(AND(AR38=0,AT38&lt;&gt;0),1,IF(AND(AR38=0,AT38=0),0,AT38/AR38-1))</f>
        <v>5.1179922314485315E-2</v>
      </c>
      <c r="AW38" s="373"/>
      <c r="AX38" s="360">
        <v>494301910.06</v>
      </c>
      <c r="AY38" s="1669">
        <f>IF(AX29+AX30+AX31=0,10,"行业水平评分")</f>
        <v>10</v>
      </c>
      <c r="AZ38" s="360">
        <v>510216980.48000002</v>
      </c>
      <c r="BA38" s="1670">
        <f>IF(AZ29+AZ30+AZ31=0,10,"行业水平评分")</f>
        <v>10</v>
      </c>
      <c r="BB38" s="22">
        <f>IF(AND(AX38=0,AZ38&lt;&gt;0),1,IF(AND(AX38=0,AZ38=0),0,AZ38/AX38-1))</f>
        <v>3.2197064377251117E-2</v>
      </c>
      <c r="BC38" s="373"/>
      <c r="BD38" s="360">
        <v>84852447.370000005</v>
      </c>
      <c r="BE38" s="1669">
        <f>IF(BD29+BD30+BD31=0,10,"行业水平评分")</f>
        <v>10</v>
      </c>
      <c r="BF38" s="360">
        <v>86955164.340000004</v>
      </c>
      <c r="BG38" s="1670">
        <f>IF(BF29+BF30+BF31=0,10,"行业水平评分")</f>
        <v>10</v>
      </c>
      <c r="BH38" s="22">
        <f>IF(AND(BD38=0,BF38&lt;&gt;0),1,IF(AND(BD38=0,BF38=0),0,BF38/BD38-1))</f>
        <v>2.4780864137378122E-2</v>
      </c>
      <c r="BI38" s="373"/>
      <c r="BJ38" s="360">
        <v>400269556.49000001</v>
      </c>
      <c r="BK38" s="1669">
        <f>IF(BJ29+BJ30+BJ31=0,10,"行业水平评分")</f>
        <v>10</v>
      </c>
      <c r="BL38" s="360">
        <v>416219170.48000002</v>
      </c>
      <c r="BM38" s="1670">
        <f>IF(BL29+BL30+BL31=0,10,"行业水平评分")</f>
        <v>10</v>
      </c>
      <c r="BN38" s="22">
        <f>IF(AND(BJ38=0,BL38&lt;&gt;0),1,IF(AND(BJ38=0,BL38=0),0,BL38/BJ38-1))</f>
        <v>3.9847182308501372E-2</v>
      </c>
      <c r="BO38" s="373"/>
      <c r="BP38" s="360">
        <v>93143246.709999993</v>
      </c>
      <c r="BQ38" s="1669">
        <f>IF(BP29+BP30+BP31=0,10,"行业水平评分")</f>
        <v>10</v>
      </c>
      <c r="BR38" s="360">
        <v>97065923.040000007</v>
      </c>
      <c r="BS38" s="1670">
        <f>IF(BR29+BR30+BR31=0,10,"行业水平评分")</f>
        <v>10</v>
      </c>
      <c r="BT38" s="22">
        <f>IF(AND(BP38=0,BR38&lt;&gt;0),1,IF(AND(BP38=0,BR38=0),0,BR38/BP38-1))</f>
        <v>4.211444703246392E-2</v>
      </c>
      <c r="BU38" s="373"/>
      <c r="BV38" s="360">
        <v>127488879.58</v>
      </c>
      <c r="BW38" s="1669">
        <f>IF(BV29+BV30+BV31=0,10,"行业水平评分")</f>
        <v>10</v>
      </c>
      <c r="BX38" s="360">
        <v>135674420.60999998</v>
      </c>
      <c r="BY38" s="1670">
        <f>IF(BX29+BX30+BX31=0,10,"行业水平评分")</f>
        <v>10</v>
      </c>
      <c r="BZ38" s="22">
        <f>IF(AND(BV38=0,BX38&lt;&gt;0),1,IF(AND(BV38=0,BX38=0),0,BX38/BV38-1))</f>
        <v>6.4205921778954123E-2</v>
      </c>
      <c r="CA38" s="385"/>
    </row>
    <row r="39" spans="1:79" s="374" customFormat="1">
      <c r="A39" s="1672"/>
      <c r="B39" s="1675"/>
      <c r="C39" s="397">
        <v>23</v>
      </c>
      <c r="D39" s="1416" t="s">
        <v>2026</v>
      </c>
      <c r="E39" s="398" t="s">
        <v>958</v>
      </c>
      <c r="F39" s="406"/>
      <c r="G39" s="1678"/>
      <c r="H39" s="1677"/>
      <c r="I39" s="1679"/>
      <c r="J39" s="1380">
        <f>AVERAGE(BV39,BP39,BJ39,BD39,AX39,AR39,AL39,AF39,Z39,T39)</f>
        <v>16621630.463</v>
      </c>
      <c r="K39" s="1681"/>
      <c r="L39" s="1380">
        <f>AVERAGE(BX39,BR39,BL39,BF39,AZ39,AT39,AN39,AH39,AB39,V39)</f>
        <v>15842242.294</v>
      </c>
      <c r="M39" s="1681"/>
      <c r="N39" s="1697"/>
      <c r="O39" s="1703"/>
      <c r="P39" s="372">
        <f t="shared" si="14"/>
        <v>0</v>
      </c>
      <c r="Q39" s="372">
        <f t="shared" si="15"/>
        <v>0</v>
      </c>
      <c r="R39" s="372">
        <f t="shared" si="16"/>
        <v>0</v>
      </c>
      <c r="S39" s="373"/>
      <c r="T39" s="360">
        <v>5289900</v>
      </c>
      <c r="U39" s="1669"/>
      <c r="V39" s="360">
        <v>5024700</v>
      </c>
      <c r="W39" s="1670"/>
      <c r="X39" s="22">
        <f>IF(AND(T39=0,V39&lt;&gt;0),1,IF(AND(T39=0,V39=0),0,V39/T39-1))</f>
        <v>-5.0133272840696463E-2</v>
      </c>
      <c r="Y39" s="373"/>
      <c r="Z39" s="360">
        <v>32604399.18</v>
      </c>
      <c r="AA39" s="1669"/>
      <c r="AB39" s="360">
        <v>29273930.940000001</v>
      </c>
      <c r="AC39" s="1670"/>
      <c r="AD39" s="22">
        <f>IF(AND(Z39=0,AB39&lt;&gt;0),1,IF(AND(Z39=0,AB39=0),0,AB39/Z39-1))</f>
        <v>-0.10214781820126151</v>
      </c>
      <c r="AE39" s="373"/>
      <c r="AF39" s="418">
        <v>29940200</v>
      </c>
      <c r="AG39" s="1669"/>
      <c r="AH39" s="360">
        <v>29287800</v>
      </c>
      <c r="AI39" s="1670"/>
      <c r="AJ39" s="22">
        <f>IF(AND(AF39=0,AH39&lt;&gt;0),1,IF(AND(AF39=0,AH39=0),0,AH39/AF39-1))</f>
        <v>-2.1790101602527701E-2</v>
      </c>
      <c r="AK39" s="373"/>
      <c r="AL39" s="360">
        <v>23000</v>
      </c>
      <c r="AM39" s="1669"/>
      <c r="AN39" s="360">
        <v>20000</v>
      </c>
      <c r="AO39" s="1670"/>
      <c r="AP39" s="22">
        <f>IF(AND(AL39=0,AN39&lt;&gt;0),1,IF(AND(AL39=0,AN39=0),0,AN39/AL39-1))</f>
        <v>-0.13043478260869568</v>
      </c>
      <c r="AQ39" s="373"/>
      <c r="AR39" s="360">
        <v>64398275.450000003</v>
      </c>
      <c r="AS39" s="1669"/>
      <c r="AT39" s="360">
        <v>60377401</v>
      </c>
      <c r="AU39" s="1670"/>
      <c r="AV39" s="22">
        <f>IF(AND(AR39=0,AT39&lt;&gt;0),1,IF(AND(AR39=0,AT39=0),0,AT39/AR39-1))</f>
        <v>-6.243761066430864E-2</v>
      </c>
      <c r="AW39" s="373"/>
      <c r="AX39" s="360">
        <v>15565200</v>
      </c>
      <c r="AY39" s="1669"/>
      <c r="AZ39" s="360">
        <v>16492600</v>
      </c>
      <c r="BA39" s="1670"/>
      <c r="BB39" s="22">
        <f>IF(AND(AX39=0,AZ39&lt;&gt;0),1,IF(AND(AX39=0,AZ39=0),0,AZ39/AX39-1))</f>
        <v>5.9581630817464593E-2</v>
      </c>
      <c r="BC39" s="373"/>
      <c r="BD39" s="360">
        <v>6274930</v>
      </c>
      <c r="BE39" s="1669"/>
      <c r="BF39" s="360">
        <v>6113730</v>
      </c>
      <c r="BG39" s="1670"/>
      <c r="BH39" s="22">
        <f>IF(AND(BD39=0,BF39&lt;&gt;0),1,IF(AND(BD39=0,BF39=0),0,BF39/BD39-1))</f>
        <v>-2.5689529604314365E-2</v>
      </c>
      <c r="BI39" s="373"/>
      <c r="BJ39" s="360">
        <v>2927400</v>
      </c>
      <c r="BK39" s="1669"/>
      <c r="BL39" s="360">
        <v>2813500</v>
      </c>
      <c r="BM39" s="1670"/>
      <c r="BN39" s="22">
        <f>IF(AND(BJ39=0,BL39&lt;&gt;0),1,IF(AND(BJ39=0,BL39=0),0,BL39/BJ39-1))</f>
        <v>-3.8908246225319409E-2</v>
      </c>
      <c r="BO39" s="373"/>
      <c r="BP39" s="360">
        <v>86900</v>
      </c>
      <c r="BQ39" s="1669"/>
      <c r="BR39" s="360">
        <v>321661</v>
      </c>
      <c r="BS39" s="1670"/>
      <c r="BT39" s="22">
        <f>IF(AND(BP39=0,BR39&lt;&gt;0),1,IF(AND(BP39=0,BR39=0),0,BR39/BP39-1))</f>
        <v>2.7015074798619101</v>
      </c>
      <c r="BU39" s="373"/>
      <c r="BV39" s="360">
        <v>9106100</v>
      </c>
      <c r="BW39" s="1669"/>
      <c r="BX39" s="360">
        <v>8697100</v>
      </c>
      <c r="BY39" s="1670"/>
      <c r="BZ39" s="22">
        <f>IF(AND(BV39=0,BX39&lt;&gt;0),1,IF(AND(BV39=0,BX39=0),0,BX39/BV39-1))</f>
        <v>-4.4914947123356863E-2</v>
      </c>
      <c r="CA39" s="385"/>
    </row>
    <row r="40" spans="1:79" s="374" customFormat="1">
      <c r="A40" s="1673"/>
      <c r="B40" s="1676"/>
      <c r="C40" s="397">
        <v>24</v>
      </c>
      <c r="D40" s="1416" t="s">
        <v>2025</v>
      </c>
      <c r="E40" s="398" t="s">
        <v>958</v>
      </c>
      <c r="F40" s="406"/>
      <c r="G40" s="1678"/>
      <c r="H40" s="1677"/>
      <c r="I40" s="1679"/>
      <c r="J40" s="1380">
        <f>AVERAGE(BV40,BP40,BJ40,BD40,AX40,AR40,AL40,AF40,Z40,T40)</f>
        <v>191495.12000000002</v>
      </c>
      <c r="K40" s="1682"/>
      <c r="L40" s="1380">
        <f>AVERAGE(BX40,BR40,BL40,BF40,AZ40,AT40,AN40,AH40,AB40,V40)</f>
        <v>177428.05</v>
      </c>
      <c r="M40" s="1682"/>
      <c r="N40" s="1698"/>
      <c r="O40" s="1704"/>
      <c r="P40" s="372">
        <f t="shared" si="14"/>
        <v>0</v>
      </c>
      <c r="Q40" s="372">
        <f t="shared" si="15"/>
        <v>0</v>
      </c>
      <c r="R40" s="372">
        <f t="shared" si="16"/>
        <v>0</v>
      </c>
      <c r="S40" s="373"/>
      <c r="T40" s="360">
        <v>0</v>
      </c>
      <c r="U40" s="1669"/>
      <c r="V40" s="360">
        <v>0</v>
      </c>
      <c r="W40" s="1670"/>
      <c r="X40" s="22">
        <f>IF(AND(T40=0,V40&lt;&gt;0),1,IF(AND(T40=0,V40=0),0,V40/T40-1))</f>
        <v>0</v>
      </c>
      <c r="Y40" s="373"/>
      <c r="Z40" s="360">
        <v>314313.40000000002</v>
      </c>
      <c r="AA40" s="1669"/>
      <c r="AB40" s="360">
        <v>264700.5</v>
      </c>
      <c r="AC40" s="1670"/>
      <c r="AD40" s="22">
        <f>IF(AND(Z40=0,AB40&lt;&gt;0),1,IF(AND(Z40=0,AB40=0),0,AB40/Z40-1))</f>
        <v>-0.15784532253476946</v>
      </c>
      <c r="AE40" s="373"/>
      <c r="AF40" s="418">
        <v>622917.60000000009</v>
      </c>
      <c r="AG40" s="1669"/>
      <c r="AH40" s="360">
        <v>619131.6</v>
      </c>
      <c r="AI40" s="1670"/>
      <c r="AJ40" s="22">
        <f>IF(AND(AF40=0,AH40&lt;&gt;0),1,IF(AND(AF40=0,AH40=0),0,AH40/AF40-1))</f>
        <v>-6.0778504251607357E-3</v>
      </c>
      <c r="AK40" s="373"/>
      <c r="AL40" s="360">
        <v>11066.1</v>
      </c>
      <c r="AM40" s="1669"/>
      <c r="AN40" s="360">
        <v>11066.1</v>
      </c>
      <c r="AO40" s="1670"/>
      <c r="AP40" s="22">
        <f>IF(AND(AL40=0,AN40&lt;&gt;0),1,IF(AND(AL40=0,AN40=0),0,AN40/AL40-1))</f>
        <v>0</v>
      </c>
      <c r="AQ40" s="373"/>
      <c r="AR40" s="360">
        <v>238435.3</v>
      </c>
      <c r="AS40" s="1669"/>
      <c r="AT40" s="360">
        <v>227487.9</v>
      </c>
      <c r="AU40" s="1670"/>
      <c r="AV40" s="22">
        <f>IF(AND(AR40=0,AT40&lt;&gt;0),1,IF(AND(AR40=0,AT40=0),0,AT40/AR40-1))</f>
        <v>-4.5913503579377735E-2</v>
      </c>
      <c r="AW40" s="373"/>
      <c r="AX40" s="360">
        <v>223677.8</v>
      </c>
      <c r="AY40" s="1669"/>
      <c r="AZ40" s="360">
        <v>217848.19999999998</v>
      </c>
      <c r="BA40" s="1670"/>
      <c r="BB40" s="22">
        <f>IF(AND(AX40=0,AZ40&lt;&gt;0),1,IF(AND(AX40=0,AZ40=0),0,AZ40/AX40-1))</f>
        <v>-2.606248809671774E-2</v>
      </c>
      <c r="BC40" s="373"/>
      <c r="BD40" s="360">
        <v>1025.3</v>
      </c>
      <c r="BE40" s="1669"/>
      <c r="BF40" s="360">
        <v>1025.3</v>
      </c>
      <c r="BG40" s="1670"/>
      <c r="BH40" s="22">
        <f>IF(AND(BD40=0,BF40&lt;&gt;0),1,IF(AND(BD40=0,BF40=0),0,BF40/BD40-1))</f>
        <v>0</v>
      </c>
      <c r="BI40" s="373"/>
      <c r="BJ40" s="360">
        <v>211259.2</v>
      </c>
      <c r="BK40" s="1669"/>
      <c r="BL40" s="360">
        <v>208138.5</v>
      </c>
      <c r="BM40" s="1670"/>
      <c r="BN40" s="22">
        <f>IF(AND(BJ40=0,BL40&lt;&gt;0),1,IF(AND(BJ40=0,BL40=0),0,BL40/BJ40-1))</f>
        <v>-1.4771901058036829E-2</v>
      </c>
      <c r="BO40" s="373"/>
      <c r="BP40" s="360">
        <v>290238.5</v>
      </c>
      <c r="BQ40" s="1669"/>
      <c r="BR40" s="360">
        <v>222864.40000000002</v>
      </c>
      <c r="BS40" s="1670"/>
      <c r="BT40" s="22">
        <f>IF(AND(BP40=0,BR40&lt;&gt;0),1,IF(AND(BP40=0,BR40=0),0,BR40/BP40-1))</f>
        <v>-0.23213357290642</v>
      </c>
      <c r="BU40" s="373"/>
      <c r="BV40" s="360">
        <v>2018</v>
      </c>
      <c r="BW40" s="1669"/>
      <c r="BX40" s="360">
        <v>2018</v>
      </c>
      <c r="BY40" s="1670"/>
      <c r="BZ40" s="22">
        <f>IF(AND(BV40=0,BX40&lt;&gt;0),1,IF(AND(BV40=0,BX40=0),0,BX40/BV40-1))</f>
        <v>0</v>
      </c>
      <c r="CA40" s="385"/>
    </row>
    <row r="41" spans="1:79" s="431" customFormat="1" ht="15">
      <c r="A41" s="419"/>
      <c r="B41" s="420"/>
      <c r="C41" s="421"/>
      <c r="D41" s="422" t="s">
        <v>225</v>
      </c>
      <c r="E41" s="423"/>
      <c r="F41" s="424"/>
      <c r="G41" s="424"/>
      <c r="H41" s="410"/>
      <c r="I41" s="425">
        <v>90</v>
      </c>
      <c r="J41" s="677"/>
      <c r="K41" s="407"/>
      <c r="L41" s="677"/>
      <c r="M41" s="426">
        <f>SUM(M4:M40)</f>
        <v>80</v>
      </c>
      <c r="N41" s="427"/>
      <c r="O41" s="428">
        <f>SUM(O4:O40)</f>
        <v>10</v>
      </c>
      <c r="P41" s="429">
        <f t="shared" si="14"/>
        <v>7</v>
      </c>
      <c r="Q41" s="429">
        <f t="shared" si="15"/>
        <v>0.77777777777777779</v>
      </c>
      <c r="R41" s="429">
        <f t="shared" si="16"/>
        <v>0.3888888888888889</v>
      </c>
      <c r="S41" s="373"/>
      <c r="T41" s="361"/>
      <c r="U41" s="424">
        <f>SUM(U4:U40)</f>
        <v>82</v>
      </c>
      <c r="V41" s="410"/>
      <c r="W41" s="1333">
        <f>SUM(W4:W40)</f>
        <v>82</v>
      </c>
      <c r="X41" s="1270"/>
      <c r="Y41" s="373"/>
      <c r="Z41" s="361"/>
      <c r="AA41" s="424">
        <f>SUM(AA4:AA40)</f>
        <v>79</v>
      </c>
      <c r="AB41" s="410"/>
      <c r="AC41" s="1333">
        <f>SUM(AC4:AC40)</f>
        <v>79</v>
      </c>
      <c r="AD41" s="1270"/>
      <c r="AE41" s="373"/>
      <c r="AF41" s="361"/>
      <c r="AG41" s="424">
        <f>SUM(AG4:AG40)</f>
        <v>82</v>
      </c>
      <c r="AH41" s="361"/>
      <c r="AI41" s="1333">
        <f>SUM(AI4:AI40)</f>
        <v>82</v>
      </c>
      <c r="AJ41" s="424"/>
      <c r="AK41" s="373"/>
      <c r="AL41" s="361"/>
      <c r="AM41" s="424">
        <f>SUM(AM4:AM40)</f>
        <v>82</v>
      </c>
      <c r="AN41" s="361"/>
      <c r="AO41" s="1333">
        <f>SUM(AO4:AO40)</f>
        <v>82</v>
      </c>
      <c r="AP41" s="424"/>
      <c r="AQ41" s="373"/>
      <c r="AR41" s="361"/>
      <c r="AS41" s="424">
        <f>SUM(AS4:AS40)</f>
        <v>79</v>
      </c>
      <c r="AT41" s="361"/>
      <c r="AU41" s="1333">
        <f>SUM(AU4:AU40)</f>
        <v>79</v>
      </c>
      <c r="AV41" s="424"/>
      <c r="AW41" s="373"/>
      <c r="AX41" s="361"/>
      <c r="AY41" s="424">
        <f>SUM(AY4:AY40)</f>
        <v>82</v>
      </c>
      <c r="AZ41" s="361"/>
      <c r="BA41" s="1333">
        <f>SUM(BA4:BA40)</f>
        <v>79</v>
      </c>
      <c r="BB41" s="424"/>
      <c r="BC41" s="373"/>
      <c r="BD41" s="361"/>
      <c r="BE41" s="424">
        <f>SUM(BE4:BE40)</f>
        <v>74</v>
      </c>
      <c r="BF41" s="361"/>
      <c r="BG41" s="1333">
        <f>SUM(BG4:BG40)</f>
        <v>74</v>
      </c>
      <c r="BH41" s="424"/>
      <c r="BI41" s="373"/>
      <c r="BJ41" s="361"/>
      <c r="BK41" s="424">
        <f>SUM(BK4:BK40)</f>
        <v>82</v>
      </c>
      <c r="BL41" s="361"/>
      <c r="BM41" s="1333">
        <f>SUM(BM4:BM40)</f>
        <v>82</v>
      </c>
      <c r="BN41" s="424"/>
      <c r="BO41" s="373"/>
      <c r="BP41" s="361"/>
      <c r="BQ41" s="424">
        <f>SUM(BQ4:BQ40)</f>
        <v>82</v>
      </c>
      <c r="BR41" s="361"/>
      <c r="BS41" s="1333">
        <f>SUM(BS4:BS40)</f>
        <v>79</v>
      </c>
      <c r="BT41" s="424"/>
      <c r="BU41" s="373"/>
      <c r="BV41" s="361"/>
      <c r="BW41" s="424">
        <f>SUM(BW4:BW40)</f>
        <v>82</v>
      </c>
      <c r="BX41" s="361"/>
      <c r="BY41" s="1333">
        <f>SUM(BY4:BY40)</f>
        <v>82</v>
      </c>
      <c r="BZ41" s="424"/>
      <c r="CA41" s="430"/>
    </row>
    <row r="42" spans="1:79" s="385" customFormat="1" ht="15" customHeight="1">
      <c r="A42" s="432"/>
      <c r="B42" s="432"/>
      <c r="C42" s="433"/>
      <c r="D42" s="434" t="s">
        <v>1499</v>
      </c>
      <c r="E42" s="432"/>
      <c r="F42" s="435"/>
      <c r="G42" s="435"/>
      <c r="H42" s="376" t="s">
        <v>1173</v>
      </c>
      <c r="I42" s="399">
        <v>72</v>
      </c>
      <c r="J42" s="436"/>
      <c r="K42" s="436"/>
      <c r="L42" s="436"/>
      <c r="M42" s="437">
        <f>SUM(M4:M15)+SUM(M19:M37)</f>
        <v>70</v>
      </c>
      <c r="N42" s="436"/>
      <c r="O42" s="428">
        <f>SUM(O4:O15)+SUM(O17:O37)</f>
        <v>2</v>
      </c>
      <c r="P42" s="429">
        <f t="shared" si="14"/>
        <v>1.4</v>
      </c>
      <c r="Q42" s="429">
        <f t="shared" si="15"/>
        <v>0.15555555555555556</v>
      </c>
      <c r="R42" s="429">
        <f t="shared" si="16"/>
        <v>7.7777777777777779E-2</v>
      </c>
      <c r="S42" s="438" t="s">
        <v>1500</v>
      </c>
      <c r="W42" s="1334"/>
      <c r="X42" s="1271"/>
      <c r="AC42" s="1334"/>
      <c r="AD42" s="1271"/>
      <c r="AI42" s="1334"/>
      <c r="AO42" s="1334"/>
      <c r="AU42" s="1334"/>
      <c r="BA42" s="1334"/>
      <c r="BG42" s="1334"/>
      <c r="BM42" s="1334"/>
      <c r="BS42" s="1334"/>
      <c r="BY42" s="1334"/>
    </row>
    <row r="43" spans="1:79" s="385" customFormat="1" ht="14.25">
      <c r="A43" s="432"/>
      <c r="B43" s="432"/>
      <c r="C43" s="433"/>
      <c r="D43" s="434" t="s">
        <v>1498</v>
      </c>
      <c r="E43" s="432"/>
      <c r="F43" s="435"/>
      <c r="G43" s="435"/>
      <c r="H43" s="376" t="s">
        <v>1170</v>
      </c>
      <c r="I43" s="399">
        <v>18</v>
      </c>
      <c r="J43" s="436"/>
      <c r="K43" s="436"/>
      <c r="L43" s="436"/>
      <c r="M43" s="440"/>
      <c r="N43" s="436"/>
      <c r="O43" s="428"/>
      <c r="P43" s="429"/>
      <c r="Q43" s="429"/>
      <c r="R43" s="441"/>
      <c r="S43" s="442"/>
      <c r="W43" s="1334"/>
      <c r="X43" s="1271"/>
      <c r="AC43" s="1334"/>
      <c r="AD43" s="1271"/>
      <c r="AI43" s="1334"/>
      <c r="AO43" s="1334"/>
      <c r="AU43" s="1334"/>
      <c r="BA43" s="1334"/>
      <c r="BG43" s="1334"/>
      <c r="BM43" s="1334"/>
      <c r="BS43" s="1334"/>
      <c r="BY43" s="1334"/>
    </row>
    <row r="44" spans="1:79" s="385" customFormat="1" ht="14.25">
      <c r="A44" s="443"/>
      <c r="B44" s="443"/>
      <c r="C44" s="433"/>
      <c r="D44" s="444" t="s">
        <v>1174</v>
      </c>
      <c r="E44" s="443"/>
      <c r="F44" s="445"/>
      <c r="G44" s="445"/>
      <c r="H44" s="446"/>
      <c r="I44" s="447"/>
      <c r="J44" s="448"/>
      <c r="K44" s="448"/>
      <c r="L44" s="448"/>
      <c r="M44" s="448"/>
      <c r="N44" s="447"/>
      <c r="O44" s="449">
        <f t="shared" ref="O44:O49" si="29">AVERAGE(W44,AC44,AI44,AO44,AU44,BA44,BG44,BM44,BS44,BY44)</f>
        <v>80</v>
      </c>
      <c r="P44" s="450"/>
      <c r="Q44" s="450"/>
      <c r="R44" s="450"/>
      <c r="S44" s="451"/>
      <c r="T44" s="373"/>
      <c r="U44" s="452">
        <f>SUBTOTAL(9,U4:U40)</f>
        <v>82</v>
      </c>
      <c r="V44" s="373"/>
      <c r="W44" s="1335">
        <f>SUBTOTAL(9,W4:W40)</f>
        <v>82</v>
      </c>
      <c r="X44" s="1158"/>
      <c r="Y44" s="373"/>
      <c r="Z44" s="373"/>
      <c r="AA44" s="452">
        <f>SUBTOTAL(9,AA4:AA40)</f>
        <v>79</v>
      </c>
      <c r="AB44" s="373"/>
      <c r="AC44" s="1335">
        <f>SUBTOTAL(9,AC4:AC40)</f>
        <v>79</v>
      </c>
      <c r="AD44" s="1158"/>
      <c r="AE44" s="373"/>
      <c r="AF44" s="373"/>
      <c r="AG44" s="452">
        <f>SUBTOTAL(9,AG4:AG40)</f>
        <v>82</v>
      </c>
      <c r="AH44" s="373"/>
      <c r="AI44" s="1335">
        <f>SUBTOTAL(9,AI4:AI40)</f>
        <v>82</v>
      </c>
      <c r="AJ44" s="373"/>
      <c r="AK44" s="373"/>
      <c r="AL44" s="373"/>
      <c r="AM44" s="452">
        <f>SUBTOTAL(9,AM4:AM40)</f>
        <v>82</v>
      </c>
      <c r="AN44" s="373"/>
      <c r="AO44" s="1335">
        <f>SUBTOTAL(9,AO4:AO40)</f>
        <v>82</v>
      </c>
      <c r="AP44" s="373"/>
      <c r="AQ44" s="373"/>
      <c r="AR44" s="373"/>
      <c r="AS44" s="452">
        <f>SUBTOTAL(9,AS4:AS40)</f>
        <v>79</v>
      </c>
      <c r="AT44" s="373"/>
      <c r="AU44" s="1335">
        <f>SUBTOTAL(9,AU4:AU40)</f>
        <v>79</v>
      </c>
      <c r="AV44" s="373"/>
      <c r="AW44" s="373"/>
      <c r="AX44" s="373"/>
      <c r="AY44" s="452">
        <f>SUBTOTAL(9,AY4:AY40)</f>
        <v>82</v>
      </c>
      <c r="AZ44" s="373"/>
      <c r="BA44" s="1335">
        <f>SUBTOTAL(9,BA4:BA40)</f>
        <v>79</v>
      </c>
      <c r="BB44" s="373"/>
      <c r="BC44" s="373"/>
      <c r="BD44" s="373"/>
      <c r="BE44" s="452">
        <f>SUBTOTAL(9,BE4:BE40)</f>
        <v>74</v>
      </c>
      <c r="BF44" s="373"/>
      <c r="BG44" s="1335">
        <f>SUBTOTAL(9,BG4:BG40)</f>
        <v>74</v>
      </c>
      <c r="BH44" s="373"/>
      <c r="BI44" s="373"/>
      <c r="BJ44" s="373"/>
      <c r="BK44" s="452">
        <f>SUBTOTAL(9,BK4:BK40)</f>
        <v>82</v>
      </c>
      <c r="BL44" s="373"/>
      <c r="BM44" s="1335">
        <f>SUBTOTAL(9,BM4:BM40)</f>
        <v>82</v>
      </c>
      <c r="BN44" s="373"/>
      <c r="BO44" s="373"/>
      <c r="BP44" s="373"/>
      <c r="BQ44" s="452">
        <f>SUBTOTAL(9,BQ4:BQ40)</f>
        <v>82</v>
      </c>
      <c r="BR44" s="373"/>
      <c r="BS44" s="1335">
        <f>SUBTOTAL(9,BS4:BS40)</f>
        <v>79</v>
      </c>
      <c r="BT44" s="373"/>
      <c r="BU44" s="373"/>
      <c r="BV44" s="373"/>
      <c r="BW44" s="452">
        <f>SUBTOTAL(9,BW4:BW40)</f>
        <v>82</v>
      </c>
      <c r="BX44" s="373"/>
      <c r="BY44" s="1335">
        <f>SUBTOTAL(9,BY4:BY40)</f>
        <v>82</v>
      </c>
      <c r="BZ44" s="373"/>
    </row>
    <row r="45" spans="1:79" s="385" customFormat="1" ht="14.25">
      <c r="A45" s="453"/>
      <c r="B45" s="453"/>
      <c r="C45" s="433"/>
      <c r="D45" s="454" t="s">
        <v>1496</v>
      </c>
      <c r="E45" s="455"/>
      <c r="F45" s="456"/>
      <c r="G45" s="435"/>
      <c r="H45" s="362"/>
      <c r="I45" s="453"/>
      <c r="J45" s="640"/>
      <c r="K45" s="435"/>
      <c r="L45" s="640"/>
      <c r="M45" s="435"/>
      <c r="N45" s="453"/>
      <c r="O45" s="449">
        <f t="shared" si="29"/>
        <v>70</v>
      </c>
      <c r="P45" s="450"/>
      <c r="Q45" s="450"/>
      <c r="R45" s="450"/>
      <c r="S45" s="451"/>
      <c r="T45" s="373"/>
      <c r="U45" s="416">
        <f>U44-U46</f>
        <v>72</v>
      </c>
      <c r="V45" s="373"/>
      <c r="W45" s="1336">
        <f>W44-W46</f>
        <v>72</v>
      </c>
      <c r="X45" s="1158"/>
      <c r="Y45" s="373"/>
      <c r="Z45" s="373"/>
      <c r="AA45" s="416">
        <f>AA44-AA46</f>
        <v>69</v>
      </c>
      <c r="AB45" s="373"/>
      <c r="AC45" s="1336">
        <f>AC44-AC46</f>
        <v>69</v>
      </c>
      <c r="AD45" s="1158"/>
      <c r="AE45" s="373"/>
      <c r="AF45" s="373"/>
      <c r="AG45" s="416">
        <f>AG44-AG46</f>
        <v>72</v>
      </c>
      <c r="AH45" s="373"/>
      <c r="AI45" s="1336">
        <f>AI44-AI46</f>
        <v>72</v>
      </c>
      <c r="AJ45" s="373"/>
      <c r="AK45" s="373"/>
      <c r="AL45" s="373"/>
      <c r="AM45" s="416">
        <f>AM44-AM46</f>
        <v>72</v>
      </c>
      <c r="AN45" s="373"/>
      <c r="AO45" s="1336">
        <f>AO44-AO46</f>
        <v>72</v>
      </c>
      <c r="AP45" s="373"/>
      <c r="AQ45" s="373"/>
      <c r="AR45" s="373"/>
      <c r="AS45" s="416">
        <f>AS44-AS46</f>
        <v>69</v>
      </c>
      <c r="AT45" s="373"/>
      <c r="AU45" s="1336">
        <f>AU44-AU46</f>
        <v>69</v>
      </c>
      <c r="AV45" s="373"/>
      <c r="AW45" s="373"/>
      <c r="AX45" s="373"/>
      <c r="AY45" s="416">
        <f>AY44-AY46</f>
        <v>72</v>
      </c>
      <c r="AZ45" s="373"/>
      <c r="BA45" s="1336">
        <f>BA44-BA46</f>
        <v>69</v>
      </c>
      <c r="BB45" s="373"/>
      <c r="BC45" s="373"/>
      <c r="BD45" s="373"/>
      <c r="BE45" s="416">
        <f>BE44-BE46</f>
        <v>64</v>
      </c>
      <c r="BF45" s="373"/>
      <c r="BG45" s="1336">
        <f>BG44-BG46</f>
        <v>64</v>
      </c>
      <c r="BH45" s="373"/>
      <c r="BI45" s="373"/>
      <c r="BJ45" s="373"/>
      <c r="BK45" s="416">
        <f>BK44-BK46</f>
        <v>72</v>
      </c>
      <c r="BL45" s="373"/>
      <c r="BM45" s="1336">
        <f>BM44-BM46</f>
        <v>72</v>
      </c>
      <c r="BN45" s="373"/>
      <c r="BO45" s="373"/>
      <c r="BP45" s="373"/>
      <c r="BQ45" s="416">
        <f>BQ44-BQ46</f>
        <v>72</v>
      </c>
      <c r="BR45" s="373"/>
      <c r="BS45" s="1336">
        <f>BS44-BS46</f>
        <v>69</v>
      </c>
      <c r="BT45" s="373"/>
      <c r="BU45" s="373"/>
      <c r="BV45" s="373"/>
      <c r="BW45" s="416">
        <f>BW44-BW46</f>
        <v>72</v>
      </c>
      <c r="BX45" s="373"/>
      <c r="BY45" s="1336">
        <f>BY44-BY46</f>
        <v>72</v>
      </c>
      <c r="BZ45" s="373"/>
    </row>
    <row r="46" spans="1:79" s="385" customFormat="1" ht="14.25">
      <c r="A46" s="453"/>
      <c r="B46" s="453"/>
      <c r="C46" s="433"/>
      <c r="D46" s="454" t="s">
        <v>1497</v>
      </c>
      <c r="E46" s="455"/>
      <c r="F46" s="456"/>
      <c r="G46" s="435"/>
      <c r="H46" s="362"/>
      <c r="I46" s="453"/>
      <c r="J46" s="640"/>
      <c r="K46" s="435"/>
      <c r="L46" s="640"/>
      <c r="M46" s="435"/>
      <c r="N46" s="453"/>
      <c r="O46" s="457">
        <f t="shared" si="29"/>
        <v>10</v>
      </c>
      <c r="P46" s="429">
        <f t="shared" si="14"/>
        <v>7</v>
      </c>
      <c r="Q46" s="429">
        <f t="shared" si="15"/>
        <v>0.77777777777777779</v>
      </c>
      <c r="R46" s="429">
        <f t="shared" si="16"/>
        <v>0.3888888888888889</v>
      </c>
      <c r="S46" s="451"/>
      <c r="T46" s="373"/>
      <c r="U46" s="458">
        <f>IF(T29+T31=0,10,0)</f>
        <v>10</v>
      </c>
      <c r="V46" s="373"/>
      <c r="W46" s="1337">
        <f>IF(V29+V31=0,10,0)</f>
        <v>10</v>
      </c>
      <c r="X46" s="1158"/>
      <c r="Y46" s="373"/>
      <c r="Z46" s="373"/>
      <c r="AA46" s="458">
        <f>IF(Z29+Z31=0,10,0)</f>
        <v>10</v>
      </c>
      <c r="AB46" s="373"/>
      <c r="AC46" s="1337">
        <f>IF(AB29+AB31=0,10,0)</f>
        <v>10</v>
      </c>
      <c r="AD46" s="1158"/>
      <c r="AE46" s="373"/>
      <c r="AF46" s="373"/>
      <c r="AG46" s="458">
        <f>IF(AF29+AF31=0,10,0)</f>
        <v>10</v>
      </c>
      <c r="AH46" s="373"/>
      <c r="AI46" s="1337">
        <f>IF(AH29+AH31=0,10,0)</f>
        <v>10</v>
      </c>
      <c r="AJ46" s="373"/>
      <c r="AK46" s="373"/>
      <c r="AL46" s="373"/>
      <c r="AM46" s="458">
        <f>IF(AL29+AL31=0,10,0)</f>
        <v>10</v>
      </c>
      <c r="AN46" s="373"/>
      <c r="AO46" s="1337">
        <f>IF(AN29+AN31=0,10,0)</f>
        <v>10</v>
      </c>
      <c r="AP46" s="373"/>
      <c r="AQ46" s="373"/>
      <c r="AR46" s="373"/>
      <c r="AS46" s="458">
        <f>IF(AR29+AR31=0,10,0)</f>
        <v>10</v>
      </c>
      <c r="AT46" s="373"/>
      <c r="AU46" s="1337">
        <f>IF(AT29+AT31=0,10,0)</f>
        <v>10</v>
      </c>
      <c r="AV46" s="373"/>
      <c r="AW46" s="373"/>
      <c r="AX46" s="373"/>
      <c r="AY46" s="458">
        <f>IF(AX29+AX31=0,10,0)</f>
        <v>10</v>
      </c>
      <c r="AZ46" s="373"/>
      <c r="BA46" s="1337">
        <f>IF(AZ29+AZ31=0,10,0)</f>
        <v>10</v>
      </c>
      <c r="BB46" s="373"/>
      <c r="BC46" s="373"/>
      <c r="BD46" s="373"/>
      <c r="BE46" s="458">
        <f>IF(BD29+BD31=0,10,0)</f>
        <v>10</v>
      </c>
      <c r="BF46" s="373"/>
      <c r="BG46" s="1337">
        <f>IF(BF29+BF31=0,10,0)</f>
        <v>10</v>
      </c>
      <c r="BH46" s="373"/>
      <c r="BI46" s="373"/>
      <c r="BJ46" s="373"/>
      <c r="BK46" s="458">
        <f>IF(BJ29+BJ31=0,10,0)</f>
        <v>10</v>
      </c>
      <c r="BL46" s="373"/>
      <c r="BM46" s="1337">
        <f>IF(BL29+BL31=0,10,0)</f>
        <v>10</v>
      </c>
      <c r="BN46" s="373"/>
      <c r="BO46" s="373"/>
      <c r="BP46" s="373"/>
      <c r="BQ46" s="458">
        <f>IF(BP29+BP31=0,10,0)</f>
        <v>10</v>
      </c>
      <c r="BR46" s="373"/>
      <c r="BS46" s="1337">
        <f>IF(BR29+BR31=0,10,0)</f>
        <v>10</v>
      </c>
      <c r="BT46" s="373"/>
      <c r="BU46" s="373"/>
      <c r="BV46" s="373"/>
      <c r="BW46" s="458">
        <f>IF(BV29+BV31=0,10,0)</f>
        <v>10</v>
      </c>
      <c r="BX46" s="373"/>
      <c r="BY46" s="1337">
        <f>IF(BX29+BX31=0,10,0)</f>
        <v>10</v>
      </c>
      <c r="BZ46" s="373"/>
    </row>
    <row r="47" spans="1:79" s="385" customFormat="1" ht="14.25">
      <c r="A47" s="453"/>
      <c r="B47" s="453"/>
      <c r="C47" s="433"/>
      <c r="D47" s="434" t="s">
        <v>463</v>
      </c>
      <c r="E47" s="455"/>
      <c r="F47" s="456"/>
      <c r="G47" s="435"/>
      <c r="H47" s="362"/>
      <c r="I47" s="453"/>
      <c r="J47" s="640"/>
      <c r="K47" s="435"/>
      <c r="L47" s="640"/>
      <c r="M47" s="435"/>
      <c r="N47" s="453"/>
      <c r="O47" s="457">
        <f t="shared" si="29"/>
        <v>8</v>
      </c>
      <c r="P47" s="429">
        <f t="shared" si="14"/>
        <v>5.6</v>
      </c>
      <c r="Q47" s="429">
        <f t="shared" si="15"/>
        <v>0.62222222222222223</v>
      </c>
      <c r="R47" s="429">
        <f t="shared" si="16"/>
        <v>0.31111111111111112</v>
      </c>
      <c r="S47" s="451"/>
      <c r="T47" s="373"/>
      <c r="U47" s="416">
        <f>18-U46</f>
        <v>8</v>
      </c>
      <c r="V47" s="373"/>
      <c r="W47" s="1336">
        <f>18-W46</f>
        <v>8</v>
      </c>
      <c r="X47" s="1158"/>
      <c r="Y47" s="373"/>
      <c r="Z47" s="373"/>
      <c r="AA47" s="416">
        <f>18-AA46</f>
        <v>8</v>
      </c>
      <c r="AB47" s="373"/>
      <c r="AC47" s="1336">
        <f>18-AC46</f>
        <v>8</v>
      </c>
      <c r="AD47" s="1158"/>
      <c r="AE47" s="373"/>
      <c r="AF47" s="373"/>
      <c r="AG47" s="416">
        <f>18-AG46</f>
        <v>8</v>
      </c>
      <c r="AH47" s="373"/>
      <c r="AI47" s="1336">
        <f>18-AI46</f>
        <v>8</v>
      </c>
      <c r="AJ47" s="373"/>
      <c r="AK47" s="373"/>
      <c r="AL47" s="373"/>
      <c r="AM47" s="416">
        <f>18-AM46</f>
        <v>8</v>
      </c>
      <c r="AN47" s="373"/>
      <c r="AO47" s="1336">
        <f>18-AO46</f>
        <v>8</v>
      </c>
      <c r="AP47" s="373"/>
      <c r="AQ47" s="373"/>
      <c r="AR47" s="373"/>
      <c r="AS47" s="416">
        <f>18-AS46</f>
        <v>8</v>
      </c>
      <c r="AT47" s="373"/>
      <c r="AU47" s="1336">
        <f>18-AU46</f>
        <v>8</v>
      </c>
      <c r="AV47" s="373"/>
      <c r="AW47" s="373"/>
      <c r="AX47" s="373"/>
      <c r="AY47" s="416">
        <f>18-AY46</f>
        <v>8</v>
      </c>
      <c r="AZ47" s="373"/>
      <c r="BA47" s="1336">
        <f>18-BA46</f>
        <v>8</v>
      </c>
      <c r="BB47" s="373"/>
      <c r="BC47" s="373"/>
      <c r="BD47" s="373"/>
      <c r="BE47" s="416">
        <f>18-BE46</f>
        <v>8</v>
      </c>
      <c r="BF47" s="373"/>
      <c r="BG47" s="1336">
        <f>18-BG46</f>
        <v>8</v>
      </c>
      <c r="BH47" s="373"/>
      <c r="BI47" s="373"/>
      <c r="BJ47" s="373"/>
      <c r="BK47" s="416">
        <f>18-BK46</f>
        <v>8</v>
      </c>
      <c r="BL47" s="373"/>
      <c r="BM47" s="1336">
        <f>18-BM46</f>
        <v>8</v>
      </c>
      <c r="BN47" s="373"/>
      <c r="BO47" s="373"/>
      <c r="BP47" s="373"/>
      <c r="BQ47" s="416">
        <f>18-BQ46</f>
        <v>8</v>
      </c>
      <c r="BR47" s="373"/>
      <c r="BS47" s="1336">
        <f>18-BS46</f>
        <v>8</v>
      </c>
      <c r="BT47" s="373"/>
      <c r="BU47" s="373"/>
      <c r="BV47" s="373"/>
      <c r="BW47" s="416">
        <f>18-BW46</f>
        <v>8</v>
      </c>
      <c r="BX47" s="373"/>
      <c r="BY47" s="1336">
        <f>18-BY46</f>
        <v>8</v>
      </c>
      <c r="BZ47" s="373"/>
    </row>
    <row r="48" spans="1:79" s="385" customFormat="1" ht="14.25">
      <c r="A48" s="453"/>
      <c r="B48" s="453"/>
      <c r="C48" s="433"/>
      <c r="D48" s="434" t="s">
        <v>462</v>
      </c>
      <c r="E48" s="455"/>
      <c r="F48" s="456"/>
      <c r="G48" s="435"/>
      <c r="H48" s="362"/>
      <c r="I48" s="399">
        <v>10</v>
      </c>
      <c r="J48" s="640"/>
      <c r="K48" s="435"/>
      <c r="L48" s="640"/>
      <c r="M48" s="435"/>
      <c r="N48" s="453"/>
      <c r="O48" s="457">
        <f t="shared" si="29"/>
        <v>10</v>
      </c>
      <c r="P48" s="429">
        <f t="shared" si="14"/>
        <v>7</v>
      </c>
      <c r="Q48" s="429">
        <f>P48*0.7</f>
        <v>4.8999999999999995</v>
      </c>
      <c r="R48" s="429">
        <f>Q48*0.7</f>
        <v>3.4299999999999993</v>
      </c>
      <c r="S48" s="451"/>
      <c r="T48" s="373"/>
      <c r="U48" s="458">
        <v>10</v>
      </c>
      <c r="V48" s="373"/>
      <c r="W48" s="1337">
        <v>10</v>
      </c>
      <c r="X48" s="1158"/>
      <c r="Y48" s="373"/>
      <c r="Z48" s="373"/>
      <c r="AA48" s="458">
        <v>10</v>
      </c>
      <c r="AB48" s="373"/>
      <c r="AC48" s="1337">
        <v>10</v>
      </c>
      <c r="AD48" s="1158"/>
      <c r="AE48" s="373"/>
      <c r="AF48" s="373"/>
      <c r="AG48" s="458">
        <v>10</v>
      </c>
      <c r="AH48" s="373"/>
      <c r="AI48" s="1337">
        <v>10</v>
      </c>
      <c r="AJ48" s="373"/>
      <c r="AK48" s="373"/>
      <c r="AL48" s="373"/>
      <c r="AM48" s="458">
        <v>10</v>
      </c>
      <c r="AN48" s="373"/>
      <c r="AO48" s="1337">
        <v>10</v>
      </c>
      <c r="AP48" s="373"/>
      <c r="AQ48" s="373"/>
      <c r="AR48" s="373"/>
      <c r="AS48" s="458">
        <v>10</v>
      </c>
      <c r="AT48" s="373"/>
      <c r="AU48" s="1337">
        <v>10</v>
      </c>
      <c r="AV48" s="373"/>
      <c r="AW48" s="373"/>
      <c r="AX48" s="373"/>
      <c r="AY48" s="458">
        <v>10</v>
      </c>
      <c r="AZ48" s="373"/>
      <c r="BA48" s="1337">
        <v>10</v>
      </c>
      <c r="BB48" s="373"/>
      <c r="BC48" s="373"/>
      <c r="BD48" s="373"/>
      <c r="BE48" s="458">
        <v>10</v>
      </c>
      <c r="BF48" s="373"/>
      <c r="BG48" s="1337">
        <v>10</v>
      </c>
      <c r="BH48" s="373"/>
      <c r="BI48" s="373"/>
      <c r="BJ48" s="373"/>
      <c r="BK48" s="458">
        <v>10</v>
      </c>
      <c r="BL48" s="373"/>
      <c r="BM48" s="1337">
        <v>10</v>
      </c>
      <c r="BN48" s="373"/>
      <c r="BO48" s="373"/>
      <c r="BP48" s="373"/>
      <c r="BQ48" s="458">
        <v>10</v>
      </c>
      <c r="BR48" s="373"/>
      <c r="BS48" s="1337">
        <v>10</v>
      </c>
      <c r="BT48" s="373"/>
      <c r="BU48" s="373"/>
      <c r="BV48" s="373"/>
      <c r="BW48" s="458">
        <v>10</v>
      </c>
      <c r="BX48" s="373"/>
      <c r="BY48" s="1337">
        <v>10</v>
      </c>
      <c r="BZ48" s="373"/>
    </row>
    <row r="49" spans="1:78" s="385" customFormat="1" ht="14.25">
      <c r="A49" s="453"/>
      <c r="B49" s="453"/>
      <c r="C49" s="433"/>
      <c r="D49" s="434" t="s">
        <v>1492</v>
      </c>
      <c r="E49" s="455"/>
      <c r="F49" s="456"/>
      <c r="G49" s="435"/>
      <c r="H49" s="362"/>
      <c r="I49" s="453"/>
      <c r="J49" s="640"/>
      <c r="K49" s="435"/>
      <c r="L49" s="640"/>
      <c r="M49" s="435"/>
      <c r="N49" s="453"/>
      <c r="O49" s="449">
        <f t="shared" si="29"/>
        <v>2</v>
      </c>
      <c r="P49" s="450"/>
      <c r="Q49" s="450"/>
      <c r="R49" s="450"/>
      <c r="S49" s="451"/>
      <c r="T49" s="373"/>
      <c r="U49" s="458">
        <f>100-SUM(U45:U48)</f>
        <v>0</v>
      </c>
      <c r="V49" s="373"/>
      <c r="W49" s="1337">
        <f>100-SUM(W45:W48)</f>
        <v>0</v>
      </c>
      <c r="X49" s="1158"/>
      <c r="Y49" s="373"/>
      <c r="Z49" s="373"/>
      <c r="AA49" s="458">
        <f>100-SUM(AA45:AA48)</f>
        <v>3</v>
      </c>
      <c r="AB49" s="373"/>
      <c r="AC49" s="1337">
        <f>100-SUM(AC45:AC48)</f>
        <v>3</v>
      </c>
      <c r="AD49" s="1158"/>
      <c r="AE49" s="373"/>
      <c r="AF49" s="373"/>
      <c r="AG49" s="458">
        <f>100-SUM(AG45:AG48)</f>
        <v>0</v>
      </c>
      <c r="AH49" s="373"/>
      <c r="AI49" s="1337">
        <f>100-SUM(AI45:AI48)</f>
        <v>0</v>
      </c>
      <c r="AJ49" s="373"/>
      <c r="AK49" s="373"/>
      <c r="AL49" s="373"/>
      <c r="AM49" s="458">
        <f>100-SUM(AM45:AM48)</f>
        <v>0</v>
      </c>
      <c r="AN49" s="373"/>
      <c r="AO49" s="1337">
        <f>100-SUM(AO45:AO48)</f>
        <v>0</v>
      </c>
      <c r="AP49" s="373"/>
      <c r="AQ49" s="373"/>
      <c r="AR49" s="373"/>
      <c r="AS49" s="458">
        <f>100-SUM(AS45:AS48)</f>
        <v>3</v>
      </c>
      <c r="AT49" s="373"/>
      <c r="AU49" s="1337">
        <f>100-SUM(AU45:AU48)</f>
        <v>3</v>
      </c>
      <c r="AV49" s="373"/>
      <c r="AW49" s="373"/>
      <c r="AX49" s="373"/>
      <c r="AY49" s="458">
        <f>100-SUM(AY45:AY48)</f>
        <v>0</v>
      </c>
      <c r="AZ49" s="373"/>
      <c r="BA49" s="1337">
        <f>100-SUM(BA45:BA48)</f>
        <v>3</v>
      </c>
      <c r="BB49" s="373"/>
      <c r="BC49" s="373"/>
      <c r="BD49" s="373"/>
      <c r="BE49" s="458">
        <f>100-SUM(BE45:BE48)</f>
        <v>8</v>
      </c>
      <c r="BF49" s="373"/>
      <c r="BG49" s="1337">
        <f>100-SUM(BG45:BG48)</f>
        <v>8</v>
      </c>
      <c r="BH49" s="373"/>
      <c r="BI49" s="373"/>
      <c r="BJ49" s="373"/>
      <c r="BK49" s="458">
        <f>100-SUM(BK45:BK48)</f>
        <v>0</v>
      </c>
      <c r="BL49" s="373"/>
      <c r="BM49" s="1337">
        <f>100-SUM(BM45:BM48)</f>
        <v>0</v>
      </c>
      <c r="BN49" s="373"/>
      <c r="BO49" s="373"/>
      <c r="BP49" s="373"/>
      <c r="BQ49" s="458">
        <f>100-SUM(BQ45:BQ48)</f>
        <v>0</v>
      </c>
      <c r="BR49" s="373"/>
      <c r="BS49" s="1337">
        <f>100-SUM(BS45:BS48)</f>
        <v>3</v>
      </c>
      <c r="BT49" s="373"/>
      <c r="BU49" s="373"/>
      <c r="BV49" s="373"/>
      <c r="BW49" s="458">
        <f>100-SUM(BW45:BW48)</f>
        <v>0</v>
      </c>
      <c r="BX49" s="373"/>
      <c r="BY49" s="1337">
        <f>100-SUM(BY45:BY48)</f>
        <v>0</v>
      </c>
      <c r="BZ49" s="373"/>
    </row>
    <row r="50" spans="1:78">
      <c r="O50" s="384"/>
      <c r="P50" s="384"/>
      <c r="Q50" s="385"/>
      <c r="R50" s="385"/>
      <c r="S50" s="384"/>
      <c r="W50" s="1334"/>
      <c r="Y50" s="384"/>
      <c r="AC50" s="1334"/>
      <c r="AE50" s="384"/>
      <c r="AI50" s="1334"/>
      <c r="AK50" s="384"/>
      <c r="AO50" s="1334"/>
      <c r="AQ50" s="384"/>
      <c r="AU50" s="1334"/>
      <c r="AW50" s="384"/>
      <c r="BA50" s="1334"/>
      <c r="BC50" s="384"/>
      <c r="BG50" s="1334"/>
      <c r="BI50" s="384"/>
      <c r="BM50" s="1334"/>
      <c r="BO50" s="384"/>
      <c r="BS50" s="1334"/>
      <c r="BT50" s="384"/>
      <c r="BU50" s="384"/>
      <c r="BW50" s="386"/>
      <c r="BZ50" s="384"/>
    </row>
    <row r="51" spans="1:78">
      <c r="O51" s="384"/>
      <c r="P51" s="384"/>
      <c r="Q51" s="385"/>
      <c r="R51" s="385"/>
      <c r="S51" s="384"/>
      <c r="W51" s="1334"/>
      <c r="Y51" s="384"/>
      <c r="AC51" s="1334"/>
      <c r="AE51" s="384"/>
      <c r="AI51" s="1334"/>
      <c r="AK51" s="384"/>
      <c r="AO51" s="1334"/>
      <c r="AQ51" s="384"/>
      <c r="AU51" s="1334"/>
      <c r="AW51" s="384"/>
      <c r="BA51" s="1334"/>
      <c r="BC51" s="384"/>
      <c r="BG51" s="1334"/>
      <c r="BI51" s="384"/>
      <c r="BM51" s="1334"/>
      <c r="BO51" s="384"/>
      <c r="BS51" s="1334"/>
      <c r="BT51" s="384"/>
      <c r="BU51" s="384"/>
      <c r="BW51" s="386"/>
      <c r="BZ51" s="384"/>
    </row>
    <row r="52" spans="1:78" s="385" customFormat="1" ht="14.25">
      <c r="A52" s="432"/>
      <c r="B52" s="432"/>
      <c r="C52" s="433"/>
      <c r="D52" s="462" t="s">
        <v>1611</v>
      </c>
      <c r="E52" s="432"/>
      <c r="F52" s="436"/>
      <c r="G52" s="436"/>
      <c r="H52" s="432"/>
      <c r="I52" s="432"/>
      <c r="J52" s="436"/>
      <c r="K52" s="436"/>
      <c r="L52" s="436"/>
      <c r="M52" s="436"/>
      <c r="N52" s="432"/>
      <c r="W52" s="1334"/>
      <c r="X52" s="1271"/>
      <c r="AC52" s="1334"/>
      <c r="AD52" s="1271"/>
      <c r="AI52" s="1334"/>
      <c r="AO52" s="1334"/>
      <c r="AU52" s="1334"/>
      <c r="BA52" s="1334"/>
      <c r="BG52" s="1334"/>
      <c r="BM52" s="1334"/>
      <c r="BS52" s="1334"/>
      <c r="BW52" s="396" t="s">
        <v>1289</v>
      </c>
      <c r="BY52" s="1334"/>
    </row>
    <row r="53" spans="1:78" s="385" customFormat="1" ht="14.25">
      <c r="A53" s="432"/>
      <c r="B53" s="432"/>
      <c r="C53" s="433"/>
      <c r="D53" s="375" t="s">
        <v>1655</v>
      </c>
      <c r="E53" s="432"/>
      <c r="F53" s="436"/>
      <c r="G53" s="436"/>
      <c r="H53" s="432"/>
      <c r="I53" s="432"/>
      <c r="J53" s="436"/>
      <c r="K53" s="436"/>
      <c r="L53" s="436"/>
      <c r="M53" s="436"/>
      <c r="N53" s="432"/>
      <c r="W53" s="1334"/>
      <c r="X53" s="1271"/>
      <c r="AC53" s="1334"/>
      <c r="AD53" s="1271"/>
      <c r="AI53" s="1334"/>
      <c r="AO53" s="1334"/>
      <c r="AU53" s="1334"/>
      <c r="BA53" s="1334"/>
      <c r="BF53" s="442"/>
      <c r="BG53" s="1334"/>
      <c r="BM53" s="1334"/>
      <c r="BS53" s="1334"/>
      <c r="BW53" s="396" t="s">
        <v>1288</v>
      </c>
      <c r="BY53" s="1334"/>
    </row>
    <row r="54" spans="1:78" s="385" customFormat="1" ht="14.25">
      <c r="A54" s="432"/>
      <c r="B54" s="432"/>
      <c r="C54" s="433"/>
      <c r="E54" s="432"/>
      <c r="F54" s="436"/>
      <c r="G54" s="436"/>
      <c r="H54" s="432"/>
      <c r="I54" s="432"/>
      <c r="J54" s="436"/>
      <c r="K54" s="436"/>
      <c r="L54" s="436"/>
      <c r="M54" s="436"/>
      <c r="N54" s="432"/>
      <c r="W54" s="1334"/>
      <c r="X54" s="1271"/>
      <c r="AC54" s="1334"/>
      <c r="AD54" s="1271"/>
      <c r="AI54" s="1334"/>
      <c r="AO54" s="1334"/>
      <c r="AU54" s="1334"/>
      <c r="BA54" s="1334"/>
      <c r="BF54" s="442"/>
      <c r="BG54" s="1334"/>
      <c r="BM54" s="1334"/>
      <c r="BS54" s="1334"/>
      <c r="BW54" s="439"/>
      <c r="BY54" s="1334"/>
    </row>
    <row r="55" spans="1:78" s="385" customFormat="1" ht="18.75">
      <c r="A55" s="432"/>
      <c r="B55" s="432"/>
      <c r="C55" s="433"/>
      <c r="E55" s="432"/>
      <c r="F55" s="436"/>
      <c r="G55" s="436"/>
      <c r="H55" s="432"/>
      <c r="I55" s="432"/>
      <c r="J55" s="436"/>
      <c r="K55" s="436"/>
      <c r="L55" s="436"/>
      <c r="M55" s="436"/>
      <c r="N55" s="432"/>
      <c r="W55" s="1334"/>
      <c r="X55" s="1271"/>
      <c r="AC55" s="1334"/>
      <c r="AD55" s="1271"/>
      <c r="AI55" s="1334"/>
      <c r="AO55" s="1334"/>
      <c r="AU55" s="1334"/>
      <c r="BA55" s="1334"/>
      <c r="BF55" s="1398"/>
      <c r="BG55" s="1334"/>
      <c r="BM55" s="1334"/>
      <c r="BS55" s="1334"/>
      <c r="BW55" s="439"/>
      <c r="BY55" s="1334"/>
    </row>
    <row r="56" spans="1:78" s="385" customFormat="1" ht="18.75">
      <c r="A56" s="432"/>
      <c r="B56" s="432"/>
      <c r="C56" s="433"/>
      <c r="E56" s="432"/>
      <c r="F56" s="436"/>
      <c r="G56" s="436"/>
      <c r="H56" s="432"/>
      <c r="I56" s="432"/>
      <c r="J56" s="436"/>
      <c r="K56" s="436"/>
      <c r="L56" s="436"/>
      <c r="M56" s="436"/>
      <c r="N56" s="432"/>
      <c r="W56" s="1334"/>
      <c r="X56" s="1271"/>
      <c r="AC56" s="1334"/>
      <c r="AD56" s="1271"/>
      <c r="AI56" s="1334"/>
      <c r="AO56" s="1334"/>
      <c r="AU56" s="1334"/>
      <c r="BA56" s="1334"/>
      <c r="BF56" s="1398"/>
      <c r="BG56" s="1334"/>
      <c r="BM56" s="1334"/>
      <c r="BS56" s="1334"/>
      <c r="BW56" s="439"/>
      <c r="BY56" s="1334"/>
    </row>
    <row r="57" spans="1:78" s="385" customFormat="1" ht="18.75">
      <c r="A57" s="432"/>
      <c r="B57" s="432"/>
      <c r="C57" s="433"/>
      <c r="E57" s="432"/>
      <c r="F57" s="436"/>
      <c r="G57" s="436"/>
      <c r="H57" s="432"/>
      <c r="I57" s="432"/>
      <c r="J57" s="436"/>
      <c r="K57" s="436"/>
      <c r="L57" s="436"/>
      <c r="M57" s="436"/>
      <c r="N57" s="432"/>
      <c r="W57" s="1334"/>
      <c r="X57" s="1271"/>
      <c r="AC57" s="1334"/>
      <c r="AD57" s="1271"/>
      <c r="AI57" s="1334"/>
      <c r="AO57" s="1334"/>
      <c r="AU57" s="1334"/>
      <c r="BA57" s="1334"/>
      <c r="BF57" s="1398"/>
      <c r="BG57" s="1334"/>
      <c r="BM57" s="1334"/>
      <c r="BS57" s="1334"/>
      <c r="BW57" s="439"/>
      <c r="BY57" s="1334"/>
    </row>
    <row r="58" spans="1:78" s="385" customFormat="1" ht="18.75">
      <c r="A58" s="432"/>
      <c r="B58" s="432"/>
      <c r="C58" s="433"/>
      <c r="E58" s="432"/>
      <c r="F58" s="436"/>
      <c r="G58" s="436"/>
      <c r="H58" s="432"/>
      <c r="I58" s="432"/>
      <c r="J58" s="436"/>
      <c r="K58" s="436"/>
      <c r="L58" s="436"/>
      <c r="M58" s="436"/>
      <c r="N58" s="432"/>
      <c r="W58" s="1334"/>
      <c r="X58" s="1271"/>
      <c r="AA58" s="442"/>
      <c r="AB58" s="442"/>
      <c r="AC58" s="1334"/>
      <c r="AD58" s="1271"/>
      <c r="AI58" s="1334"/>
      <c r="AO58" s="1334"/>
      <c r="AU58" s="1334"/>
      <c r="BA58" s="1334"/>
      <c r="BF58" s="1398"/>
      <c r="BG58" s="1334"/>
      <c r="BM58" s="1334"/>
      <c r="BS58" s="1334"/>
      <c r="BW58" s="439"/>
      <c r="BY58" s="1334"/>
    </row>
    <row r="59" spans="1:78" s="385" customFormat="1" ht="18.75">
      <c r="A59" s="432"/>
      <c r="B59" s="432"/>
      <c r="C59" s="433"/>
      <c r="E59" s="432"/>
      <c r="F59" s="436"/>
      <c r="G59" s="436"/>
      <c r="H59" s="432"/>
      <c r="I59" s="432"/>
      <c r="J59" s="436"/>
      <c r="K59" s="436"/>
      <c r="L59" s="436"/>
      <c r="M59" s="436"/>
      <c r="N59" s="432"/>
      <c r="W59" s="1334"/>
      <c r="X59" s="1271"/>
      <c r="AA59" s="442"/>
      <c r="AB59" s="442"/>
      <c r="AC59" s="1334"/>
      <c r="AD59" s="1271"/>
      <c r="AI59" s="1334"/>
      <c r="AO59" s="1334"/>
      <c r="AU59" s="1334"/>
      <c r="BA59" s="1334"/>
      <c r="BF59" s="1398"/>
      <c r="BG59" s="1334"/>
      <c r="BM59" s="1334"/>
      <c r="BS59" s="1334"/>
      <c r="BW59" s="439"/>
      <c r="BY59" s="1334"/>
    </row>
    <row r="60" spans="1:78" s="385" customFormat="1" ht="18.75">
      <c r="A60" s="432"/>
      <c r="B60" s="432"/>
      <c r="C60" s="433"/>
      <c r="E60" s="432"/>
      <c r="F60" s="436"/>
      <c r="G60" s="436"/>
      <c r="H60" s="432"/>
      <c r="I60" s="432"/>
      <c r="J60" s="436"/>
      <c r="K60" s="436"/>
      <c r="L60" s="436"/>
      <c r="M60" s="436"/>
      <c r="N60" s="432"/>
      <c r="W60" s="1334"/>
      <c r="X60" s="1271"/>
      <c r="AA60" s="442"/>
      <c r="AB60" s="442"/>
      <c r="AC60" s="1334"/>
      <c r="AD60" s="1271"/>
      <c r="AI60" s="1334"/>
      <c r="AO60" s="1334"/>
      <c r="AU60" s="1334"/>
      <c r="BA60" s="1334"/>
      <c r="BF60" s="1398"/>
      <c r="BG60" s="1334"/>
      <c r="BM60" s="1334"/>
      <c r="BS60" s="1334"/>
      <c r="BW60" s="439"/>
      <c r="BY60" s="1334"/>
    </row>
    <row r="61" spans="1:78" s="385" customFormat="1" ht="18.75">
      <c r="A61" s="432"/>
      <c r="B61" s="432"/>
      <c r="C61" s="433"/>
      <c r="E61" s="432"/>
      <c r="F61" s="436"/>
      <c r="G61" s="436"/>
      <c r="H61" s="432"/>
      <c r="I61" s="432"/>
      <c r="J61" s="436"/>
      <c r="K61" s="436"/>
      <c r="L61" s="436"/>
      <c r="M61" s="436"/>
      <c r="N61" s="432"/>
      <c r="W61" s="1334"/>
      <c r="X61" s="1271"/>
      <c r="AA61" s="442"/>
      <c r="AB61" s="442"/>
      <c r="AC61" s="1334"/>
      <c r="AD61" s="1271"/>
      <c r="AI61" s="1334"/>
      <c r="AO61" s="1334"/>
      <c r="AU61" s="1334"/>
      <c r="BA61" s="1334"/>
      <c r="BF61" s="1398"/>
      <c r="BG61" s="1334"/>
      <c r="BM61" s="1334"/>
      <c r="BS61" s="1334"/>
      <c r="BW61" s="439"/>
      <c r="BY61" s="1334"/>
    </row>
    <row r="62" spans="1:78" s="385" customFormat="1" ht="18.75">
      <c r="A62" s="432"/>
      <c r="B62" s="432"/>
      <c r="C62" s="433"/>
      <c r="E62" s="432"/>
      <c r="F62" s="436"/>
      <c r="G62" s="436"/>
      <c r="H62" s="432"/>
      <c r="I62" s="432"/>
      <c r="J62" s="436"/>
      <c r="K62" s="436"/>
      <c r="L62" s="436"/>
      <c r="M62" s="436"/>
      <c r="N62" s="432"/>
      <c r="W62" s="1334"/>
      <c r="X62" s="1271"/>
      <c r="AC62" s="1334"/>
      <c r="AD62" s="1271"/>
      <c r="AI62" s="1334"/>
      <c r="AO62" s="1334"/>
      <c r="AU62" s="1334"/>
      <c r="BA62" s="1334"/>
      <c r="BF62" s="1399"/>
      <c r="BG62" s="1334"/>
      <c r="BM62" s="1334"/>
      <c r="BS62" s="1334"/>
      <c r="BW62" s="439"/>
      <c r="BY62" s="1334"/>
    </row>
    <row r="63" spans="1:78" s="385" customFormat="1" ht="14.25">
      <c r="A63" s="432"/>
      <c r="B63" s="432"/>
      <c r="C63" s="433"/>
      <c r="E63" s="432"/>
      <c r="F63" s="436"/>
      <c r="G63" s="436"/>
      <c r="H63" s="432"/>
      <c r="I63" s="432"/>
      <c r="J63" s="436"/>
      <c r="K63" s="436"/>
      <c r="L63" s="436"/>
      <c r="M63" s="436"/>
      <c r="N63" s="432"/>
      <c r="W63" s="1334"/>
      <c r="X63" s="1271"/>
      <c r="AC63" s="1334"/>
      <c r="AD63" s="1271"/>
      <c r="AI63" s="1334"/>
      <c r="AO63" s="1334"/>
      <c r="AU63" s="1334"/>
      <c r="BA63" s="1334"/>
      <c r="BF63" s="442"/>
      <c r="BG63" s="1334"/>
      <c r="BM63" s="1334"/>
      <c r="BS63" s="1334"/>
      <c r="BW63" s="439"/>
      <c r="BY63" s="1334"/>
    </row>
    <row r="64" spans="1:78" s="385" customFormat="1" ht="14.25">
      <c r="A64" s="432"/>
      <c r="B64" s="432"/>
      <c r="C64" s="433"/>
      <c r="E64" s="432"/>
      <c r="F64" s="436"/>
      <c r="G64" s="436"/>
      <c r="H64" s="432"/>
      <c r="I64" s="432"/>
      <c r="J64" s="436"/>
      <c r="K64" s="436"/>
      <c r="L64" s="436"/>
      <c r="M64" s="436"/>
      <c r="N64" s="432"/>
      <c r="W64" s="1334"/>
      <c r="X64" s="1271"/>
      <c r="AC64" s="1334"/>
      <c r="AD64" s="1271"/>
      <c r="AI64" s="1334"/>
      <c r="AO64" s="1334"/>
      <c r="AU64" s="1334"/>
      <c r="BA64" s="1334"/>
      <c r="BF64" s="442"/>
      <c r="BG64" s="1334"/>
      <c r="BM64" s="1334"/>
      <c r="BS64" s="1334"/>
      <c r="BW64" s="439"/>
      <c r="BY64" s="1334"/>
    </row>
    <row r="65" spans="1:77" s="385" customFormat="1" ht="14.25">
      <c r="A65" s="432"/>
      <c r="B65" s="432"/>
      <c r="C65" s="433"/>
      <c r="E65" s="432"/>
      <c r="F65" s="436"/>
      <c r="G65" s="436"/>
      <c r="H65" s="432"/>
      <c r="I65" s="432"/>
      <c r="J65" s="436"/>
      <c r="K65" s="436"/>
      <c r="L65" s="436"/>
      <c r="M65" s="436"/>
      <c r="N65" s="432"/>
      <c r="W65" s="1334"/>
      <c r="X65" s="1271"/>
      <c r="AC65" s="1334"/>
      <c r="AD65" s="1271"/>
      <c r="AI65" s="1334"/>
      <c r="AO65" s="1334"/>
      <c r="AU65" s="1334"/>
      <c r="BA65" s="1334"/>
      <c r="BG65" s="1334"/>
      <c r="BM65" s="1334"/>
      <c r="BS65" s="1334"/>
      <c r="BW65" s="439"/>
      <c r="BY65" s="1334"/>
    </row>
    <row r="66" spans="1:77" s="385" customFormat="1" ht="14.25">
      <c r="A66" s="432"/>
      <c r="B66" s="432"/>
      <c r="C66" s="433"/>
      <c r="E66" s="432"/>
      <c r="F66" s="436"/>
      <c r="G66" s="436"/>
      <c r="H66" s="432"/>
      <c r="I66" s="432"/>
      <c r="J66" s="436"/>
      <c r="K66" s="436"/>
      <c r="L66" s="436"/>
      <c r="M66" s="436"/>
      <c r="N66" s="432"/>
      <c r="W66" s="1334"/>
      <c r="X66" s="1271"/>
      <c r="AC66" s="1334"/>
      <c r="AD66" s="1271"/>
      <c r="AI66" s="1334"/>
      <c r="AO66" s="1334"/>
      <c r="AU66" s="1334"/>
      <c r="BA66" s="1334"/>
      <c r="BG66" s="1334"/>
      <c r="BM66" s="1334"/>
      <c r="BS66" s="1334"/>
      <c r="BW66" s="439"/>
      <c r="BY66" s="1334"/>
    </row>
    <row r="67" spans="1:77" s="385" customFormat="1" ht="14.25">
      <c r="A67" s="432"/>
      <c r="B67" s="432"/>
      <c r="C67" s="433"/>
      <c r="E67" s="432"/>
      <c r="F67" s="436"/>
      <c r="G67" s="436"/>
      <c r="H67" s="432"/>
      <c r="I67" s="432"/>
      <c r="J67" s="436"/>
      <c r="K67" s="436"/>
      <c r="L67" s="436"/>
      <c r="M67" s="436"/>
      <c r="N67" s="432"/>
      <c r="W67" s="1334"/>
      <c r="X67" s="1271"/>
      <c r="AC67" s="1334"/>
      <c r="AD67" s="1271"/>
      <c r="AI67" s="1334"/>
      <c r="AO67" s="1334"/>
      <c r="AU67" s="1334"/>
      <c r="BA67" s="1334"/>
      <c r="BG67" s="1334"/>
      <c r="BM67" s="1334"/>
      <c r="BS67" s="1334"/>
      <c r="BW67" s="439"/>
      <c r="BY67" s="1334"/>
    </row>
    <row r="68" spans="1:77" s="385" customFormat="1" ht="14.25">
      <c r="A68" s="432"/>
      <c r="B68" s="432"/>
      <c r="C68" s="433"/>
      <c r="E68" s="432"/>
      <c r="F68" s="436"/>
      <c r="G68" s="436"/>
      <c r="H68" s="432"/>
      <c r="I68" s="432"/>
      <c r="J68" s="436"/>
      <c r="K68" s="436"/>
      <c r="L68" s="436"/>
      <c r="M68" s="436"/>
      <c r="N68" s="432"/>
      <c r="W68" s="1334"/>
      <c r="X68" s="1271"/>
      <c r="AC68" s="1334"/>
      <c r="AD68" s="1271"/>
      <c r="AI68" s="1334"/>
      <c r="AO68" s="1334"/>
      <c r="AU68" s="1334"/>
      <c r="BA68" s="1334"/>
      <c r="BG68" s="1334"/>
      <c r="BM68" s="1334"/>
      <c r="BS68" s="1334"/>
      <c r="BW68" s="439"/>
      <c r="BY68" s="1334"/>
    </row>
    <row r="69" spans="1:77" s="385" customFormat="1" ht="14.25">
      <c r="A69" s="432"/>
      <c r="B69" s="432"/>
      <c r="C69" s="433"/>
      <c r="E69" s="432"/>
      <c r="F69" s="436"/>
      <c r="G69" s="436"/>
      <c r="H69" s="432"/>
      <c r="I69" s="432"/>
      <c r="J69" s="436"/>
      <c r="K69" s="436"/>
      <c r="L69" s="436"/>
      <c r="M69" s="436"/>
      <c r="N69" s="432"/>
      <c r="W69" s="1334"/>
      <c r="X69" s="1271"/>
      <c r="AC69" s="1334"/>
      <c r="AD69" s="1271"/>
      <c r="AI69" s="1334"/>
      <c r="AO69" s="1334"/>
      <c r="AU69" s="1334"/>
      <c r="BA69" s="1334"/>
      <c r="BG69" s="1334"/>
      <c r="BM69" s="1334"/>
      <c r="BS69" s="1334"/>
      <c r="BW69" s="439"/>
      <c r="BY69" s="1334"/>
    </row>
    <row r="70" spans="1:77" s="385" customFormat="1" ht="14.25">
      <c r="A70" s="432"/>
      <c r="B70" s="432"/>
      <c r="C70" s="433"/>
      <c r="E70" s="432"/>
      <c r="F70" s="436"/>
      <c r="G70" s="436"/>
      <c r="H70" s="432"/>
      <c r="I70" s="432"/>
      <c r="J70" s="436"/>
      <c r="K70" s="436"/>
      <c r="L70" s="436"/>
      <c r="M70" s="436"/>
      <c r="N70" s="432"/>
      <c r="W70" s="1334"/>
      <c r="X70" s="1271"/>
      <c r="AC70" s="1334"/>
      <c r="AD70" s="1271"/>
      <c r="AI70" s="1334"/>
      <c r="AO70" s="1334"/>
      <c r="AU70" s="1334"/>
      <c r="BA70" s="1334"/>
      <c r="BG70" s="1334"/>
      <c r="BM70" s="1334"/>
      <c r="BS70" s="1334"/>
      <c r="BW70" s="439"/>
      <c r="BY70" s="1334"/>
    </row>
    <row r="71" spans="1:77" s="385" customFormat="1" ht="14.25">
      <c r="A71" s="432"/>
      <c r="B71" s="432"/>
      <c r="C71" s="433"/>
      <c r="E71" s="432"/>
      <c r="F71" s="436"/>
      <c r="G71" s="436"/>
      <c r="H71" s="432"/>
      <c r="I71" s="432"/>
      <c r="J71" s="436"/>
      <c r="K71" s="436"/>
      <c r="L71" s="436"/>
      <c r="M71" s="436"/>
      <c r="N71" s="432"/>
      <c r="W71" s="1334"/>
      <c r="X71" s="1271"/>
      <c r="AC71" s="1334"/>
      <c r="AD71" s="1271"/>
      <c r="AI71" s="1334"/>
      <c r="AO71" s="1334"/>
      <c r="AU71" s="1334"/>
      <c r="BA71" s="1334"/>
      <c r="BG71" s="1334"/>
      <c r="BM71" s="1334"/>
      <c r="BS71" s="1334"/>
      <c r="BW71" s="439"/>
      <c r="BY71" s="1334"/>
    </row>
    <row r="72" spans="1:77" s="385" customFormat="1" ht="14.25">
      <c r="A72" s="432"/>
      <c r="B72" s="432"/>
      <c r="C72" s="433"/>
      <c r="E72" s="432"/>
      <c r="F72" s="436"/>
      <c r="G72" s="436"/>
      <c r="H72" s="432"/>
      <c r="I72" s="432"/>
      <c r="J72" s="436"/>
      <c r="K72" s="436"/>
      <c r="L72" s="436"/>
      <c r="M72" s="436"/>
      <c r="N72" s="432"/>
      <c r="W72" s="1334"/>
      <c r="X72" s="1271"/>
      <c r="AC72" s="1334"/>
      <c r="AD72" s="1271"/>
      <c r="AI72" s="1334"/>
      <c r="AO72" s="1334"/>
      <c r="AU72" s="1334"/>
      <c r="BA72" s="1334"/>
      <c r="BG72" s="1334"/>
      <c r="BM72" s="1334"/>
      <c r="BS72" s="1334"/>
      <c r="BW72" s="439"/>
      <c r="BY72" s="1334"/>
    </row>
    <row r="73" spans="1:77" s="385" customFormat="1" ht="14.25">
      <c r="A73" s="432"/>
      <c r="B73" s="432"/>
      <c r="C73" s="433"/>
      <c r="E73" s="432"/>
      <c r="F73" s="436"/>
      <c r="G73" s="436"/>
      <c r="H73" s="432"/>
      <c r="I73" s="432"/>
      <c r="J73" s="436"/>
      <c r="K73" s="436"/>
      <c r="L73" s="436"/>
      <c r="M73" s="436"/>
      <c r="N73" s="432"/>
      <c r="W73" s="1334"/>
      <c r="X73" s="1271"/>
      <c r="AC73" s="1334"/>
      <c r="AD73" s="1271"/>
      <c r="AI73" s="1334"/>
      <c r="AO73" s="1334"/>
      <c r="AU73" s="1334"/>
      <c r="BA73" s="1334"/>
      <c r="BG73" s="1334"/>
      <c r="BM73" s="1334"/>
      <c r="BS73" s="1334"/>
      <c r="BW73" s="439"/>
      <c r="BY73" s="1334"/>
    </row>
    <row r="74" spans="1:77" s="385" customFormat="1" ht="14.25">
      <c r="A74" s="432"/>
      <c r="B74" s="432"/>
      <c r="C74" s="433"/>
      <c r="E74" s="432"/>
      <c r="F74" s="436"/>
      <c r="G74" s="436"/>
      <c r="H74" s="432"/>
      <c r="I74" s="432"/>
      <c r="J74" s="436"/>
      <c r="K74" s="436"/>
      <c r="L74" s="436"/>
      <c r="M74" s="436"/>
      <c r="N74" s="432"/>
      <c r="W74" s="1334"/>
      <c r="X74" s="1271"/>
      <c r="AC74" s="1334"/>
      <c r="AD74" s="1271"/>
      <c r="AI74" s="1334"/>
      <c r="AO74" s="1334"/>
      <c r="AU74" s="1334"/>
      <c r="BA74" s="1334"/>
      <c r="BG74" s="1334"/>
      <c r="BM74" s="1334"/>
      <c r="BS74" s="1334"/>
      <c r="BW74" s="439"/>
      <c r="BY74" s="1334"/>
    </row>
    <row r="75" spans="1:77" s="385" customFormat="1" ht="14.25">
      <c r="A75" s="432"/>
      <c r="B75" s="432"/>
      <c r="C75" s="433"/>
      <c r="E75" s="432"/>
      <c r="F75" s="436"/>
      <c r="G75" s="436"/>
      <c r="H75" s="432"/>
      <c r="I75" s="432"/>
      <c r="J75" s="436"/>
      <c r="K75" s="436"/>
      <c r="L75" s="436"/>
      <c r="M75" s="436"/>
      <c r="N75" s="432"/>
      <c r="W75" s="1334"/>
      <c r="X75" s="1271"/>
      <c r="AC75" s="1334"/>
      <c r="AD75" s="1271"/>
      <c r="AI75" s="1334"/>
      <c r="AO75" s="1334"/>
      <c r="AU75" s="1334"/>
      <c r="BA75" s="1334"/>
      <c r="BG75" s="1334"/>
      <c r="BM75" s="1334"/>
      <c r="BS75" s="1334"/>
      <c r="BW75" s="439"/>
      <c r="BY75" s="1334"/>
    </row>
    <row r="76" spans="1:77" s="385" customFormat="1" ht="14.25">
      <c r="A76" s="432"/>
      <c r="B76" s="432"/>
      <c r="C76" s="433"/>
      <c r="E76" s="432"/>
      <c r="F76" s="436"/>
      <c r="G76" s="436"/>
      <c r="H76" s="432"/>
      <c r="I76" s="432"/>
      <c r="J76" s="436"/>
      <c r="K76" s="436"/>
      <c r="L76" s="436"/>
      <c r="M76" s="436"/>
      <c r="N76" s="432"/>
      <c r="W76" s="1334"/>
      <c r="X76" s="1271"/>
      <c r="AC76" s="1334"/>
      <c r="AD76" s="1271"/>
      <c r="AI76" s="1334"/>
      <c r="AO76" s="1334"/>
      <c r="AU76" s="1334"/>
      <c r="BA76" s="1334"/>
      <c r="BG76" s="1334"/>
      <c r="BM76" s="1334"/>
      <c r="BS76" s="1334"/>
      <c r="BW76" s="439"/>
      <c r="BY76" s="1334"/>
    </row>
    <row r="77" spans="1:77" s="385" customFormat="1" ht="14.25">
      <c r="A77" s="432"/>
      <c r="B77" s="432"/>
      <c r="C77" s="433"/>
      <c r="E77" s="432"/>
      <c r="F77" s="436"/>
      <c r="G77" s="436"/>
      <c r="H77" s="432"/>
      <c r="I77" s="432"/>
      <c r="J77" s="436"/>
      <c r="K77" s="436"/>
      <c r="L77" s="436"/>
      <c r="M77" s="436"/>
      <c r="N77" s="432"/>
      <c r="W77" s="1334"/>
      <c r="X77" s="1271"/>
      <c r="AC77" s="1334"/>
      <c r="AD77" s="1271"/>
      <c r="AI77" s="1334"/>
      <c r="AO77" s="1334"/>
      <c r="AU77" s="1334"/>
      <c r="BA77" s="1334"/>
      <c r="BG77" s="1334"/>
      <c r="BM77" s="1334"/>
      <c r="BS77" s="1334"/>
      <c r="BW77" s="439"/>
      <c r="BY77" s="1334"/>
    </row>
    <row r="78" spans="1:77" s="385" customFormat="1" ht="14.25">
      <c r="A78" s="432"/>
      <c r="B78" s="432"/>
      <c r="C78" s="433"/>
      <c r="E78" s="432"/>
      <c r="F78" s="436"/>
      <c r="G78" s="436"/>
      <c r="H78" s="432"/>
      <c r="I78" s="432"/>
      <c r="J78" s="436"/>
      <c r="K78" s="436"/>
      <c r="L78" s="436"/>
      <c r="M78" s="436"/>
      <c r="N78" s="432"/>
      <c r="W78" s="1334"/>
      <c r="X78" s="1271"/>
      <c r="AC78" s="1334"/>
      <c r="AD78" s="1271"/>
      <c r="AI78" s="1334"/>
      <c r="AO78" s="1334"/>
      <c r="AU78" s="1334"/>
      <c r="BA78" s="1334"/>
      <c r="BG78" s="1334"/>
      <c r="BM78" s="1334"/>
      <c r="BS78" s="1334"/>
      <c r="BW78" s="439"/>
      <c r="BY78" s="1334"/>
    </row>
    <row r="79" spans="1:77" s="385" customFormat="1" ht="14.25">
      <c r="A79" s="432"/>
      <c r="B79" s="432"/>
      <c r="C79" s="433"/>
      <c r="E79" s="432"/>
      <c r="F79" s="436"/>
      <c r="G79" s="436"/>
      <c r="H79" s="432"/>
      <c r="I79" s="432"/>
      <c r="J79" s="436"/>
      <c r="K79" s="436"/>
      <c r="L79" s="436"/>
      <c r="M79" s="436"/>
      <c r="N79" s="432"/>
      <c r="W79" s="1334"/>
      <c r="X79" s="1271"/>
      <c r="AC79" s="1334"/>
      <c r="AD79" s="1271"/>
      <c r="AI79" s="1334"/>
      <c r="AO79" s="1334"/>
      <c r="AU79" s="1334"/>
      <c r="BA79" s="1334"/>
      <c r="BG79" s="1334"/>
      <c r="BM79" s="1334"/>
      <c r="BS79" s="1334"/>
      <c r="BW79" s="439"/>
      <c r="BY79" s="1334"/>
    </row>
    <row r="80" spans="1:77" s="385" customFormat="1" ht="14.25">
      <c r="A80" s="432"/>
      <c r="B80" s="432"/>
      <c r="C80" s="433"/>
      <c r="E80" s="432"/>
      <c r="F80" s="436"/>
      <c r="G80" s="436"/>
      <c r="H80" s="432"/>
      <c r="I80" s="432"/>
      <c r="J80" s="436"/>
      <c r="K80" s="436"/>
      <c r="L80" s="436"/>
      <c r="M80" s="436"/>
      <c r="N80" s="432"/>
      <c r="W80" s="1334"/>
      <c r="X80" s="1271"/>
      <c r="AC80" s="1334"/>
      <c r="AD80" s="1271"/>
      <c r="AI80" s="1334"/>
      <c r="AO80" s="1334"/>
      <c r="AU80" s="1334"/>
      <c r="BA80" s="1334"/>
      <c r="BG80" s="1334"/>
      <c r="BM80" s="1334"/>
      <c r="BS80" s="1334"/>
      <c r="BW80" s="439"/>
      <c r="BY80" s="1334"/>
    </row>
    <row r="81" spans="1:77" s="385" customFormat="1" ht="14.25">
      <c r="A81" s="432"/>
      <c r="B81" s="432"/>
      <c r="C81" s="433"/>
      <c r="E81" s="432"/>
      <c r="F81" s="436"/>
      <c r="G81" s="436"/>
      <c r="H81" s="432"/>
      <c r="I81" s="432"/>
      <c r="J81" s="436"/>
      <c r="K81" s="436"/>
      <c r="L81" s="436"/>
      <c r="M81" s="436"/>
      <c r="N81" s="432"/>
      <c r="W81" s="1334"/>
      <c r="X81" s="1271"/>
      <c r="AC81" s="1334"/>
      <c r="AD81" s="1271"/>
      <c r="AI81" s="1334"/>
      <c r="AO81" s="1334"/>
      <c r="AU81" s="1334"/>
      <c r="BA81" s="1334"/>
      <c r="BG81" s="1334"/>
      <c r="BM81" s="1334"/>
      <c r="BS81" s="1334"/>
      <c r="BW81" s="439"/>
      <c r="BY81" s="1334"/>
    </row>
    <row r="82" spans="1:77" s="385" customFormat="1" ht="14.25">
      <c r="A82" s="432"/>
      <c r="B82" s="432"/>
      <c r="C82" s="433"/>
      <c r="E82" s="432"/>
      <c r="F82" s="436"/>
      <c r="G82" s="436"/>
      <c r="H82" s="432"/>
      <c r="I82" s="432"/>
      <c r="J82" s="436"/>
      <c r="K82" s="436"/>
      <c r="L82" s="436"/>
      <c r="M82" s="436"/>
      <c r="N82" s="432"/>
      <c r="W82" s="1334"/>
      <c r="X82" s="1271"/>
      <c r="AC82" s="1334"/>
      <c r="AD82" s="1271"/>
      <c r="AI82" s="1334"/>
      <c r="AO82" s="1334"/>
      <c r="AU82" s="1334"/>
      <c r="BA82" s="1334"/>
      <c r="BG82" s="1334"/>
      <c r="BM82" s="1334"/>
      <c r="BS82" s="1334"/>
      <c r="BW82" s="439"/>
      <c r="BY82" s="1334"/>
    </row>
    <row r="83" spans="1:77" s="385" customFormat="1" ht="14.25">
      <c r="A83" s="432"/>
      <c r="B83" s="432"/>
      <c r="C83" s="433"/>
      <c r="E83" s="432"/>
      <c r="F83" s="436"/>
      <c r="G83" s="436"/>
      <c r="H83" s="432"/>
      <c r="I83" s="432"/>
      <c r="J83" s="436"/>
      <c r="K83" s="436"/>
      <c r="L83" s="436"/>
      <c r="M83" s="436"/>
      <c r="N83" s="432"/>
      <c r="W83" s="1334"/>
      <c r="X83" s="1271"/>
      <c r="AC83" s="1334"/>
      <c r="AD83" s="1271"/>
      <c r="AI83" s="1334"/>
      <c r="AO83" s="1334"/>
      <c r="AU83" s="1334"/>
      <c r="BA83" s="1334"/>
      <c r="BG83" s="1334"/>
      <c r="BM83" s="1334"/>
      <c r="BS83" s="1334"/>
      <c r="BW83" s="439"/>
      <c r="BY83" s="1334"/>
    </row>
    <row r="84" spans="1:77" s="385" customFormat="1" ht="14.25">
      <c r="A84" s="432"/>
      <c r="B84" s="432"/>
      <c r="C84" s="433"/>
      <c r="E84" s="432"/>
      <c r="F84" s="436"/>
      <c r="G84" s="436"/>
      <c r="H84" s="432"/>
      <c r="I84" s="432"/>
      <c r="J84" s="436"/>
      <c r="K84" s="436"/>
      <c r="L84" s="436"/>
      <c r="M84" s="436"/>
      <c r="N84" s="432"/>
      <c r="W84" s="1334"/>
      <c r="X84" s="1271"/>
      <c r="AC84" s="1334"/>
      <c r="AD84" s="1271"/>
      <c r="AI84" s="1334"/>
      <c r="AO84" s="1334"/>
      <c r="AU84" s="1334"/>
      <c r="BA84" s="1334"/>
      <c r="BG84" s="1334"/>
      <c r="BM84" s="1334"/>
      <c r="BS84" s="1334"/>
      <c r="BW84" s="439"/>
      <c r="BY84" s="1334"/>
    </row>
    <row r="85" spans="1:77" s="385" customFormat="1" ht="14.25">
      <c r="A85" s="432"/>
      <c r="B85" s="432"/>
      <c r="C85" s="433"/>
      <c r="E85" s="432"/>
      <c r="F85" s="436"/>
      <c r="G85" s="436"/>
      <c r="H85" s="432"/>
      <c r="I85" s="432"/>
      <c r="J85" s="436"/>
      <c r="K85" s="436"/>
      <c r="L85" s="436"/>
      <c r="M85" s="436"/>
      <c r="N85" s="432"/>
      <c r="W85" s="1334"/>
      <c r="X85" s="1271"/>
      <c r="AC85" s="1334"/>
      <c r="AD85" s="1271"/>
      <c r="AI85" s="1334"/>
      <c r="AO85" s="1334"/>
      <c r="AU85" s="1334"/>
      <c r="BA85" s="1334"/>
      <c r="BG85" s="1334"/>
      <c r="BM85" s="1334"/>
      <c r="BS85" s="1334"/>
      <c r="BW85" s="439"/>
      <c r="BY85" s="1334"/>
    </row>
    <row r="86" spans="1:77" s="385" customFormat="1" ht="14.25">
      <c r="A86" s="432"/>
      <c r="B86" s="432"/>
      <c r="C86" s="433"/>
      <c r="E86" s="432"/>
      <c r="F86" s="436"/>
      <c r="G86" s="436"/>
      <c r="H86" s="432"/>
      <c r="I86" s="432"/>
      <c r="J86" s="436"/>
      <c r="K86" s="436"/>
      <c r="L86" s="436"/>
      <c r="M86" s="436"/>
      <c r="N86" s="432"/>
      <c r="W86" s="1334"/>
      <c r="X86" s="1271"/>
      <c r="AC86" s="1334"/>
      <c r="AD86" s="1271"/>
      <c r="AI86" s="1334"/>
      <c r="AO86" s="1334"/>
      <c r="AU86" s="1334"/>
      <c r="BA86" s="1334"/>
      <c r="BG86" s="1334"/>
      <c r="BM86" s="1334"/>
      <c r="BS86" s="1334"/>
      <c r="BW86" s="439"/>
      <c r="BY86" s="1334"/>
    </row>
    <row r="87" spans="1:77" s="385" customFormat="1" ht="14.25">
      <c r="A87" s="432"/>
      <c r="B87" s="432"/>
      <c r="C87" s="433"/>
      <c r="E87" s="432"/>
      <c r="F87" s="436"/>
      <c r="G87" s="436"/>
      <c r="H87" s="432"/>
      <c r="I87" s="432"/>
      <c r="J87" s="436"/>
      <c r="K87" s="436"/>
      <c r="L87" s="436"/>
      <c r="M87" s="436"/>
      <c r="N87" s="432"/>
      <c r="W87" s="1334"/>
      <c r="X87" s="1271"/>
      <c r="AC87" s="1334"/>
      <c r="AD87" s="1271"/>
      <c r="AI87" s="1334"/>
      <c r="AO87" s="1334"/>
      <c r="AU87" s="1334"/>
      <c r="BA87" s="1334"/>
      <c r="BG87" s="1334"/>
      <c r="BM87" s="1334"/>
      <c r="BS87" s="1334"/>
      <c r="BW87" s="439"/>
      <c r="BY87" s="1334"/>
    </row>
    <row r="88" spans="1:77" s="385" customFormat="1" ht="14.25">
      <c r="A88" s="432"/>
      <c r="B88" s="432"/>
      <c r="C88" s="433"/>
      <c r="E88" s="432"/>
      <c r="F88" s="436"/>
      <c r="G88" s="436"/>
      <c r="H88" s="432"/>
      <c r="I88" s="432"/>
      <c r="J88" s="436"/>
      <c r="K88" s="436"/>
      <c r="L88" s="436"/>
      <c r="M88" s="436"/>
      <c r="N88" s="432"/>
      <c r="O88" s="436"/>
      <c r="P88" s="369"/>
      <c r="Q88" s="369"/>
      <c r="R88" s="369"/>
      <c r="S88" s="432"/>
      <c r="W88" s="1334"/>
      <c r="X88" s="1271"/>
      <c r="AC88" s="1334"/>
      <c r="AD88" s="1271"/>
      <c r="AI88" s="1334"/>
      <c r="AO88" s="1334"/>
      <c r="AU88" s="1334"/>
      <c r="BA88" s="1334"/>
      <c r="BG88" s="1334"/>
      <c r="BM88" s="1334"/>
      <c r="BS88" s="1334"/>
      <c r="BY88" s="1334"/>
    </row>
    <row r="89" spans="1:77" s="385" customFormat="1" ht="14.25">
      <c r="A89" s="432"/>
      <c r="B89" s="432"/>
      <c r="C89" s="433"/>
      <c r="E89" s="432"/>
      <c r="F89" s="436"/>
      <c r="G89" s="436"/>
      <c r="H89" s="432"/>
      <c r="I89" s="432"/>
      <c r="J89" s="436"/>
      <c r="K89" s="436"/>
      <c r="L89" s="436"/>
      <c r="M89" s="436"/>
      <c r="N89" s="432"/>
      <c r="O89" s="436"/>
      <c r="P89" s="369"/>
      <c r="Q89" s="369"/>
      <c r="R89" s="369"/>
      <c r="S89" s="432"/>
      <c r="W89" s="1334"/>
      <c r="X89" s="1271"/>
      <c r="AC89" s="1334"/>
      <c r="AD89" s="1271"/>
      <c r="AI89" s="1334"/>
      <c r="AO89" s="1334"/>
      <c r="AU89" s="1334"/>
      <c r="BA89" s="1334"/>
      <c r="BG89" s="1334"/>
      <c r="BM89" s="1334"/>
      <c r="BS89" s="1334"/>
      <c r="BY89" s="1334"/>
    </row>
    <row r="90" spans="1:77" s="385" customFormat="1" ht="14.25">
      <c r="A90" s="432"/>
      <c r="B90" s="432"/>
      <c r="C90" s="433"/>
      <c r="E90" s="432"/>
      <c r="F90" s="436"/>
      <c r="G90" s="436"/>
      <c r="H90" s="432"/>
      <c r="I90" s="432"/>
      <c r="J90" s="436"/>
      <c r="K90" s="436"/>
      <c r="L90" s="436"/>
      <c r="M90" s="436"/>
      <c r="N90" s="432"/>
      <c r="O90" s="436"/>
      <c r="P90" s="369"/>
      <c r="Q90" s="369"/>
      <c r="R90" s="369"/>
      <c r="S90" s="432"/>
      <c r="W90" s="1334"/>
      <c r="X90" s="1271"/>
      <c r="AC90" s="1334"/>
      <c r="AD90" s="1271"/>
      <c r="AI90" s="1334"/>
      <c r="AO90" s="1334"/>
      <c r="AU90" s="1334"/>
      <c r="BA90" s="1334"/>
      <c r="BG90" s="1334"/>
      <c r="BM90" s="1334"/>
      <c r="BS90" s="1334"/>
      <c r="BY90" s="1334"/>
    </row>
    <row r="91" spans="1:77" s="385" customFormat="1" ht="14.25">
      <c r="A91" s="432"/>
      <c r="B91" s="432"/>
      <c r="C91" s="433"/>
      <c r="E91" s="432"/>
      <c r="F91" s="436"/>
      <c r="G91" s="436"/>
      <c r="H91" s="432"/>
      <c r="I91" s="432"/>
      <c r="J91" s="436"/>
      <c r="K91" s="436"/>
      <c r="L91" s="436"/>
      <c r="M91" s="436"/>
      <c r="N91" s="432"/>
      <c r="O91" s="436"/>
      <c r="P91" s="369"/>
      <c r="Q91" s="369"/>
      <c r="R91" s="369"/>
      <c r="S91" s="432"/>
      <c r="W91" s="1334"/>
      <c r="X91" s="1271"/>
      <c r="AC91" s="1334"/>
      <c r="AD91" s="1271"/>
      <c r="AI91" s="1334"/>
      <c r="AO91" s="1334"/>
      <c r="AU91" s="1334"/>
      <c r="BA91" s="1334"/>
      <c r="BG91" s="1334"/>
      <c r="BM91" s="1334"/>
      <c r="BS91" s="1334"/>
      <c r="BY91" s="1334"/>
    </row>
    <row r="92" spans="1:77" s="385" customFormat="1" ht="14.25">
      <c r="A92" s="432"/>
      <c r="B92" s="432"/>
      <c r="C92" s="433"/>
      <c r="E92" s="432"/>
      <c r="F92" s="436"/>
      <c r="G92" s="436"/>
      <c r="H92" s="432"/>
      <c r="I92" s="432"/>
      <c r="J92" s="436"/>
      <c r="K92" s="436"/>
      <c r="L92" s="436"/>
      <c r="M92" s="436"/>
      <c r="N92" s="432"/>
      <c r="O92" s="436"/>
      <c r="P92" s="369"/>
      <c r="Q92" s="369"/>
      <c r="R92" s="369"/>
      <c r="S92" s="432"/>
      <c r="W92" s="1334"/>
      <c r="X92" s="1271"/>
      <c r="AC92" s="1334"/>
      <c r="AD92" s="1271"/>
      <c r="AI92" s="1334"/>
      <c r="AO92" s="1334"/>
      <c r="AU92" s="1334"/>
      <c r="BA92" s="1334"/>
      <c r="BG92" s="1334"/>
      <c r="BM92" s="1334"/>
      <c r="BS92" s="1334"/>
      <c r="BY92" s="1334"/>
    </row>
    <row r="93" spans="1:77" s="385" customFormat="1" ht="14.25">
      <c r="A93" s="432"/>
      <c r="B93" s="432"/>
      <c r="C93" s="433"/>
      <c r="E93" s="432"/>
      <c r="F93" s="436"/>
      <c r="G93" s="436"/>
      <c r="H93" s="432"/>
      <c r="I93" s="432"/>
      <c r="J93" s="436"/>
      <c r="K93" s="436"/>
      <c r="L93" s="436"/>
      <c r="M93" s="436"/>
      <c r="N93" s="432"/>
      <c r="O93" s="436"/>
      <c r="P93" s="369"/>
      <c r="Q93" s="369"/>
      <c r="R93" s="369"/>
      <c r="S93" s="432"/>
      <c r="W93" s="1334"/>
      <c r="X93" s="1271"/>
      <c r="AC93" s="1334"/>
      <c r="AD93" s="1271"/>
      <c r="AI93" s="1334"/>
      <c r="AO93" s="1334"/>
      <c r="AU93" s="1334"/>
      <c r="BA93" s="1334"/>
      <c r="BG93" s="1334"/>
      <c r="BM93" s="1334"/>
      <c r="BS93" s="1334"/>
      <c r="BY93" s="1334"/>
    </row>
    <row r="94" spans="1:77" s="385" customFormat="1" ht="14.25">
      <c r="A94" s="432"/>
      <c r="B94" s="432"/>
      <c r="C94" s="433"/>
      <c r="E94" s="432"/>
      <c r="F94" s="436"/>
      <c r="G94" s="436"/>
      <c r="H94" s="432"/>
      <c r="I94" s="432"/>
      <c r="J94" s="436"/>
      <c r="K94" s="436"/>
      <c r="L94" s="436"/>
      <c r="M94" s="436"/>
      <c r="N94" s="432"/>
      <c r="O94" s="436"/>
      <c r="P94" s="369"/>
      <c r="Q94" s="369"/>
      <c r="R94" s="369"/>
      <c r="S94" s="432"/>
      <c r="W94" s="1334"/>
      <c r="X94" s="1271"/>
      <c r="AC94" s="1334"/>
      <c r="AD94" s="1271"/>
      <c r="AI94" s="1334"/>
      <c r="AO94" s="1334"/>
      <c r="AU94" s="1334"/>
      <c r="BA94" s="1334"/>
      <c r="BG94" s="1334"/>
      <c r="BM94" s="1334"/>
      <c r="BS94" s="1334"/>
      <c r="BY94" s="1334"/>
    </row>
    <row r="95" spans="1:77" s="385" customFormat="1" ht="14.25">
      <c r="A95" s="432"/>
      <c r="B95" s="432"/>
      <c r="C95" s="433"/>
      <c r="E95" s="432"/>
      <c r="F95" s="436"/>
      <c r="G95" s="436"/>
      <c r="H95" s="432"/>
      <c r="I95" s="432"/>
      <c r="J95" s="436"/>
      <c r="K95" s="436"/>
      <c r="L95" s="436"/>
      <c r="M95" s="436"/>
      <c r="N95" s="432"/>
      <c r="O95" s="436"/>
      <c r="P95" s="369"/>
      <c r="Q95" s="369"/>
      <c r="R95" s="369"/>
      <c r="S95" s="432"/>
      <c r="W95" s="1334"/>
      <c r="X95" s="1271"/>
      <c r="AC95" s="1334"/>
      <c r="AD95" s="1271"/>
      <c r="AI95" s="1334"/>
      <c r="AO95" s="1334"/>
      <c r="AU95" s="1334"/>
      <c r="BA95" s="1334"/>
      <c r="BG95" s="1334"/>
      <c r="BM95" s="1334"/>
      <c r="BS95" s="1334"/>
      <c r="BY95" s="1334"/>
    </row>
    <row r="96" spans="1:77" s="385" customFormat="1" ht="14.25">
      <c r="A96" s="432"/>
      <c r="B96" s="432"/>
      <c r="C96" s="433"/>
      <c r="E96" s="432"/>
      <c r="F96" s="436"/>
      <c r="G96" s="436"/>
      <c r="H96" s="432"/>
      <c r="I96" s="432"/>
      <c r="J96" s="436"/>
      <c r="K96" s="436"/>
      <c r="L96" s="436"/>
      <c r="M96" s="436"/>
      <c r="N96" s="432"/>
      <c r="O96" s="436"/>
      <c r="P96" s="369"/>
      <c r="Q96" s="369"/>
      <c r="R96" s="369"/>
      <c r="S96" s="432"/>
      <c r="W96" s="1334"/>
      <c r="X96" s="1271"/>
      <c r="AC96" s="1334"/>
      <c r="AD96" s="1271"/>
      <c r="AI96" s="1334"/>
      <c r="AO96" s="1334"/>
      <c r="AU96" s="1334"/>
      <c r="BA96" s="1334"/>
      <c r="BG96" s="1334"/>
      <c r="BM96" s="1334"/>
      <c r="BS96" s="1334"/>
      <c r="BY96" s="1334"/>
    </row>
    <row r="97" spans="1:77" s="385" customFormat="1" ht="14.25">
      <c r="A97" s="432"/>
      <c r="B97" s="432"/>
      <c r="C97" s="433"/>
      <c r="E97" s="432"/>
      <c r="F97" s="436"/>
      <c r="G97" s="436"/>
      <c r="H97" s="432"/>
      <c r="I97" s="432"/>
      <c r="J97" s="436"/>
      <c r="K97" s="436"/>
      <c r="L97" s="436"/>
      <c r="M97" s="436"/>
      <c r="N97" s="432"/>
      <c r="O97" s="436"/>
      <c r="P97" s="369"/>
      <c r="Q97" s="369"/>
      <c r="R97" s="369"/>
      <c r="S97" s="432"/>
      <c r="W97" s="1334"/>
      <c r="X97" s="1271"/>
      <c r="AC97" s="1334"/>
      <c r="AD97" s="1271"/>
      <c r="AI97" s="1334"/>
      <c r="AO97" s="1334"/>
      <c r="AU97" s="1334"/>
      <c r="BA97" s="1334"/>
      <c r="BG97" s="1334"/>
      <c r="BM97" s="1334"/>
      <c r="BS97" s="1334"/>
      <c r="BY97" s="1334"/>
    </row>
    <row r="98" spans="1:77" s="385" customFormat="1" ht="14.25">
      <c r="A98" s="432"/>
      <c r="B98" s="432"/>
      <c r="C98" s="433"/>
      <c r="E98" s="432"/>
      <c r="F98" s="436"/>
      <c r="G98" s="436"/>
      <c r="H98" s="432"/>
      <c r="I98" s="432"/>
      <c r="J98" s="436"/>
      <c r="K98" s="436"/>
      <c r="L98" s="436"/>
      <c r="M98" s="436"/>
      <c r="N98" s="432"/>
      <c r="O98" s="436"/>
      <c r="P98" s="369"/>
      <c r="Q98" s="369"/>
      <c r="R98" s="369"/>
      <c r="S98" s="432"/>
      <c r="W98" s="1334"/>
      <c r="X98" s="1271"/>
      <c r="AC98" s="1334"/>
      <c r="AD98" s="1271"/>
      <c r="AI98" s="1334"/>
      <c r="AO98" s="1334"/>
      <c r="AU98" s="1334"/>
      <c r="BA98" s="1334"/>
      <c r="BG98" s="1334"/>
      <c r="BM98" s="1334"/>
      <c r="BS98" s="1334"/>
      <c r="BY98" s="1334"/>
    </row>
    <row r="99" spans="1:77" s="385" customFormat="1" ht="14.25">
      <c r="A99" s="432"/>
      <c r="B99" s="432"/>
      <c r="C99" s="433"/>
      <c r="E99" s="432"/>
      <c r="F99" s="436"/>
      <c r="G99" s="436"/>
      <c r="H99" s="432"/>
      <c r="I99" s="432"/>
      <c r="J99" s="436"/>
      <c r="K99" s="436"/>
      <c r="L99" s="436"/>
      <c r="M99" s="436"/>
      <c r="N99" s="432"/>
      <c r="O99" s="436"/>
      <c r="P99" s="369"/>
      <c r="Q99" s="369"/>
      <c r="R99" s="369"/>
      <c r="S99" s="432"/>
      <c r="W99" s="1334"/>
      <c r="X99" s="1271"/>
      <c r="AC99" s="1334"/>
      <c r="AD99" s="1271"/>
      <c r="AI99" s="1334"/>
      <c r="AO99" s="1334"/>
      <c r="AU99" s="1334"/>
      <c r="BA99" s="1334"/>
      <c r="BG99" s="1334"/>
      <c r="BM99" s="1334"/>
      <c r="BS99" s="1334"/>
      <c r="BY99" s="1334"/>
    </row>
    <row r="100" spans="1:77" s="385" customFormat="1" ht="14.25">
      <c r="A100" s="432"/>
      <c r="B100" s="432"/>
      <c r="C100" s="433"/>
      <c r="E100" s="432"/>
      <c r="F100" s="436"/>
      <c r="G100" s="436"/>
      <c r="H100" s="432"/>
      <c r="I100" s="432"/>
      <c r="J100" s="436"/>
      <c r="K100" s="436"/>
      <c r="L100" s="436"/>
      <c r="M100" s="436"/>
      <c r="N100" s="432"/>
      <c r="O100" s="436"/>
      <c r="P100" s="369"/>
      <c r="Q100" s="369"/>
      <c r="R100" s="369"/>
      <c r="S100" s="432"/>
      <c r="W100" s="1334"/>
      <c r="X100" s="1271"/>
      <c r="AC100" s="1334"/>
      <c r="AD100" s="1271"/>
      <c r="AI100" s="1334"/>
      <c r="AO100" s="1334"/>
      <c r="AU100" s="1334"/>
      <c r="BA100" s="1334"/>
      <c r="BG100" s="1334"/>
      <c r="BM100" s="1334"/>
      <c r="BS100" s="1334"/>
      <c r="BY100" s="1334"/>
    </row>
    <row r="101" spans="1:77" s="385" customFormat="1" ht="14.25">
      <c r="A101" s="432"/>
      <c r="B101" s="432"/>
      <c r="C101" s="433"/>
      <c r="E101" s="432"/>
      <c r="F101" s="436"/>
      <c r="G101" s="436"/>
      <c r="H101" s="432"/>
      <c r="I101" s="432"/>
      <c r="J101" s="436"/>
      <c r="K101" s="436"/>
      <c r="L101" s="436"/>
      <c r="M101" s="436"/>
      <c r="N101" s="432"/>
      <c r="O101" s="436"/>
      <c r="P101" s="369"/>
      <c r="Q101" s="369"/>
      <c r="R101" s="369"/>
      <c r="S101" s="432"/>
      <c r="W101" s="1334"/>
      <c r="X101" s="1271"/>
      <c r="AC101" s="1334"/>
      <c r="AD101" s="1271"/>
      <c r="AI101" s="1334"/>
      <c r="AO101" s="1334"/>
      <c r="AU101" s="1334"/>
      <c r="BA101" s="1334"/>
      <c r="BG101" s="1334"/>
      <c r="BM101" s="1334"/>
      <c r="BS101" s="1334"/>
      <c r="BY101" s="1334"/>
    </row>
    <row r="102" spans="1:77" s="385" customFormat="1" ht="14.25">
      <c r="A102" s="432"/>
      <c r="B102" s="432"/>
      <c r="C102" s="433"/>
      <c r="E102" s="432"/>
      <c r="F102" s="436"/>
      <c r="G102" s="436"/>
      <c r="H102" s="432"/>
      <c r="I102" s="432"/>
      <c r="J102" s="436"/>
      <c r="K102" s="436"/>
      <c r="L102" s="436"/>
      <c r="M102" s="436"/>
      <c r="N102" s="432"/>
      <c r="O102" s="436"/>
      <c r="P102" s="369"/>
      <c r="Q102" s="369"/>
      <c r="R102" s="369"/>
      <c r="S102" s="432"/>
      <c r="W102" s="1334"/>
      <c r="X102" s="1271"/>
      <c r="AC102" s="1334"/>
      <c r="AD102" s="1271"/>
      <c r="AI102" s="1334"/>
      <c r="AO102" s="1334"/>
      <c r="AU102" s="1334"/>
      <c r="BA102" s="1334"/>
      <c r="BG102" s="1334"/>
      <c r="BM102" s="1334"/>
      <c r="BS102" s="1334"/>
      <c r="BY102" s="1334"/>
    </row>
    <row r="103" spans="1:77" s="385" customFormat="1" ht="14.25">
      <c r="A103" s="432"/>
      <c r="B103" s="432"/>
      <c r="C103" s="433"/>
      <c r="E103" s="432"/>
      <c r="F103" s="436"/>
      <c r="G103" s="436"/>
      <c r="H103" s="432"/>
      <c r="I103" s="432"/>
      <c r="J103" s="436"/>
      <c r="K103" s="436"/>
      <c r="L103" s="436"/>
      <c r="M103" s="436"/>
      <c r="N103" s="432"/>
      <c r="O103" s="436"/>
      <c r="P103" s="369"/>
      <c r="Q103" s="369"/>
      <c r="R103" s="369"/>
      <c r="S103" s="432"/>
      <c r="W103" s="1334"/>
      <c r="X103" s="1271"/>
      <c r="AC103" s="1334"/>
      <c r="AD103" s="1271"/>
      <c r="AI103" s="1334"/>
      <c r="AO103" s="1334"/>
      <c r="AU103" s="1334"/>
      <c r="BA103" s="1334"/>
      <c r="BG103" s="1334"/>
      <c r="BM103" s="1334"/>
      <c r="BS103" s="1334"/>
      <c r="BY103" s="1334"/>
    </row>
    <row r="104" spans="1:77" s="385" customFormat="1" ht="14.25">
      <c r="A104" s="432"/>
      <c r="B104" s="432"/>
      <c r="C104" s="433"/>
      <c r="E104" s="432"/>
      <c r="F104" s="436"/>
      <c r="G104" s="436"/>
      <c r="H104" s="432"/>
      <c r="I104" s="432"/>
      <c r="J104" s="436"/>
      <c r="K104" s="436"/>
      <c r="L104" s="436"/>
      <c r="M104" s="436"/>
      <c r="N104" s="432"/>
      <c r="O104" s="436"/>
      <c r="P104" s="369"/>
      <c r="Q104" s="369"/>
      <c r="R104" s="369"/>
      <c r="S104" s="432"/>
      <c r="W104" s="1334"/>
      <c r="X104" s="1271"/>
      <c r="AC104" s="1334"/>
      <c r="AD104" s="1271"/>
      <c r="AI104" s="1334"/>
      <c r="AO104" s="1334"/>
      <c r="AU104" s="1334"/>
      <c r="BA104" s="1334"/>
      <c r="BG104" s="1334"/>
      <c r="BM104" s="1334"/>
      <c r="BS104" s="1334"/>
      <c r="BY104" s="1334"/>
    </row>
    <row r="105" spans="1:77" s="385" customFormat="1" ht="14.25">
      <c r="A105" s="432"/>
      <c r="B105" s="432"/>
      <c r="C105" s="433"/>
      <c r="E105" s="432"/>
      <c r="F105" s="436"/>
      <c r="G105" s="436"/>
      <c r="H105" s="432"/>
      <c r="I105" s="432"/>
      <c r="J105" s="436"/>
      <c r="K105" s="436"/>
      <c r="L105" s="436"/>
      <c r="M105" s="436"/>
      <c r="N105" s="432"/>
      <c r="O105" s="436"/>
      <c r="P105" s="369"/>
      <c r="Q105" s="369"/>
      <c r="R105" s="369"/>
      <c r="S105" s="432"/>
      <c r="W105" s="1334"/>
      <c r="X105" s="1271"/>
      <c r="AC105" s="1334"/>
      <c r="AD105" s="1271"/>
      <c r="AI105" s="1334"/>
      <c r="AO105" s="1334"/>
      <c r="AU105" s="1334"/>
      <c r="BA105" s="1334"/>
      <c r="BG105" s="1334"/>
      <c r="BM105" s="1334"/>
      <c r="BS105" s="1334"/>
      <c r="BY105" s="1334"/>
    </row>
    <row r="106" spans="1:77" s="385" customFormat="1" ht="14.25">
      <c r="A106" s="432"/>
      <c r="B106" s="432"/>
      <c r="C106" s="433"/>
      <c r="E106" s="432"/>
      <c r="F106" s="436"/>
      <c r="G106" s="436"/>
      <c r="H106" s="432"/>
      <c r="I106" s="432"/>
      <c r="J106" s="436"/>
      <c r="K106" s="436"/>
      <c r="L106" s="436"/>
      <c r="M106" s="436"/>
      <c r="N106" s="432"/>
      <c r="O106" s="436"/>
      <c r="P106" s="369"/>
      <c r="Q106" s="369"/>
      <c r="R106" s="369"/>
      <c r="S106" s="432"/>
      <c r="W106" s="1334"/>
      <c r="X106" s="1271"/>
      <c r="AC106" s="1334"/>
      <c r="AD106" s="1271"/>
      <c r="AI106" s="1334"/>
      <c r="AO106" s="1334"/>
      <c r="AU106" s="1334"/>
      <c r="BA106" s="1334"/>
      <c r="BG106" s="1334"/>
      <c r="BM106" s="1334"/>
      <c r="BS106" s="1334"/>
      <c r="BY106" s="1334"/>
    </row>
    <row r="107" spans="1:77" s="385" customFormat="1" ht="14.25">
      <c r="A107" s="432"/>
      <c r="B107" s="432"/>
      <c r="C107" s="433"/>
      <c r="E107" s="432"/>
      <c r="F107" s="436"/>
      <c r="G107" s="436"/>
      <c r="H107" s="432"/>
      <c r="I107" s="432"/>
      <c r="J107" s="436"/>
      <c r="K107" s="436"/>
      <c r="L107" s="436"/>
      <c r="M107" s="436"/>
      <c r="N107" s="432"/>
      <c r="O107" s="436"/>
      <c r="P107" s="369"/>
      <c r="Q107" s="369"/>
      <c r="R107" s="369"/>
      <c r="S107" s="432"/>
      <c r="W107" s="1334"/>
      <c r="X107" s="1271"/>
      <c r="AC107" s="1334"/>
      <c r="AD107" s="1271"/>
      <c r="AI107" s="1334"/>
      <c r="AO107" s="1334"/>
      <c r="AU107" s="1334"/>
      <c r="BA107" s="1334"/>
      <c r="BG107" s="1334"/>
      <c r="BM107" s="1334"/>
      <c r="BS107" s="1334"/>
      <c r="BY107" s="1334"/>
    </row>
    <row r="108" spans="1:77" s="385" customFormat="1" ht="14.25">
      <c r="A108" s="432"/>
      <c r="B108" s="432"/>
      <c r="C108" s="433"/>
      <c r="E108" s="432"/>
      <c r="F108" s="436"/>
      <c r="G108" s="436"/>
      <c r="H108" s="432"/>
      <c r="I108" s="432"/>
      <c r="J108" s="436"/>
      <c r="K108" s="436"/>
      <c r="L108" s="436"/>
      <c r="M108" s="436"/>
      <c r="N108" s="432"/>
      <c r="O108" s="436"/>
      <c r="P108" s="369"/>
      <c r="Q108" s="369"/>
      <c r="R108" s="369"/>
      <c r="S108" s="432"/>
      <c r="W108" s="1334"/>
      <c r="X108" s="1271"/>
      <c r="AC108" s="1334"/>
      <c r="AD108" s="1271"/>
      <c r="AI108" s="1334"/>
      <c r="AO108" s="1334"/>
      <c r="AU108" s="1334"/>
      <c r="BA108" s="1334"/>
      <c r="BG108" s="1334"/>
      <c r="BM108" s="1334"/>
      <c r="BS108" s="1334"/>
      <c r="BY108" s="1334"/>
    </row>
    <row r="109" spans="1:77" s="385" customFormat="1" ht="14.25">
      <c r="A109" s="432"/>
      <c r="B109" s="432"/>
      <c r="C109" s="433"/>
      <c r="E109" s="432"/>
      <c r="F109" s="436"/>
      <c r="G109" s="436"/>
      <c r="H109" s="432"/>
      <c r="I109" s="432"/>
      <c r="J109" s="436"/>
      <c r="K109" s="436"/>
      <c r="L109" s="436"/>
      <c r="M109" s="436"/>
      <c r="N109" s="432"/>
      <c r="O109" s="436"/>
      <c r="P109" s="369"/>
      <c r="Q109" s="369"/>
      <c r="R109" s="369"/>
      <c r="S109" s="432"/>
      <c r="W109" s="1334"/>
      <c r="X109" s="1271"/>
      <c r="AC109" s="1334"/>
      <c r="AD109" s="1271"/>
      <c r="AI109" s="1334"/>
      <c r="AO109" s="1334"/>
      <c r="AU109" s="1334"/>
      <c r="BA109" s="1334"/>
      <c r="BG109" s="1334"/>
      <c r="BM109" s="1334"/>
      <c r="BS109" s="1334"/>
      <c r="BY109" s="1334"/>
    </row>
    <row r="110" spans="1:77" s="385" customFormat="1" ht="14.25">
      <c r="A110" s="432"/>
      <c r="B110" s="432"/>
      <c r="C110" s="433"/>
      <c r="E110" s="432"/>
      <c r="F110" s="436"/>
      <c r="G110" s="436"/>
      <c r="H110" s="432"/>
      <c r="I110" s="432"/>
      <c r="J110" s="436"/>
      <c r="K110" s="436"/>
      <c r="L110" s="436"/>
      <c r="M110" s="436"/>
      <c r="N110" s="432"/>
      <c r="O110" s="436"/>
      <c r="P110" s="369"/>
      <c r="Q110" s="369"/>
      <c r="R110" s="369"/>
      <c r="S110" s="432"/>
      <c r="W110" s="1334"/>
      <c r="X110" s="1271"/>
      <c r="AC110" s="1334"/>
      <c r="AD110" s="1271"/>
      <c r="AI110" s="1334"/>
      <c r="AO110" s="1334"/>
      <c r="AU110" s="1334"/>
      <c r="BA110" s="1334"/>
      <c r="BG110" s="1334"/>
      <c r="BM110" s="1334"/>
      <c r="BS110" s="1334"/>
      <c r="BY110" s="1334"/>
    </row>
    <row r="111" spans="1:77" s="385" customFormat="1" ht="14.25">
      <c r="A111" s="432"/>
      <c r="B111" s="432"/>
      <c r="C111" s="433"/>
      <c r="E111" s="432"/>
      <c r="F111" s="436"/>
      <c r="G111" s="436"/>
      <c r="H111" s="432"/>
      <c r="I111" s="432"/>
      <c r="J111" s="436"/>
      <c r="K111" s="436"/>
      <c r="L111" s="436"/>
      <c r="M111" s="436"/>
      <c r="N111" s="432"/>
      <c r="O111" s="436"/>
      <c r="P111" s="369"/>
      <c r="Q111" s="369"/>
      <c r="R111" s="369"/>
      <c r="S111" s="432"/>
      <c r="W111" s="1334"/>
      <c r="X111" s="1271"/>
      <c r="AC111" s="1334"/>
      <c r="AD111" s="1271"/>
      <c r="AI111" s="1334"/>
      <c r="AO111" s="1334"/>
      <c r="AU111" s="1334"/>
      <c r="BA111" s="1334"/>
      <c r="BG111" s="1334"/>
      <c r="BM111" s="1334"/>
      <c r="BS111" s="1334"/>
      <c r="BY111" s="1334"/>
    </row>
    <row r="112" spans="1:77" s="385" customFormat="1" ht="14.25">
      <c r="A112" s="432"/>
      <c r="B112" s="432"/>
      <c r="C112" s="433"/>
      <c r="E112" s="432"/>
      <c r="F112" s="436"/>
      <c r="G112" s="436"/>
      <c r="H112" s="432"/>
      <c r="I112" s="432"/>
      <c r="J112" s="436"/>
      <c r="K112" s="436"/>
      <c r="L112" s="436"/>
      <c r="M112" s="436"/>
      <c r="N112" s="432"/>
      <c r="O112" s="436"/>
      <c r="P112" s="369"/>
      <c r="Q112" s="369"/>
      <c r="R112" s="369"/>
      <c r="S112" s="432"/>
      <c r="W112" s="1334"/>
      <c r="X112" s="1271"/>
      <c r="AC112" s="1334"/>
      <c r="AD112" s="1271"/>
      <c r="AI112" s="1334"/>
      <c r="AO112" s="1334"/>
      <c r="AU112" s="1334"/>
      <c r="BA112" s="1334"/>
      <c r="BG112" s="1334"/>
      <c r="BM112" s="1334"/>
      <c r="BS112" s="1334"/>
      <c r="BY112" s="1334"/>
    </row>
    <row r="113" spans="1:77" s="385" customFormat="1" ht="14.25">
      <c r="A113" s="432"/>
      <c r="B113" s="432"/>
      <c r="C113" s="433"/>
      <c r="E113" s="432"/>
      <c r="F113" s="436"/>
      <c r="G113" s="436"/>
      <c r="H113" s="432"/>
      <c r="I113" s="432"/>
      <c r="J113" s="436"/>
      <c r="K113" s="436"/>
      <c r="L113" s="436"/>
      <c r="M113" s="436"/>
      <c r="N113" s="432"/>
      <c r="O113" s="436"/>
      <c r="P113" s="369"/>
      <c r="Q113" s="369"/>
      <c r="R113" s="369"/>
      <c r="S113" s="432"/>
      <c r="W113" s="1334"/>
      <c r="X113" s="1271"/>
      <c r="AC113" s="1334"/>
      <c r="AD113" s="1271"/>
      <c r="AI113" s="1334"/>
      <c r="AO113" s="1334"/>
      <c r="AU113" s="1334"/>
      <c r="BA113" s="1334"/>
      <c r="BG113" s="1334"/>
      <c r="BM113" s="1334"/>
      <c r="BS113" s="1334"/>
      <c r="BY113" s="1334"/>
    </row>
    <row r="114" spans="1:77" s="385" customFormat="1" ht="14.25">
      <c r="A114" s="432"/>
      <c r="B114" s="432"/>
      <c r="C114" s="433"/>
      <c r="E114" s="432"/>
      <c r="F114" s="436"/>
      <c r="G114" s="436"/>
      <c r="H114" s="432"/>
      <c r="I114" s="432"/>
      <c r="J114" s="436"/>
      <c r="K114" s="436"/>
      <c r="L114" s="436"/>
      <c r="M114" s="436"/>
      <c r="N114" s="432"/>
      <c r="O114" s="436"/>
      <c r="P114" s="369"/>
      <c r="Q114" s="369"/>
      <c r="R114" s="369"/>
      <c r="S114" s="432"/>
      <c r="W114" s="1334"/>
      <c r="X114" s="1271"/>
      <c r="AC114" s="1334"/>
      <c r="AD114" s="1271"/>
      <c r="AI114" s="1334"/>
      <c r="AO114" s="1334"/>
      <c r="AU114" s="1334"/>
      <c r="BA114" s="1334"/>
      <c r="BG114" s="1334"/>
      <c r="BM114" s="1334"/>
      <c r="BS114" s="1334"/>
      <c r="BY114" s="1334"/>
    </row>
    <row r="115" spans="1:77" s="385" customFormat="1" ht="14.25">
      <c r="A115" s="432"/>
      <c r="B115" s="432"/>
      <c r="C115" s="433"/>
      <c r="E115" s="432"/>
      <c r="F115" s="436"/>
      <c r="G115" s="436"/>
      <c r="H115" s="432"/>
      <c r="I115" s="432"/>
      <c r="J115" s="436"/>
      <c r="K115" s="436"/>
      <c r="L115" s="436"/>
      <c r="M115" s="436"/>
      <c r="N115" s="432"/>
      <c r="O115" s="436"/>
      <c r="P115" s="369"/>
      <c r="Q115" s="369"/>
      <c r="R115" s="369"/>
      <c r="S115" s="432"/>
      <c r="W115" s="1334"/>
      <c r="X115" s="1271"/>
      <c r="AC115" s="1334"/>
      <c r="AD115" s="1271"/>
      <c r="AI115" s="1334"/>
      <c r="AO115" s="1334"/>
      <c r="AU115" s="1334"/>
      <c r="BA115" s="1334"/>
      <c r="BG115" s="1334"/>
      <c r="BM115" s="1334"/>
      <c r="BS115" s="1334"/>
      <c r="BY115" s="1334"/>
    </row>
    <row r="116" spans="1:77" s="385" customFormat="1" ht="14.25">
      <c r="A116" s="432"/>
      <c r="B116" s="432"/>
      <c r="C116" s="433"/>
      <c r="E116" s="432"/>
      <c r="F116" s="436"/>
      <c r="G116" s="436"/>
      <c r="H116" s="432"/>
      <c r="I116" s="432"/>
      <c r="J116" s="436"/>
      <c r="K116" s="436"/>
      <c r="L116" s="436"/>
      <c r="M116" s="436"/>
      <c r="N116" s="432"/>
      <c r="O116" s="436"/>
      <c r="P116" s="369"/>
      <c r="Q116" s="369"/>
      <c r="R116" s="369"/>
      <c r="S116" s="432"/>
      <c r="W116" s="1334"/>
      <c r="X116" s="1271"/>
      <c r="AC116" s="1334"/>
      <c r="AD116" s="1271"/>
      <c r="AI116" s="1334"/>
      <c r="AO116" s="1334"/>
      <c r="AU116" s="1334"/>
      <c r="BA116" s="1334"/>
      <c r="BG116" s="1334"/>
      <c r="BM116" s="1334"/>
      <c r="BS116" s="1334"/>
      <c r="BY116" s="1334"/>
    </row>
    <row r="117" spans="1:77" s="385" customFormat="1" ht="14.25">
      <c r="A117" s="432"/>
      <c r="B117" s="432"/>
      <c r="C117" s="433"/>
      <c r="E117" s="432"/>
      <c r="F117" s="436"/>
      <c r="G117" s="436"/>
      <c r="H117" s="432"/>
      <c r="I117" s="432"/>
      <c r="J117" s="436"/>
      <c r="K117" s="436"/>
      <c r="L117" s="436"/>
      <c r="M117" s="436"/>
      <c r="N117" s="432"/>
      <c r="O117" s="436"/>
      <c r="P117" s="369"/>
      <c r="Q117" s="369"/>
      <c r="R117" s="369"/>
      <c r="S117" s="432"/>
      <c r="W117" s="1334"/>
      <c r="X117" s="1271"/>
      <c r="AC117" s="1334"/>
      <c r="AD117" s="1271"/>
      <c r="AI117" s="1334"/>
      <c r="AO117" s="1334"/>
      <c r="AU117" s="1334"/>
      <c r="BA117" s="1334"/>
      <c r="BG117" s="1334"/>
      <c r="BM117" s="1334"/>
      <c r="BS117" s="1334"/>
      <c r="BY117" s="1334"/>
    </row>
    <row r="118" spans="1:77" s="385" customFormat="1" ht="14.25">
      <c r="A118" s="432"/>
      <c r="B118" s="432"/>
      <c r="C118" s="433"/>
      <c r="E118" s="432"/>
      <c r="F118" s="436"/>
      <c r="G118" s="436"/>
      <c r="H118" s="432"/>
      <c r="I118" s="432"/>
      <c r="J118" s="436"/>
      <c r="K118" s="436"/>
      <c r="L118" s="436"/>
      <c r="M118" s="436"/>
      <c r="N118" s="432"/>
      <c r="O118" s="436"/>
      <c r="P118" s="369"/>
      <c r="Q118" s="369"/>
      <c r="R118" s="369"/>
      <c r="S118" s="432"/>
      <c r="W118" s="1334"/>
      <c r="X118" s="1271"/>
      <c r="AC118" s="1334"/>
      <c r="AD118" s="1271"/>
      <c r="AI118" s="1334"/>
      <c r="AO118" s="1334"/>
      <c r="AU118" s="1334"/>
      <c r="BA118" s="1334"/>
      <c r="BG118" s="1334"/>
      <c r="BM118" s="1334"/>
      <c r="BS118" s="1334"/>
      <c r="BY118" s="1334"/>
    </row>
    <row r="119" spans="1:77" s="385" customFormat="1" ht="14.25">
      <c r="A119" s="432"/>
      <c r="B119" s="432"/>
      <c r="C119" s="433"/>
      <c r="E119" s="432"/>
      <c r="F119" s="436"/>
      <c r="G119" s="436"/>
      <c r="H119" s="432"/>
      <c r="I119" s="432"/>
      <c r="J119" s="436"/>
      <c r="K119" s="436"/>
      <c r="L119" s="436"/>
      <c r="M119" s="436"/>
      <c r="N119" s="432"/>
      <c r="O119" s="436"/>
      <c r="P119" s="369"/>
      <c r="Q119" s="369"/>
      <c r="R119" s="369"/>
      <c r="S119" s="432"/>
      <c r="W119" s="1334"/>
      <c r="X119" s="1271"/>
      <c r="AC119" s="1334"/>
      <c r="AD119" s="1271"/>
      <c r="AI119" s="1334"/>
      <c r="AO119" s="1334"/>
      <c r="AU119" s="1334"/>
      <c r="BA119" s="1334"/>
      <c r="BG119" s="1334"/>
      <c r="BM119" s="1334"/>
      <c r="BS119" s="1334"/>
      <c r="BY119" s="1334"/>
    </row>
    <row r="120" spans="1:77" s="385" customFormat="1" ht="14.25">
      <c r="A120" s="432"/>
      <c r="B120" s="432"/>
      <c r="C120" s="433"/>
      <c r="E120" s="432"/>
      <c r="F120" s="436"/>
      <c r="G120" s="436"/>
      <c r="H120" s="432"/>
      <c r="I120" s="432"/>
      <c r="J120" s="436"/>
      <c r="K120" s="436"/>
      <c r="L120" s="436"/>
      <c r="M120" s="436"/>
      <c r="N120" s="432"/>
      <c r="O120" s="436"/>
      <c r="P120" s="369"/>
      <c r="Q120" s="369"/>
      <c r="R120" s="369"/>
      <c r="S120" s="432"/>
      <c r="W120" s="1334"/>
      <c r="X120" s="1271"/>
      <c r="AC120" s="1334"/>
      <c r="AD120" s="1271"/>
      <c r="AI120" s="1334"/>
      <c r="AO120" s="1334"/>
      <c r="AU120" s="1334"/>
      <c r="BA120" s="1334"/>
      <c r="BG120" s="1334"/>
      <c r="BM120" s="1334"/>
      <c r="BS120" s="1334"/>
      <c r="BY120" s="1334"/>
    </row>
    <row r="121" spans="1:77" s="385" customFormat="1" ht="14.25">
      <c r="A121" s="432"/>
      <c r="B121" s="432"/>
      <c r="C121" s="433"/>
      <c r="E121" s="432"/>
      <c r="F121" s="436"/>
      <c r="G121" s="436"/>
      <c r="H121" s="432"/>
      <c r="I121" s="432"/>
      <c r="J121" s="436"/>
      <c r="K121" s="436"/>
      <c r="L121" s="436"/>
      <c r="M121" s="436"/>
      <c r="N121" s="432"/>
      <c r="O121" s="436"/>
      <c r="P121" s="369"/>
      <c r="Q121" s="369"/>
      <c r="R121" s="369"/>
      <c r="S121" s="432"/>
      <c r="W121" s="1334"/>
      <c r="X121" s="1271"/>
      <c r="AC121" s="1334"/>
      <c r="AD121" s="1271"/>
      <c r="AI121" s="1334"/>
      <c r="AO121" s="1334"/>
      <c r="AU121" s="1334"/>
      <c r="BA121" s="1334"/>
      <c r="BG121" s="1334"/>
      <c r="BM121" s="1334"/>
      <c r="BS121" s="1334"/>
      <c r="BY121" s="1334"/>
    </row>
    <row r="122" spans="1:77" s="385" customFormat="1" ht="14.25">
      <c r="A122" s="432"/>
      <c r="B122" s="432"/>
      <c r="C122" s="433"/>
      <c r="E122" s="432"/>
      <c r="F122" s="436"/>
      <c r="G122" s="436"/>
      <c r="H122" s="432"/>
      <c r="I122" s="432"/>
      <c r="J122" s="436"/>
      <c r="K122" s="436"/>
      <c r="L122" s="436"/>
      <c r="M122" s="436"/>
      <c r="N122" s="432"/>
      <c r="O122" s="436"/>
      <c r="P122" s="369"/>
      <c r="Q122" s="369"/>
      <c r="R122" s="369"/>
      <c r="S122" s="432"/>
      <c r="W122" s="1334"/>
      <c r="X122" s="1271"/>
      <c r="AC122" s="1334"/>
      <c r="AD122" s="1271"/>
      <c r="AI122" s="1334"/>
      <c r="AO122" s="1334"/>
      <c r="AU122" s="1334"/>
      <c r="BA122" s="1334"/>
      <c r="BG122" s="1334"/>
      <c r="BM122" s="1334"/>
      <c r="BS122" s="1334"/>
      <c r="BY122" s="1334"/>
    </row>
    <row r="123" spans="1:77" s="385" customFormat="1" ht="14.25">
      <c r="A123" s="432"/>
      <c r="B123" s="432"/>
      <c r="C123" s="433"/>
      <c r="E123" s="432"/>
      <c r="F123" s="436"/>
      <c r="G123" s="436"/>
      <c r="H123" s="432"/>
      <c r="I123" s="432"/>
      <c r="J123" s="436"/>
      <c r="K123" s="436"/>
      <c r="L123" s="436"/>
      <c r="M123" s="436"/>
      <c r="N123" s="432"/>
      <c r="O123" s="436"/>
      <c r="P123" s="369"/>
      <c r="Q123" s="369"/>
      <c r="R123" s="369"/>
      <c r="S123" s="432"/>
      <c r="W123" s="1334"/>
      <c r="X123" s="1271"/>
      <c r="AC123" s="1334"/>
      <c r="AD123" s="1271"/>
      <c r="AI123" s="1334"/>
      <c r="AO123" s="1334"/>
      <c r="AU123" s="1334"/>
      <c r="BA123" s="1334"/>
      <c r="BG123" s="1334"/>
      <c r="BM123" s="1334"/>
      <c r="BS123" s="1334"/>
      <c r="BY123" s="1334"/>
    </row>
    <row r="124" spans="1:77" s="385" customFormat="1" ht="14.25">
      <c r="A124" s="432"/>
      <c r="B124" s="432"/>
      <c r="C124" s="433"/>
      <c r="E124" s="432"/>
      <c r="F124" s="436"/>
      <c r="G124" s="436"/>
      <c r="H124" s="432"/>
      <c r="I124" s="432"/>
      <c r="J124" s="436"/>
      <c r="K124" s="436"/>
      <c r="L124" s="436"/>
      <c r="M124" s="436"/>
      <c r="N124" s="432"/>
      <c r="O124" s="436"/>
      <c r="P124" s="369"/>
      <c r="Q124" s="369"/>
      <c r="R124" s="369"/>
      <c r="S124" s="432"/>
      <c r="W124" s="1334"/>
      <c r="X124" s="1271"/>
      <c r="AC124" s="1334"/>
      <c r="AD124" s="1271"/>
      <c r="AI124" s="1334"/>
      <c r="AO124" s="1334"/>
      <c r="AU124" s="1334"/>
      <c r="BA124" s="1334"/>
      <c r="BG124" s="1334"/>
      <c r="BM124" s="1334"/>
      <c r="BS124" s="1334"/>
      <c r="BY124" s="1334"/>
    </row>
    <row r="125" spans="1:77" s="385" customFormat="1" ht="14.25">
      <c r="A125" s="432"/>
      <c r="B125" s="432"/>
      <c r="C125" s="433"/>
      <c r="E125" s="432"/>
      <c r="F125" s="436"/>
      <c r="G125" s="436"/>
      <c r="H125" s="432"/>
      <c r="I125" s="432"/>
      <c r="J125" s="436"/>
      <c r="K125" s="436"/>
      <c r="L125" s="436"/>
      <c r="M125" s="436"/>
      <c r="N125" s="432"/>
      <c r="O125" s="436"/>
      <c r="P125" s="369"/>
      <c r="Q125" s="369"/>
      <c r="R125" s="369"/>
      <c r="S125" s="432"/>
      <c r="W125" s="1334"/>
      <c r="X125" s="1271"/>
      <c r="AC125" s="1334"/>
      <c r="AD125" s="1271"/>
      <c r="AI125" s="1334"/>
      <c r="AO125" s="1334"/>
      <c r="AU125" s="1334"/>
      <c r="BA125" s="1334"/>
      <c r="BG125" s="1334"/>
      <c r="BM125" s="1334"/>
      <c r="BS125" s="1334"/>
      <c r="BY125" s="1334"/>
    </row>
    <row r="126" spans="1:77" s="385" customFormat="1" ht="14.25">
      <c r="A126" s="432"/>
      <c r="B126" s="432"/>
      <c r="C126" s="433"/>
      <c r="E126" s="432"/>
      <c r="F126" s="436"/>
      <c r="G126" s="436"/>
      <c r="H126" s="432"/>
      <c r="I126" s="432"/>
      <c r="J126" s="436"/>
      <c r="K126" s="436"/>
      <c r="L126" s="436"/>
      <c r="M126" s="436"/>
      <c r="N126" s="432"/>
      <c r="O126" s="436"/>
      <c r="P126" s="369"/>
      <c r="Q126" s="369"/>
      <c r="R126" s="369"/>
      <c r="S126" s="432"/>
      <c r="W126" s="1334"/>
      <c r="X126" s="1271"/>
      <c r="AC126" s="1334"/>
      <c r="AD126" s="1271"/>
      <c r="AI126" s="1334"/>
      <c r="AO126" s="1334"/>
      <c r="AU126" s="1334"/>
      <c r="BA126" s="1334"/>
      <c r="BG126" s="1334"/>
      <c r="BM126" s="1334"/>
      <c r="BS126" s="1334"/>
      <c r="BY126" s="1334"/>
    </row>
    <row r="127" spans="1:77" s="385" customFormat="1" ht="14.25">
      <c r="A127" s="432"/>
      <c r="B127" s="432"/>
      <c r="C127" s="433"/>
      <c r="E127" s="432"/>
      <c r="F127" s="436"/>
      <c r="G127" s="436"/>
      <c r="H127" s="432"/>
      <c r="I127" s="432"/>
      <c r="J127" s="436"/>
      <c r="K127" s="436"/>
      <c r="L127" s="436"/>
      <c r="M127" s="436"/>
      <c r="N127" s="432"/>
      <c r="O127" s="436"/>
      <c r="P127" s="369"/>
      <c r="Q127" s="369"/>
      <c r="R127" s="369"/>
      <c r="S127" s="432"/>
      <c r="W127" s="1334"/>
      <c r="X127" s="1271"/>
      <c r="AC127" s="1334"/>
      <c r="AD127" s="1271"/>
      <c r="AI127" s="1334"/>
      <c r="AO127" s="1334"/>
      <c r="AU127" s="1334"/>
      <c r="BA127" s="1334"/>
      <c r="BG127" s="1334"/>
      <c r="BM127" s="1334"/>
      <c r="BS127" s="1334"/>
      <c r="BY127" s="1334"/>
    </row>
    <row r="128" spans="1:77" s="385" customFormat="1" ht="14.25">
      <c r="A128" s="432"/>
      <c r="B128" s="432"/>
      <c r="C128" s="433"/>
      <c r="E128" s="432"/>
      <c r="F128" s="436"/>
      <c r="G128" s="436"/>
      <c r="H128" s="432"/>
      <c r="I128" s="432"/>
      <c r="J128" s="436"/>
      <c r="K128" s="436"/>
      <c r="L128" s="436"/>
      <c r="M128" s="436"/>
      <c r="N128" s="432"/>
      <c r="O128" s="436"/>
      <c r="P128" s="369"/>
      <c r="Q128" s="369"/>
      <c r="R128" s="369"/>
      <c r="S128" s="432"/>
      <c r="W128" s="1334"/>
      <c r="X128" s="1271"/>
      <c r="AC128" s="1334"/>
      <c r="AD128" s="1271"/>
      <c r="AI128" s="1334"/>
      <c r="AO128" s="1334"/>
      <c r="AU128" s="1334"/>
      <c r="BA128" s="1334"/>
      <c r="BG128" s="1334"/>
      <c r="BM128" s="1334"/>
      <c r="BS128" s="1334"/>
      <c r="BY128" s="1334"/>
    </row>
    <row r="129" spans="1:77" s="385" customFormat="1" ht="14.25">
      <c r="A129" s="432"/>
      <c r="B129" s="432"/>
      <c r="C129" s="433"/>
      <c r="E129" s="432"/>
      <c r="F129" s="436"/>
      <c r="G129" s="436"/>
      <c r="H129" s="432"/>
      <c r="I129" s="432"/>
      <c r="J129" s="436"/>
      <c r="K129" s="436"/>
      <c r="L129" s="436"/>
      <c r="M129" s="436"/>
      <c r="N129" s="432"/>
      <c r="O129" s="436"/>
      <c r="P129" s="369"/>
      <c r="Q129" s="369"/>
      <c r="R129" s="369"/>
      <c r="S129" s="432"/>
      <c r="W129" s="1334"/>
      <c r="X129" s="1271"/>
      <c r="AC129" s="1334"/>
      <c r="AD129" s="1271"/>
      <c r="AI129" s="1334"/>
      <c r="AO129" s="1334"/>
      <c r="AU129" s="1334"/>
      <c r="BA129" s="1334"/>
      <c r="BG129" s="1334"/>
      <c r="BM129" s="1334"/>
      <c r="BS129" s="1334"/>
      <c r="BY129" s="1334"/>
    </row>
    <row r="130" spans="1:77" s="385" customFormat="1" ht="14.25">
      <c r="A130" s="432"/>
      <c r="B130" s="432"/>
      <c r="C130" s="433"/>
      <c r="E130" s="432"/>
      <c r="F130" s="436"/>
      <c r="G130" s="436"/>
      <c r="H130" s="432"/>
      <c r="I130" s="432"/>
      <c r="J130" s="436"/>
      <c r="K130" s="436"/>
      <c r="L130" s="436"/>
      <c r="M130" s="436"/>
      <c r="N130" s="432"/>
      <c r="O130" s="436"/>
      <c r="P130" s="369"/>
      <c r="Q130" s="369"/>
      <c r="R130" s="369"/>
      <c r="S130" s="432"/>
      <c r="W130" s="1334"/>
      <c r="X130" s="1271"/>
      <c r="AC130" s="1334"/>
      <c r="AD130" s="1271"/>
      <c r="AI130" s="1334"/>
      <c r="AO130" s="1334"/>
      <c r="AU130" s="1334"/>
      <c r="BA130" s="1334"/>
      <c r="BG130" s="1334"/>
      <c r="BM130" s="1334"/>
      <c r="BS130" s="1334"/>
      <c r="BY130" s="1334"/>
    </row>
    <row r="131" spans="1:77" s="385" customFormat="1" ht="14.25">
      <c r="A131" s="432"/>
      <c r="B131" s="432"/>
      <c r="C131" s="433"/>
      <c r="E131" s="432"/>
      <c r="F131" s="436"/>
      <c r="G131" s="436"/>
      <c r="H131" s="432"/>
      <c r="I131" s="432"/>
      <c r="J131" s="436"/>
      <c r="K131" s="436"/>
      <c r="L131" s="436"/>
      <c r="M131" s="436"/>
      <c r="N131" s="432"/>
      <c r="O131" s="436"/>
      <c r="P131" s="369"/>
      <c r="Q131" s="369"/>
      <c r="R131" s="369"/>
      <c r="S131" s="432"/>
      <c r="W131" s="1334"/>
      <c r="X131" s="1271"/>
      <c r="AC131" s="1334"/>
      <c r="AD131" s="1271"/>
      <c r="AI131" s="1334"/>
      <c r="AO131" s="1334"/>
      <c r="AU131" s="1334"/>
      <c r="BA131" s="1334"/>
      <c r="BG131" s="1334"/>
      <c r="BM131" s="1334"/>
      <c r="BS131" s="1334"/>
      <c r="BY131" s="1334"/>
    </row>
    <row r="132" spans="1:77" s="385" customFormat="1" ht="14.25">
      <c r="A132" s="432"/>
      <c r="B132" s="432"/>
      <c r="C132" s="433"/>
      <c r="E132" s="432"/>
      <c r="F132" s="436"/>
      <c r="G132" s="436"/>
      <c r="H132" s="432"/>
      <c r="I132" s="432"/>
      <c r="J132" s="436"/>
      <c r="K132" s="436"/>
      <c r="L132" s="436"/>
      <c r="M132" s="436"/>
      <c r="N132" s="432"/>
      <c r="O132" s="436"/>
      <c r="P132" s="369"/>
      <c r="Q132" s="369"/>
      <c r="R132" s="369"/>
      <c r="S132" s="432"/>
      <c r="W132" s="1334"/>
      <c r="X132" s="1271"/>
      <c r="AC132" s="1334"/>
      <c r="AD132" s="1271"/>
      <c r="AI132" s="1334"/>
      <c r="AO132" s="1334"/>
      <c r="AU132" s="1334"/>
      <c r="BA132" s="1334"/>
      <c r="BG132" s="1334"/>
      <c r="BM132" s="1334"/>
      <c r="BS132" s="1334"/>
      <c r="BY132" s="1334"/>
    </row>
    <row r="133" spans="1:77" s="385" customFormat="1" ht="14.25">
      <c r="A133" s="432"/>
      <c r="B133" s="432"/>
      <c r="C133" s="433"/>
      <c r="E133" s="432"/>
      <c r="F133" s="436"/>
      <c r="G133" s="436"/>
      <c r="H133" s="432"/>
      <c r="I133" s="432"/>
      <c r="J133" s="436"/>
      <c r="K133" s="436"/>
      <c r="L133" s="436"/>
      <c r="M133" s="436"/>
      <c r="N133" s="432"/>
      <c r="O133" s="436"/>
      <c r="P133" s="369"/>
      <c r="Q133" s="369"/>
      <c r="R133" s="369"/>
      <c r="S133" s="432"/>
      <c r="W133" s="1334"/>
      <c r="X133" s="1271"/>
      <c r="AC133" s="1334"/>
      <c r="AD133" s="1271"/>
      <c r="AI133" s="1334"/>
      <c r="AO133" s="1334"/>
      <c r="AU133" s="1334"/>
      <c r="BA133" s="1334"/>
      <c r="BG133" s="1334"/>
      <c r="BM133" s="1334"/>
      <c r="BS133" s="1334"/>
      <c r="BY133" s="1334"/>
    </row>
    <row r="134" spans="1:77" s="385" customFormat="1" ht="14.25">
      <c r="A134" s="432"/>
      <c r="B134" s="432"/>
      <c r="C134" s="433"/>
      <c r="E134" s="432"/>
      <c r="F134" s="436"/>
      <c r="G134" s="436"/>
      <c r="H134" s="432"/>
      <c r="I134" s="432"/>
      <c r="J134" s="436"/>
      <c r="K134" s="436"/>
      <c r="L134" s="436"/>
      <c r="M134" s="436"/>
      <c r="N134" s="432"/>
      <c r="O134" s="436"/>
      <c r="P134" s="369"/>
      <c r="Q134" s="369"/>
      <c r="R134" s="369"/>
      <c r="S134" s="432"/>
      <c r="W134" s="1334"/>
      <c r="X134" s="1271"/>
      <c r="AC134" s="1334"/>
      <c r="AD134" s="1271"/>
      <c r="AI134" s="1334"/>
      <c r="AO134" s="1334"/>
      <c r="AU134" s="1334"/>
      <c r="BA134" s="1334"/>
      <c r="BG134" s="1334"/>
      <c r="BM134" s="1334"/>
      <c r="BS134" s="1334"/>
      <c r="BY134" s="1334"/>
    </row>
    <row r="135" spans="1:77" s="385" customFormat="1" ht="14.25">
      <c r="A135" s="432"/>
      <c r="B135" s="432"/>
      <c r="C135" s="433"/>
      <c r="E135" s="432"/>
      <c r="F135" s="436"/>
      <c r="G135" s="436"/>
      <c r="H135" s="432"/>
      <c r="I135" s="432"/>
      <c r="J135" s="436"/>
      <c r="K135" s="436"/>
      <c r="L135" s="436"/>
      <c r="M135" s="436"/>
      <c r="N135" s="432"/>
      <c r="O135" s="436"/>
      <c r="P135" s="369"/>
      <c r="Q135" s="369"/>
      <c r="R135" s="369"/>
      <c r="S135" s="432"/>
      <c r="W135" s="1334"/>
      <c r="X135" s="1271"/>
      <c r="AC135" s="1334"/>
      <c r="AD135" s="1271"/>
      <c r="AI135" s="1334"/>
      <c r="AO135" s="1334"/>
      <c r="AU135" s="1334"/>
      <c r="BA135" s="1334"/>
      <c r="BG135" s="1334"/>
      <c r="BM135" s="1334"/>
      <c r="BS135" s="1334"/>
      <c r="BY135" s="1334"/>
    </row>
    <row r="136" spans="1:77" s="385" customFormat="1" ht="14.25">
      <c r="A136" s="432"/>
      <c r="B136" s="432"/>
      <c r="C136" s="433"/>
      <c r="E136" s="432"/>
      <c r="F136" s="436"/>
      <c r="G136" s="436"/>
      <c r="H136" s="432"/>
      <c r="I136" s="432"/>
      <c r="J136" s="436"/>
      <c r="K136" s="436"/>
      <c r="L136" s="436"/>
      <c r="M136" s="436"/>
      <c r="N136" s="432"/>
      <c r="O136" s="436"/>
      <c r="P136" s="369"/>
      <c r="Q136" s="369"/>
      <c r="R136" s="369"/>
      <c r="S136" s="432"/>
      <c r="W136" s="1334"/>
      <c r="X136" s="1271"/>
      <c r="AC136" s="1334"/>
      <c r="AD136" s="1271"/>
      <c r="AI136" s="1334"/>
      <c r="AO136" s="1334"/>
      <c r="AU136" s="1334"/>
      <c r="BA136" s="1334"/>
      <c r="BG136" s="1334"/>
      <c r="BM136" s="1334"/>
      <c r="BS136" s="1334"/>
      <c r="BY136" s="1334"/>
    </row>
    <row r="137" spans="1:77" s="385" customFormat="1" ht="14.25">
      <c r="A137" s="432"/>
      <c r="B137" s="432"/>
      <c r="C137" s="433"/>
      <c r="E137" s="432"/>
      <c r="F137" s="436"/>
      <c r="G137" s="436"/>
      <c r="H137" s="432"/>
      <c r="I137" s="432"/>
      <c r="J137" s="436"/>
      <c r="K137" s="436"/>
      <c r="L137" s="436"/>
      <c r="M137" s="436"/>
      <c r="N137" s="432"/>
      <c r="O137" s="436"/>
      <c r="P137" s="369"/>
      <c r="Q137" s="369"/>
      <c r="R137" s="369"/>
      <c r="S137" s="432"/>
      <c r="W137" s="1334"/>
      <c r="X137" s="1271"/>
      <c r="AC137" s="1334"/>
      <c r="AD137" s="1271"/>
      <c r="AI137" s="1334"/>
      <c r="AO137" s="1334"/>
      <c r="AU137" s="1334"/>
      <c r="BA137" s="1334"/>
      <c r="BG137" s="1334"/>
      <c r="BM137" s="1334"/>
      <c r="BS137" s="1334"/>
      <c r="BY137" s="1334"/>
    </row>
    <row r="138" spans="1:77" s="385" customFormat="1" ht="14.25">
      <c r="A138" s="432"/>
      <c r="B138" s="432"/>
      <c r="C138" s="433"/>
      <c r="E138" s="432"/>
      <c r="F138" s="436"/>
      <c r="G138" s="436"/>
      <c r="H138" s="432"/>
      <c r="I138" s="432"/>
      <c r="J138" s="436"/>
      <c r="K138" s="436"/>
      <c r="L138" s="436"/>
      <c r="M138" s="436"/>
      <c r="N138" s="432"/>
      <c r="O138" s="436"/>
      <c r="P138" s="369"/>
      <c r="Q138" s="369"/>
      <c r="R138" s="369"/>
      <c r="S138" s="432"/>
      <c r="W138" s="1334"/>
      <c r="X138" s="1271"/>
      <c r="AC138" s="1334"/>
      <c r="AD138" s="1271"/>
      <c r="AI138" s="1334"/>
      <c r="AO138" s="1334"/>
      <c r="AU138" s="1334"/>
      <c r="BA138" s="1334"/>
      <c r="BG138" s="1334"/>
      <c r="BM138" s="1334"/>
      <c r="BS138" s="1334"/>
      <c r="BY138" s="1334"/>
    </row>
    <row r="139" spans="1:77" s="385" customFormat="1" ht="14.25">
      <c r="A139" s="432"/>
      <c r="B139" s="432"/>
      <c r="C139" s="433"/>
      <c r="E139" s="432"/>
      <c r="F139" s="436"/>
      <c r="G139" s="436"/>
      <c r="H139" s="432"/>
      <c r="I139" s="432"/>
      <c r="J139" s="436"/>
      <c r="K139" s="436"/>
      <c r="L139" s="436"/>
      <c r="M139" s="436"/>
      <c r="N139" s="432"/>
      <c r="O139" s="436"/>
      <c r="P139" s="369"/>
      <c r="Q139" s="369"/>
      <c r="R139" s="369"/>
      <c r="S139" s="432"/>
      <c r="W139" s="1334"/>
      <c r="X139" s="1271"/>
      <c r="AC139" s="1334"/>
      <c r="AD139" s="1271"/>
      <c r="AI139" s="1334"/>
      <c r="AO139" s="1334"/>
      <c r="AU139" s="1334"/>
      <c r="BA139" s="1334"/>
      <c r="BG139" s="1334"/>
      <c r="BM139" s="1334"/>
      <c r="BS139" s="1334"/>
      <c r="BY139" s="1334"/>
    </row>
    <row r="140" spans="1:77" s="385" customFormat="1" ht="14.25">
      <c r="A140" s="432"/>
      <c r="B140" s="432"/>
      <c r="C140" s="433"/>
      <c r="E140" s="432"/>
      <c r="F140" s="436"/>
      <c r="G140" s="436"/>
      <c r="H140" s="432"/>
      <c r="I140" s="432"/>
      <c r="J140" s="436"/>
      <c r="K140" s="436"/>
      <c r="L140" s="436"/>
      <c r="M140" s="436"/>
      <c r="N140" s="432"/>
      <c r="O140" s="436"/>
      <c r="P140" s="369"/>
      <c r="Q140" s="369"/>
      <c r="R140" s="369"/>
      <c r="S140" s="432"/>
      <c r="W140" s="1334"/>
      <c r="X140" s="1271"/>
      <c r="AC140" s="1334"/>
      <c r="AD140" s="1271"/>
      <c r="AI140" s="1334"/>
      <c r="AO140" s="1334"/>
      <c r="AU140" s="1334"/>
      <c r="BA140" s="1334"/>
      <c r="BG140" s="1334"/>
      <c r="BM140" s="1334"/>
      <c r="BS140" s="1334"/>
      <c r="BY140" s="1334"/>
    </row>
    <row r="141" spans="1:77" s="385" customFormat="1" ht="14.25">
      <c r="A141" s="432"/>
      <c r="B141" s="432"/>
      <c r="C141" s="433"/>
      <c r="E141" s="432"/>
      <c r="F141" s="436"/>
      <c r="G141" s="436"/>
      <c r="H141" s="432"/>
      <c r="I141" s="432"/>
      <c r="J141" s="436"/>
      <c r="K141" s="436"/>
      <c r="L141" s="436"/>
      <c r="M141" s="436"/>
      <c r="N141" s="432"/>
      <c r="O141" s="436"/>
      <c r="P141" s="369"/>
      <c r="Q141" s="369"/>
      <c r="R141" s="369"/>
      <c r="S141" s="432"/>
      <c r="W141" s="1334"/>
      <c r="X141" s="1271"/>
      <c r="AC141" s="1334"/>
      <c r="AD141" s="1271"/>
      <c r="AI141" s="1334"/>
      <c r="AO141" s="1334"/>
      <c r="AU141" s="1334"/>
      <c r="BA141" s="1334"/>
      <c r="BG141" s="1334"/>
      <c r="BM141" s="1334"/>
      <c r="BS141" s="1334"/>
      <c r="BY141" s="1334"/>
    </row>
    <row r="142" spans="1:77" s="385" customFormat="1" ht="14.25">
      <c r="A142" s="432"/>
      <c r="B142" s="432"/>
      <c r="C142" s="433"/>
      <c r="E142" s="432"/>
      <c r="F142" s="436"/>
      <c r="G142" s="436"/>
      <c r="H142" s="432"/>
      <c r="I142" s="432"/>
      <c r="J142" s="436"/>
      <c r="K142" s="436"/>
      <c r="L142" s="436"/>
      <c r="M142" s="436"/>
      <c r="N142" s="432"/>
      <c r="O142" s="436"/>
      <c r="P142" s="369"/>
      <c r="Q142" s="369"/>
      <c r="R142" s="369"/>
      <c r="S142" s="432"/>
      <c r="W142" s="1334"/>
      <c r="X142" s="1271"/>
      <c r="AC142" s="1334"/>
      <c r="AD142" s="1271"/>
      <c r="AI142" s="1334"/>
      <c r="AO142" s="1334"/>
      <c r="AU142" s="1334"/>
      <c r="BA142" s="1334"/>
      <c r="BG142" s="1334"/>
      <c r="BM142" s="1334"/>
      <c r="BS142" s="1334"/>
      <c r="BY142" s="1334"/>
    </row>
    <row r="143" spans="1:77" s="385" customFormat="1" ht="14.25">
      <c r="A143" s="432"/>
      <c r="B143" s="432"/>
      <c r="C143" s="433"/>
      <c r="E143" s="432"/>
      <c r="F143" s="436"/>
      <c r="G143" s="436"/>
      <c r="H143" s="432"/>
      <c r="I143" s="432"/>
      <c r="J143" s="436"/>
      <c r="K143" s="436"/>
      <c r="L143" s="436"/>
      <c r="M143" s="436"/>
      <c r="N143" s="432"/>
      <c r="O143" s="436"/>
      <c r="P143" s="369"/>
      <c r="Q143" s="369"/>
      <c r="R143" s="369"/>
      <c r="S143" s="432"/>
      <c r="W143" s="1334"/>
      <c r="X143" s="1271"/>
      <c r="AC143" s="1334"/>
      <c r="AD143" s="1271"/>
      <c r="AI143" s="1334"/>
      <c r="AO143" s="1334"/>
      <c r="AU143" s="1334"/>
      <c r="BA143" s="1334"/>
      <c r="BG143" s="1334"/>
      <c r="BM143" s="1334"/>
      <c r="BS143" s="1334"/>
      <c r="BY143" s="1334"/>
    </row>
    <row r="144" spans="1:77" s="385" customFormat="1" ht="14.25">
      <c r="A144" s="432"/>
      <c r="B144" s="432"/>
      <c r="C144" s="433"/>
      <c r="E144" s="432"/>
      <c r="F144" s="436"/>
      <c r="G144" s="436"/>
      <c r="H144" s="432"/>
      <c r="I144" s="432"/>
      <c r="J144" s="436"/>
      <c r="K144" s="436"/>
      <c r="L144" s="436"/>
      <c r="M144" s="436"/>
      <c r="N144" s="432"/>
      <c r="O144" s="436"/>
      <c r="P144" s="369"/>
      <c r="Q144" s="369"/>
      <c r="R144" s="369"/>
      <c r="S144" s="432"/>
      <c r="W144" s="1334"/>
      <c r="X144" s="1271"/>
      <c r="AC144" s="1334"/>
      <c r="AD144" s="1271"/>
      <c r="AI144" s="1334"/>
      <c r="AO144" s="1334"/>
      <c r="AU144" s="1334"/>
      <c r="BA144" s="1334"/>
      <c r="BG144" s="1334"/>
      <c r="BM144" s="1334"/>
      <c r="BS144" s="1334"/>
      <c r="BY144" s="1334"/>
    </row>
    <row r="145" spans="1:77" s="385" customFormat="1" ht="14.25">
      <c r="A145" s="432"/>
      <c r="B145" s="432"/>
      <c r="C145" s="433"/>
      <c r="E145" s="432"/>
      <c r="F145" s="436"/>
      <c r="G145" s="436"/>
      <c r="H145" s="432"/>
      <c r="I145" s="432"/>
      <c r="J145" s="436"/>
      <c r="K145" s="436"/>
      <c r="L145" s="436"/>
      <c r="M145" s="436"/>
      <c r="N145" s="432"/>
      <c r="O145" s="436"/>
      <c r="P145" s="369"/>
      <c r="Q145" s="369"/>
      <c r="R145" s="369"/>
      <c r="S145" s="432"/>
      <c r="W145" s="1334"/>
      <c r="X145" s="1271"/>
      <c r="AC145" s="1334"/>
      <c r="AD145" s="1271"/>
      <c r="AI145" s="1334"/>
      <c r="AO145" s="1334"/>
      <c r="AU145" s="1334"/>
      <c r="BA145" s="1334"/>
      <c r="BG145" s="1334"/>
      <c r="BM145" s="1334"/>
      <c r="BS145" s="1334"/>
      <c r="BY145" s="1334"/>
    </row>
    <row r="146" spans="1:77" s="385" customFormat="1" ht="14.25">
      <c r="A146" s="432"/>
      <c r="B146" s="432"/>
      <c r="C146" s="433"/>
      <c r="E146" s="432"/>
      <c r="F146" s="436"/>
      <c r="G146" s="436"/>
      <c r="H146" s="432"/>
      <c r="I146" s="432"/>
      <c r="J146" s="436"/>
      <c r="K146" s="436"/>
      <c r="L146" s="436"/>
      <c r="M146" s="436"/>
      <c r="N146" s="432"/>
      <c r="O146" s="436"/>
      <c r="P146" s="369"/>
      <c r="Q146" s="369"/>
      <c r="R146" s="369"/>
      <c r="S146" s="432"/>
      <c r="W146" s="1334"/>
      <c r="X146" s="1271"/>
      <c r="AC146" s="1334"/>
      <c r="AD146" s="1271"/>
      <c r="AI146" s="1334"/>
      <c r="AO146" s="1334"/>
      <c r="AU146" s="1334"/>
      <c r="BA146" s="1334"/>
      <c r="BG146" s="1334"/>
      <c r="BM146" s="1334"/>
      <c r="BS146" s="1334"/>
      <c r="BY146" s="1334"/>
    </row>
    <row r="147" spans="1:77" s="385" customFormat="1" ht="14.25">
      <c r="A147" s="432"/>
      <c r="B147" s="432"/>
      <c r="C147" s="433"/>
      <c r="E147" s="432"/>
      <c r="F147" s="436"/>
      <c r="G147" s="436"/>
      <c r="H147" s="432"/>
      <c r="I147" s="432"/>
      <c r="J147" s="436"/>
      <c r="K147" s="436"/>
      <c r="L147" s="436"/>
      <c r="M147" s="436"/>
      <c r="N147" s="432"/>
      <c r="O147" s="436"/>
      <c r="P147" s="369"/>
      <c r="Q147" s="369"/>
      <c r="R147" s="369"/>
      <c r="S147" s="432"/>
      <c r="W147" s="1334"/>
      <c r="X147" s="1271"/>
      <c r="AC147" s="1334"/>
      <c r="AD147" s="1271"/>
      <c r="AI147" s="1334"/>
      <c r="AO147" s="1334"/>
      <c r="AU147" s="1334"/>
      <c r="BA147" s="1334"/>
      <c r="BG147" s="1334"/>
      <c r="BM147" s="1334"/>
      <c r="BS147" s="1334"/>
      <c r="BY147" s="1334"/>
    </row>
    <row r="148" spans="1:77" s="385" customFormat="1" ht="14.25">
      <c r="A148" s="432"/>
      <c r="B148" s="432"/>
      <c r="C148" s="433"/>
      <c r="E148" s="432"/>
      <c r="F148" s="436"/>
      <c r="G148" s="436"/>
      <c r="H148" s="432"/>
      <c r="I148" s="432"/>
      <c r="J148" s="436"/>
      <c r="K148" s="436"/>
      <c r="L148" s="436"/>
      <c r="M148" s="436"/>
      <c r="N148" s="432"/>
      <c r="O148" s="436"/>
      <c r="P148" s="369"/>
      <c r="Q148" s="369"/>
      <c r="R148" s="369"/>
      <c r="S148" s="432"/>
      <c r="W148" s="1334"/>
      <c r="X148" s="1271"/>
      <c r="AC148" s="1334"/>
      <c r="AD148" s="1271"/>
      <c r="AI148" s="1334"/>
      <c r="AO148" s="1334"/>
      <c r="AU148" s="1334"/>
      <c r="BA148" s="1334"/>
      <c r="BG148" s="1334"/>
      <c r="BM148" s="1334"/>
      <c r="BS148" s="1334"/>
      <c r="BY148" s="1334"/>
    </row>
    <row r="149" spans="1:77" s="385" customFormat="1" ht="14.25">
      <c r="A149" s="432"/>
      <c r="B149" s="432"/>
      <c r="C149" s="433"/>
      <c r="E149" s="432"/>
      <c r="F149" s="436"/>
      <c r="G149" s="436"/>
      <c r="H149" s="432"/>
      <c r="I149" s="432"/>
      <c r="J149" s="436"/>
      <c r="K149" s="436"/>
      <c r="L149" s="436"/>
      <c r="M149" s="436"/>
      <c r="N149" s="432"/>
      <c r="O149" s="436"/>
      <c r="P149" s="369"/>
      <c r="Q149" s="369"/>
      <c r="R149" s="369"/>
      <c r="S149" s="432"/>
      <c r="W149" s="1334"/>
      <c r="X149" s="1271"/>
      <c r="AC149" s="1334"/>
      <c r="AD149" s="1271"/>
      <c r="AI149" s="1334"/>
      <c r="AO149" s="1334"/>
      <c r="AU149" s="1334"/>
      <c r="BA149" s="1334"/>
      <c r="BG149" s="1334"/>
      <c r="BM149" s="1334"/>
      <c r="BS149" s="1334"/>
      <c r="BY149" s="1334"/>
    </row>
    <row r="150" spans="1:77" s="385" customFormat="1" ht="14.25">
      <c r="A150" s="432"/>
      <c r="B150" s="432"/>
      <c r="C150" s="433"/>
      <c r="E150" s="432"/>
      <c r="F150" s="436"/>
      <c r="G150" s="436"/>
      <c r="H150" s="432"/>
      <c r="I150" s="432"/>
      <c r="J150" s="436"/>
      <c r="K150" s="436"/>
      <c r="L150" s="436"/>
      <c r="M150" s="436"/>
      <c r="N150" s="432"/>
      <c r="O150" s="436"/>
      <c r="P150" s="369"/>
      <c r="Q150" s="369"/>
      <c r="R150" s="369"/>
      <c r="S150" s="432"/>
      <c r="W150" s="1334"/>
      <c r="X150" s="1271"/>
      <c r="AC150" s="1334"/>
      <c r="AD150" s="1271"/>
      <c r="AI150" s="1334"/>
      <c r="AO150" s="1334"/>
      <c r="AU150" s="1334"/>
      <c r="BA150" s="1334"/>
      <c r="BG150" s="1334"/>
      <c r="BM150" s="1334"/>
      <c r="BS150" s="1334"/>
      <c r="BY150" s="1334"/>
    </row>
    <row r="151" spans="1:77" s="385" customFormat="1" ht="14.25">
      <c r="A151" s="432"/>
      <c r="B151" s="432"/>
      <c r="C151" s="433"/>
      <c r="E151" s="432"/>
      <c r="F151" s="436"/>
      <c r="G151" s="436"/>
      <c r="H151" s="432"/>
      <c r="I151" s="432"/>
      <c r="J151" s="436"/>
      <c r="K151" s="436"/>
      <c r="L151" s="436"/>
      <c r="M151" s="436"/>
      <c r="N151" s="432"/>
      <c r="O151" s="436"/>
      <c r="P151" s="369"/>
      <c r="Q151" s="369"/>
      <c r="R151" s="369"/>
      <c r="S151" s="432"/>
      <c r="W151" s="1334"/>
      <c r="X151" s="1271"/>
      <c r="AC151" s="1334"/>
      <c r="AD151" s="1271"/>
      <c r="AI151" s="1334"/>
      <c r="AO151" s="1334"/>
      <c r="AU151" s="1334"/>
      <c r="BA151" s="1334"/>
      <c r="BG151" s="1334"/>
      <c r="BM151" s="1334"/>
      <c r="BS151" s="1334"/>
      <c r="BY151" s="1334"/>
    </row>
    <row r="152" spans="1:77" s="385" customFormat="1" ht="14.25">
      <c r="A152" s="432"/>
      <c r="B152" s="432"/>
      <c r="C152" s="433"/>
      <c r="E152" s="432"/>
      <c r="F152" s="436"/>
      <c r="G152" s="436"/>
      <c r="H152" s="432"/>
      <c r="I152" s="432"/>
      <c r="J152" s="436"/>
      <c r="K152" s="436"/>
      <c r="L152" s="436"/>
      <c r="M152" s="436"/>
      <c r="N152" s="432"/>
      <c r="O152" s="436"/>
      <c r="P152" s="369"/>
      <c r="Q152" s="369"/>
      <c r="R152" s="369"/>
      <c r="S152" s="432"/>
      <c r="W152" s="1334"/>
      <c r="X152" s="1271"/>
      <c r="AC152" s="1334"/>
      <c r="AD152" s="1271"/>
      <c r="AI152" s="1334"/>
      <c r="AO152" s="1334"/>
      <c r="AU152" s="1334"/>
      <c r="BA152" s="1334"/>
      <c r="BG152" s="1334"/>
      <c r="BM152" s="1334"/>
      <c r="BS152" s="1334"/>
      <c r="BY152" s="1334"/>
    </row>
    <row r="153" spans="1:77" s="385" customFormat="1" ht="14.25">
      <c r="A153" s="432"/>
      <c r="B153" s="432"/>
      <c r="C153" s="433"/>
      <c r="E153" s="432"/>
      <c r="F153" s="436"/>
      <c r="G153" s="436"/>
      <c r="H153" s="432"/>
      <c r="I153" s="432"/>
      <c r="J153" s="436"/>
      <c r="K153" s="436"/>
      <c r="L153" s="436"/>
      <c r="M153" s="436"/>
      <c r="N153" s="432"/>
      <c r="O153" s="436"/>
      <c r="P153" s="369"/>
      <c r="Q153" s="369"/>
      <c r="R153" s="369"/>
      <c r="S153" s="432"/>
      <c r="W153" s="1334"/>
      <c r="X153" s="1271"/>
      <c r="AC153" s="1334"/>
      <c r="AD153" s="1271"/>
      <c r="AI153" s="1334"/>
      <c r="AO153" s="1334"/>
      <c r="AU153" s="1334"/>
      <c r="BA153" s="1334"/>
      <c r="BG153" s="1334"/>
      <c r="BM153" s="1334"/>
      <c r="BS153" s="1334"/>
      <c r="BY153" s="1334"/>
    </row>
    <row r="154" spans="1:77" s="385" customFormat="1" ht="14.25">
      <c r="A154" s="432"/>
      <c r="B154" s="432"/>
      <c r="C154" s="433"/>
      <c r="E154" s="432"/>
      <c r="F154" s="436"/>
      <c r="G154" s="436"/>
      <c r="H154" s="432"/>
      <c r="I154" s="432"/>
      <c r="J154" s="436"/>
      <c r="K154" s="436"/>
      <c r="L154" s="436"/>
      <c r="M154" s="436"/>
      <c r="N154" s="432"/>
      <c r="O154" s="436"/>
      <c r="P154" s="369"/>
      <c r="Q154" s="369"/>
      <c r="R154" s="369"/>
      <c r="S154" s="432"/>
      <c r="W154" s="1334"/>
      <c r="X154" s="1271"/>
      <c r="AC154" s="1334"/>
      <c r="AD154" s="1271"/>
      <c r="AI154" s="1334"/>
      <c r="AO154" s="1334"/>
      <c r="AU154" s="1334"/>
      <c r="BA154" s="1334"/>
      <c r="BG154" s="1334"/>
      <c r="BM154" s="1334"/>
      <c r="BS154" s="1334"/>
      <c r="BY154" s="1334"/>
    </row>
    <row r="155" spans="1:77" s="385" customFormat="1" ht="14.25">
      <c r="A155" s="432"/>
      <c r="B155" s="432"/>
      <c r="C155" s="433"/>
      <c r="E155" s="432"/>
      <c r="F155" s="436"/>
      <c r="G155" s="436"/>
      <c r="H155" s="432"/>
      <c r="I155" s="432"/>
      <c r="J155" s="436"/>
      <c r="K155" s="436"/>
      <c r="L155" s="436"/>
      <c r="M155" s="436"/>
      <c r="N155" s="432"/>
      <c r="O155" s="436"/>
      <c r="P155" s="369"/>
      <c r="Q155" s="369"/>
      <c r="R155" s="369"/>
      <c r="S155" s="432"/>
      <c r="W155" s="1334"/>
      <c r="X155" s="1271"/>
      <c r="AC155" s="1334"/>
      <c r="AD155" s="1271"/>
      <c r="AI155" s="1334"/>
      <c r="AO155" s="1334"/>
      <c r="AU155" s="1334"/>
      <c r="BA155" s="1334"/>
      <c r="BG155" s="1334"/>
      <c r="BM155" s="1334"/>
      <c r="BS155" s="1334"/>
      <c r="BY155" s="1334"/>
    </row>
    <row r="156" spans="1:77" s="385" customFormat="1" ht="14.25">
      <c r="A156" s="432"/>
      <c r="B156" s="432"/>
      <c r="C156" s="433"/>
      <c r="E156" s="432"/>
      <c r="F156" s="436"/>
      <c r="G156" s="436"/>
      <c r="H156" s="432"/>
      <c r="I156" s="432"/>
      <c r="J156" s="436"/>
      <c r="K156" s="436"/>
      <c r="L156" s="436"/>
      <c r="M156" s="436"/>
      <c r="N156" s="432"/>
      <c r="O156" s="436"/>
      <c r="P156" s="369"/>
      <c r="Q156" s="369"/>
      <c r="R156" s="369"/>
      <c r="S156" s="432"/>
      <c r="W156" s="1334"/>
      <c r="X156" s="1271"/>
      <c r="AC156" s="1334"/>
      <c r="AD156" s="1271"/>
      <c r="AI156" s="1334"/>
      <c r="AO156" s="1334"/>
      <c r="AU156" s="1334"/>
      <c r="BA156" s="1334"/>
      <c r="BG156" s="1334"/>
      <c r="BM156" s="1334"/>
      <c r="BS156" s="1334"/>
      <c r="BY156" s="1334"/>
    </row>
    <row r="157" spans="1:77" s="385" customFormat="1" ht="14.25">
      <c r="A157" s="432"/>
      <c r="B157" s="432"/>
      <c r="C157" s="433"/>
      <c r="E157" s="432"/>
      <c r="F157" s="436"/>
      <c r="G157" s="436"/>
      <c r="H157" s="432"/>
      <c r="I157" s="432"/>
      <c r="J157" s="436"/>
      <c r="K157" s="436"/>
      <c r="L157" s="436"/>
      <c r="M157" s="436"/>
      <c r="N157" s="432"/>
      <c r="O157" s="436"/>
      <c r="P157" s="369"/>
      <c r="Q157" s="369"/>
      <c r="R157" s="369"/>
      <c r="S157" s="432"/>
      <c r="W157" s="1334"/>
      <c r="X157" s="1271"/>
      <c r="AC157" s="1334"/>
      <c r="AD157" s="1271"/>
      <c r="AI157" s="1334"/>
      <c r="AO157" s="1334"/>
      <c r="AU157" s="1334"/>
      <c r="BA157" s="1334"/>
      <c r="BG157" s="1334"/>
      <c r="BM157" s="1334"/>
      <c r="BS157" s="1334"/>
      <c r="BY157" s="1334"/>
    </row>
    <row r="158" spans="1:77" s="385" customFormat="1" ht="14.25">
      <c r="A158" s="432"/>
      <c r="B158" s="432"/>
      <c r="C158" s="433"/>
      <c r="E158" s="432"/>
      <c r="F158" s="436"/>
      <c r="G158" s="436"/>
      <c r="H158" s="432"/>
      <c r="I158" s="432"/>
      <c r="J158" s="436"/>
      <c r="K158" s="436"/>
      <c r="L158" s="436"/>
      <c r="M158" s="436"/>
      <c r="N158" s="432"/>
      <c r="O158" s="436"/>
      <c r="P158" s="369"/>
      <c r="Q158" s="369"/>
      <c r="R158" s="369"/>
      <c r="S158" s="432"/>
      <c r="W158" s="1334"/>
      <c r="X158" s="1271"/>
      <c r="AC158" s="1334"/>
      <c r="AD158" s="1271"/>
      <c r="AI158" s="1334"/>
      <c r="AO158" s="1334"/>
      <c r="AU158" s="1334"/>
      <c r="BA158" s="1334"/>
      <c r="BG158" s="1334"/>
      <c r="BM158" s="1334"/>
      <c r="BS158" s="1334"/>
      <c r="BY158" s="1334"/>
    </row>
    <row r="159" spans="1:77" s="385" customFormat="1" ht="14.25">
      <c r="A159" s="432"/>
      <c r="B159" s="432"/>
      <c r="C159" s="433"/>
      <c r="E159" s="432"/>
      <c r="F159" s="436"/>
      <c r="G159" s="436"/>
      <c r="H159" s="432"/>
      <c r="I159" s="432"/>
      <c r="J159" s="436"/>
      <c r="K159" s="436"/>
      <c r="L159" s="436"/>
      <c r="M159" s="436"/>
      <c r="N159" s="432"/>
      <c r="O159" s="436"/>
      <c r="P159" s="369"/>
      <c r="Q159" s="369"/>
      <c r="R159" s="369"/>
      <c r="S159" s="432"/>
      <c r="W159" s="1334"/>
      <c r="X159" s="1271"/>
      <c r="AC159" s="1334"/>
      <c r="AD159" s="1271"/>
      <c r="AI159" s="1334"/>
      <c r="AO159" s="1334"/>
      <c r="AU159" s="1334"/>
      <c r="BA159" s="1334"/>
      <c r="BG159" s="1334"/>
      <c r="BM159" s="1334"/>
      <c r="BS159" s="1334"/>
      <c r="BY159" s="1334"/>
    </row>
    <row r="160" spans="1:77" s="385" customFormat="1" ht="14.25">
      <c r="A160" s="432"/>
      <c r="B160" s="432"/>
      <c r="C160" s="433"/>
      <c r="E160" s="432"/>
      <c r="F160" s="436"/>
      <c r="G160" s="436"/>
      <c r="H160" s="432"/>
      <c r="I160" s="432"/>
      <c r="J160" s="436"/>
      <c r="K160" s="436"/>
      <c r="L160" s="436"/>
      <c r="M160" s="436"/>
      <c r="N160" s="432"/>
      <c r="O160" s="436"/>
      <c r="P160" s="369"/>
      <c r="Q160" s="369"/>
      <c r="R160" s="369"/>
      <c r="S160" s="432"/>
      <c r="W160" s="1334"/>
      <c r="X160" s="1271"/>
      <c r="AC160" s="1334"/>
      <c r="AD160" s="1271"/>
      <c r="AI160" s="1334"/>
      <c r="AO160" s="1334"/>
      <c r="AU160" s="1334"/>
      <c r="BA160" s="1334"/>
      <c r="BG160" s="1334"/>
      <c r="BM160" s="1334"/>
      <c r="BS160" s="1334"/>
      <c r="BY160" s="1334"/>
    </row>
    <row r="161" spans="1:79" s="385" customFormat="1" ht="14.25">
      <c r="A161" s="432"/>
      <c r="B161" s="432"/>
      <c r="C161" s="433"/>
      <c r="E161" s="432"/>
      <c r="F161" s="436"/>
      <c r="G161" s="436"/>
      <c r="H161" s="432"/>
      <c r="I161" s="432"/>
      <c r="J161" s="436"/>
      <c r="K161" s="436"/>
      <c r="L161" s="436"/>
      <c r="M161" s="436"/>
      <c r="N161" s="432"/>
      <c r="O161" s="436"/>
      <c r="P161" s="369"/>
      <c r="Q161" s="369"/>
      <c r="R161" s="369"/>
      <c r="S161" s="432"/>
      <c r="W161" s="1334"/>
      <c r="X161" s="1271"/>
      <c r="AC161" s="1334"/>
      <c r="AD161" s="1271"/>
      <c r="AI161" s="1334"/>
      <c r="AO161" s="1334"/>
      <c r="AU161" s="1334"/>
      <c r="BA161" s="1334"/>
      <c r="BG161" s="1334"/>
      <c r="BM161" s="1334"/>
      <c r="BS161" s="1334"/>
      <c r="BY161" s="1334"/>
    </row>
    <row r="162" spans="1:79" s="385" customFormat="1" ht="14.25">
      <c r="A162" s="432"/>
      <c r="B162" s="432"/>
      <c r="C162" s="433"/>
      <c r="E162" s="432"/>
      <c r="F162" s="436"/>
      <c r="G162" s="436"/>
      <c r="H162" s="432"/>
      <c r="I162" s="432"/>
      <c r="J162" s="436"/>
      <c r="K162" s="436"/>
      <c r="L162" s="436"/>
      <c r="M162" s="436"/>
      <c r="N162" s="432"/>
      <c r="O162" s="436"/>
      <c r="P162" s="369"/>
      <c r="Q162" s="369"/>
      <c r="R162" s="369"/>
      <c r="S162" s="432"/>
      <c r="W162" s="1334"/>
      <c r="X162" s="1271"/>
      <c r="AC162" s="1334"/>
      <c r="AD162" s="1271"/>
      <c r="AI162" s="1334"/>
      <c r="AO162" s="1334"/>
      <c r="AU162" s="1334"/>
      <c r="BA162" s="1334"/>
      <c r="BG162" s="1334"/>
      <c r="BM162" s="1334"/>
      <c r="BS162" s="1334"/>
      <c r="BY162" s="1334"/>
    </row>
    <row r="163" spans="1:79" s="385" customFormat="1" ht="14.25">
      <c r="A163" s="432"/>
      <c r="B163" s="432"/>
      <c r="C163" s="433"/>
      <c r="E163" s="432"/>
      <c r="F163" s="436"/>
      <c r="G163" s="436"/>
      <c r="H163" s="432"/>
      <c r="I163" s="432"/>
      <c r="J163" s="436"/>
      <c r="K163" s="436"/>
      <c r="L163" s="436"/>
      <c r="M163" s="436"/>
      <c r="N163" s="432"/>
      <c r="O163" s="436"/>
      <c r="P163" s="369"/>
      <c r="Q163" s="369"/>
      <c r="R163" s="369"/>
      <c r="S163" s="432"/>
      <c r="W163" s="1334"/>
      <c r="X163" s="1271"/>
      <c r="AC163" s="1334"/>
      <c r="AD163" s="1271"/>
      <c r="AI163" s="1334"/>
      <c r="AO163" s="1334"/>
      <c r="AU163" s="1334"/>
      <c r="BA163" s="1334"/>
      <c r="BG163" s="1334"/>
      <c r="BM163" s="1334"/>
      <c r="BS163" s="1334"/>
      <c r="BY163" s="1334"/>
    </row>
    <row r="164" spans="1:79" s="385" customFormat="1" ht="14.25">
      <c r="A164" s="432"/>
      <c r="B164" s="432"/>
      <c r="C164" s="433"/>
      <c r="E164" s="432"/>
      <c r="F164" s="436"/>
      <c r="G164" s="436"/>
      <c r="H164" s="432"/>
      <c r="I164" s="432"/>
      <c r="J164" s="436"/>
      <c r="K164" s="436"/>
      <c r="L164" s="436"/>
      <c r="M164" s="436"/>
      <c r="N164" s="432"/>
      <c r="O164" s="436"/>
      <c r="P164" s="369"/>
      <c r="Q164" s="369"/>
      <c r="R164" s="369"/>
      <c r="S164" s="432"/>
      <c r="W164" s="1334"/>
      <c r="X164" s="1271"/>
      <c r="AC164" s="1334"/>
      <c r="AD164" s="1271"/>
      <c r="AI164" s="1334"/>
      <c r="AO164" s="1334"/>
      <c r="AU164" s="1334"/>
      <c r="BA164" s="1334"/>
      <c r="BG164" s="1334"/>
      <c r="BM164" s="1334"/>
      <c r="BS164" s="1334"/>
      <c r="BY164" s="1334"/>
    </row>
    <row r="165" spans="1:79" s="385" customFormat="1" ht="14.25">
      <c r="A165" s="432"/>
      <c r="B165" s="432"/>
      <c r="C165" s="433"/>
      <c r="E165" s="432"/>
      <c r="F165" s="436"/>
      <c r="G165" s="436"/>
      <c r="H165" s="432"/>
      <c r="I165" s="432"/>
      <c r="J165" s="436"/>
      <c r="K165" s="436"/>
      <c r="L165" s="436"/>
      <c r="M165" s="436"/>
      <c r="N165" s="432"/>
      <c r="O165" s="436"/>
      <c r="P165" s="369"/>
      <c r="Q165" s="369"/>
      <c r="R165" s="369"/>
      <c r="S165" s="432"/>
      <c r="W165" s="1334"/>
      <c r="X165" s="1271"/>
      <c r="AC165" s="1334"/>
      <c r="AD165" s="1271"/>
      <c r="AI165" s="1334"/>
      <c r="AO165" s="1334"/>
      <c r="AU165" s="1334"/>
      <c r="BA165" s="1334"/>
      <c r="BG165" s="1334"/>
      <c r="BM165" s="1334"/>
      <c r="BS165" s="1334"/>
      <c r="BY165" s="1334"/>
    </row>
    <row r="166" spans="1:79" s="385" customFormat="1" ht="14.25">
      <c r="A166" s="432"/>
      <c r="B166" s="432"/>
      <c r="C166" s="433"/>
      <c r="E166" s="432"/>
      <c r="F166" s="436"/>
      <c r="G166" s="436"/>
      <c r="H166" s="432"/>
      <c r="I166" s="432"/>
      <c r="J166" s="436"/>
      <c r="K166" s="436"/>
      <c r="L166" s="436"/>
      <c r="M166" s="436"/>
      <c r="N166" s="432"/>
      <c r="O166" s="436"/>
      <c r="P166" s="369"/>
      <c r="Q166" s="369"/>
      <c r="R166" s="369"/>
      <c r="S166" s="432"/>
      <c r="W166" s="1334"/>
      <c r="X166" s="1271"/>
      <c r="AC166" s="1334"/>
      <c r="AD166" s="1271"/>
      <c r="AI166" s="1334"/>
      <c r="AO166" s="1334"/>
      <c r="AU166" s="1334"/>
      <c r="BA166" s="1334"/>
      <c r="BG166" s="1334"/>
      <c r="BM166" s="1334"/>
      <c r="BS166" s="1334"/>
      <c r="BY166" s="1334"/>
    </row>
    <row r="167" spans="1:79" s="385" customFormat="1" ht="14.25">
      <c r="A167" s="432"/>
      <c r="B167" s="432"/>
      <c r="C167" s="433"/>
      <c r="E167" s="432"/>
      <c r="F167" s="436"/>
      <c r="G167" s="436"/>
      <c r="H167" s="432"/>
      <c r="I167" s="432"/>
      <c r="J167" s="436"/>
      <c r="K167" s="436"/>
      <c r="L167" s="436"/>
      <c r="M167" s="436"/>
      <c r="N167" s="432"/>
      <c r="O167" s="436"/>
      <c r="P167" s="369"/>
      <c r="Q167" s="369"/>
      <c r="R167" s="369"/>
      <c r="S167" s="432"/>
      <c r="W167" s="1334"/>
      <c r="X167" s="1271"/>
      <c r="AC167" s="1334"/>
      <c r="AD167" s="1271"/>
      <c r="AI167" s="1334"/>
      <c r="AO167" s="1334"/>
      <c r="AU167" s="1334"/>
      <c r="BA167" s="1334"/>
      <c r="BG167" s="1334"/>
      <c r="BM167" s="1334"/>
      <c r="BS167" s="1334"/>
      <c r="BY167" s="1334"/>
    </row>
    <row r="168" spans="1:79" s="385" customFormat="1" ht="14.25">
      <c r="A168" s="432"/>
      <c r="B168" s="432"/>
      <c r="C168" s="433"/>
      <c r="E168" s="432"/>
      <c r="F168" s="436"/>
      <c r="G168" s="436"/>
      <c r="H168" s="432"/>
      <c r="I168" s="432"/>
      <c r="J168" s="436"/>
      <c r="K168" s="436"/>
      <c r="L168" s="436"/>
      <c r="M168" s="436"/>
      <c r="N168" s="432"/>
      <c r="O168" s="436"/>
      <c r="P168" s="369"/>
      <c r="Q168" s="369"/>
      <c r="R168" s="369"/>
      <c r="S168" s="432"/>
      <c r="W168" s="1334"/>
      <c r="X168" s="1271"/>
      <c r="AC168" s="1334"/>
      <c r="AD168" s="1271"/>
      <c r="AI168" s="1334"/>
      <c r="AO168" s="1334"/>
      <c r="AU168" s="1334"/>
      <c r="BA168" s="1334"/>
      <c r="BG168" s="1334"/>
      <c r="BM168" s="1334"/>
      <c r="BS168" s="1334"/>
      <c r="BY168" s="1334"/>
    </row>
    <row r="169" spans="1:79" s="385" customFormat="1" ht="14.25">
      <c r="A169" s="432"/>
      <c r="B169" s="432"/>
      <c r="C169" s="433"/>
      <c r="E169" s="432"/>
      <c r="F169" s="436"/>
      <c r="G169" s="436"/>
      <c r="H169" s="432"/>
      <c r="I169" s="432"/>
      <c r="J169" s="436"/>
      <c r="K169" s="436"/>
      <c r="L169" s="436"/>
      <c r="M169" s="436"/>
      <c r="N169" s="432"/>
      <c r="O169" s="436"/>
      <c r="P169" s="369"/>
      <c r="Q169" s="369"/>
      <c r="R169" s="369"/>
      <c r="S169" s="432"/>
      <c r="W169" s="1334"/>
      <c r="X169" s="1271"/>
      <c r="AC169" s="1334"/>
      <c r="AD169" s="1271"/>
      <c r="AI169" s="1334"/>
      <c r="AO169" s="1334"/>
      <c r="AU169" s="1334"/>
      <c r="BA169" s="1334"/>
      <c r="BG169" s="1334"/>
      <c r="BM169" s="1334"/>
      <c r="BS169" s="1334"/>
      <c r="BY169" s="1334"/>
    </row>
    <row r="170" spans="1:79">
      <c r="A170" s="432"/>
      <c r="B170" s="432"/>
      <c r="C170" s="433"/>
      <c r="D170" s="385"/>
      <c r="E170" s="432"/>
      <c r="I170" s="432"/>
      <c r="J170" s="436"/>
      <c r="K170" s="436"/>
      <c r="L170" s="436"/>
      <c r="M170" s="436"/>
      <c r="N170" s="432"/>
      <c r="O170" s="436"/>
      <c r="P170" s="369"/>
      <c r="Q170" s="369"/>
      <c r="R170" s="369"/>
      <c r="S170" s="432"/>
      <c r="T170" s="385"/>
      <c r="U170" s="385"/>
      <c r="V170" s="385"/>
      <c r="W170" s="1334"/>
      <c r="Z170" s="385"/>
      <c r="AA170" s="385"/>
      <c r="AB170" s="385"/>
      <c r="AC170" s="1334"/>
      <c r="AF170" s="385"/>
      <c r="AG170" s="385"/>
      <c r="AH170" s="385"/>
      <c r="AI170" s="1334"/>
      <c r="AL170" s="385"/>
      <c r="AM170" s="385"/>
      <c r="AN170" s="385"/>
      <c r="AO170" s="1334"/>
      <c r="AR170" s="385"/>
      <c r="AS170" s="385"/>
      <c r="AT170" s="385"/>
      <c r="AU170" s="1334"/>
      <c r="AX170" s="385"/>
      <c r="AY170" s="385"/>
      <c r="AZ170" s="385"/>
      <c r="BA170" s="1334"/>
      <c r="BD170" s="385"/>
      <c r="BE170" s="385"/>
      <c r="BF170" s="385"/>
      <c r="BG170" s="1334"/>
      <c r="BJ170" s="385"/>
      <c r="BK170" s="385"/>
      <c r="BL170" s="385"/>
      <c r="BM170" s="1334"/>
      <c r="BP170" s="385"/>
      <c r="BQ170" s="385"/>
      <c r="BR170" s="385"/>
      <c r="BS170" s="1334"/>
      <c r="BV170" s="385"/>
      <c r="BW170" s="385"/>
      <c r="BX170" s="385"/>
      <c r="BY170" s="1334"/>
      <c r="CA170" s="385"/>
    </row>
    <row r="171" spans="1:79">
      <c r="P171" s="369"/>
      <c r="Q171" s="369"/>
      <c r="R171" s="369"/>
      <c r="T171" s="385"/>
      <c r="U171" s="385"/>
      <c r="V171" s="385"/>
      <c r="W171" s="1334"/>
      <c r="Z171" s="385"/>
      <c r="AA171" s="385"/>
      <c r="AB171" s="385"/>
      <c r="AC171" s="1334"/>
      <c r="AF171" s="385"/>
      <c r="AG171" s="385"/>
      <c r="AH171" s="385"/>
      <c r="AI171" s="1334"/>
      <c r="AL171" s="385"/>
      <c r="AM171" s="385"/>
      <c r="AN171" s="385"/>
      <c r="AO171" s="1334"/>
      <c r="AR171" s="385"/>
      <c r="AS171" s="385"/>
      <c r="AT171" s="385"/>
      <c r="AU171" s="1334"/>
      <c r="AX171" s="385"/>
      <c r="AY171" s="385"/>
      <c r="AZ171" s="385"/>
      <c r="BA171" s="1334"/>
      <c r="BD171" s="385"/>
      <c r="BE171" s="385"/>
      <c r="BF171" s="385"/>
      <c r="BG171" s="1334"/>
      <c r="BJ171" s="385"/>
      <c r="BK171" s="385"/>
      <c r="BL171" s="385"/>
      <c r="BM171" s="1334"/>
      <c r="BP171" s="385"/>
      <c r="BQ171" s="385"/>
      <c r="BR171" s="385"/>
      <c r="BS171" s="1334"/>
      <c r="BV171" s="385"/>
      <c r="BW171" s="385"/>
      <c r="BX171" s="385"/>
      <c r="BY171" s="1334"/>
      <c r="CA171" s="385"/>
    </row>
    <row r="172" spans="1:79">
      <c r="P172" s="369"/>
      <c r="Q172" s="369"/>
      <c r="R172" s="369"/>
      <c r="T172" s="385"/>
      <c r="U172" s="385"/>
      <c r="V172" s="385"/>
      <c r="W172" s="1334"/>
      <c r="Z172" s="385"/>
      <c r="AA172" s="385"/>
      <c r="AB172" s="385"/>
      <c r="AC172" s="1334"/>
      <c r="AF172" s="385"/>
      <c r="AG172" s="385"/>
      <c r="AH172" s="385"/>
      <c r="AI172" s="1334"/>
      <c r="AL172" s="385"/>
      <c r="AM172" s="385"/>
      <c r="AN172" s="385"/>
      <c r="AO172" s="1334"/>
      <c r="AR172" s="385"/>
      <c r="AS172" s="385"/>
      <c r="AT172" s="385"/>
      <c r="AU172" s="1334"/>
      <c r="AX172" s="385"/>
      <c r="AY172" s="385"/>
      <c r="AZ172" s="385"/>
      <c r="BA172" s="1334"/>
      <c r="BD172" s="385"/>
      <c r="BE172" s="385"/>
      <c r="BF172" s="385"/>
      <c r="BG172" s="1334"/>
      <c r="BJ172" s="385"/>
      <c r="BK172" s="385"/>
      <c r="BL172" s="385"/>
      <c r="BM172" s="1334"/>
      <c r="BP172" s="385"/>
      <c r="BQ172" s="385"/>
      <c r="BR172" s="385"/>
      <c r="BS172" s="1334"/>
      <c r="BV172" s="385"/>
      <c r="BW172" s="385"/>
      <c r="BX172" s="385"/>
      <c r="BY172" s="1334"/>
      <c r="CA172" s="385"/>
    </row>
    <row r="173" spans="1:79">
      <c r="P173" s="369"/>
      <c r="Q173" s="369"/>
      <c r="R173" s="369"/>
      <c r="T173" s="385"/>
      <c r="U173" s="385"/>
      <c r="V173" s="385"/>
      <c r="W173" s="1334"/>
      <c r="Z173" s="385"/>
      <c r="AA173" s="385"/>
      <c r="AB173" s="385"/>
      <c r="AC173" s="1334"/>
      <c r="AF173" s="385"/>
      <c r="AG173" s="385"/>
      <c r="AH173" s="385"/>
      <c r="AI173" s="1334"/>
      <c r="AL173" s="385"/>
      <c r="AM173" s="385"/>
      <c r="AN173" s="385"/>
      <c r="AO173" s="1334"/>
      <c r="AR173" s="385"/>
      <c r="AS173" s="385"/>
      <c r="AT173" s="385"/>
      <c r="AU173" s="1334"/>
      <c r="AX173" s="385"/>
      <c r="AY173" s="385"/>
      <c r="AZ173" s="385"/>
      <c r="BA173" s="1334"/>
      <c r="BD173" s="385"/>
      <c r="BE173" s="385"/>
      <c r="BF173" s="385"/>
      <c r="BG173" s="1334"/>
      <c r="BJ173" s="385"/>
      <c r="BK173" s="385"/>
      <c r="BL173" s="385"/>
      <c r="BM173" s="1334"/>
      <c r="BP173" s="385"/>
      <c r="BQ173" s="385"/>
      <c r="BR173" s="385"/>
      <c r="BS173" s="1334"/>
      <c r="BV173" s="385"/>
      <c r="BW173" s="385"/>
      <c r="BX173" s="385"/>
      <c r="BY173" s="1334"/>
      <c r="CA173" s="385"/>
    </row>
    <row r="174" spans="1:79">
      <c r="P174" s="369"/>
      <c r="Q174" s="369"/>
      <c r="R174" s="369"/>
      <c r="T174" s="385"/>
      <c r="U174" s="385"/>
      <c r="V174" s="385"/>
      <c r="W174" s="1334"/>
      <c r="Z174" s="385"/>
      <c r="AA174" s="385"/>
      <c r="AB174" s="385"/>
      <c r="AC174" s="1334"/>
      <c r="AF174" s="385"/>
      <c r="AG174" s="385"/>
      <c r="AH174" s="385"/>
      <c r="AI174" s="1334"/>
      <c r="AL174" s="385"/>
      <c r="AM174" s="385"/>
      <c r="AN174" s="385"/>
      <c r="AO174" s="1334"/>
      <c r="AR174" s="385"/>
      <c r="AS174" s="385"/>
      <c r="AT174" s="385"/>
      <c r="AU174" s="1334"/>
      <c r="AX174" s="385"/>
      <c r="AY174" s="385"/>
      <c r="AZ174" s="385"/>
      <c r="BA174" s="1334"/>
      <c r="BD174" s="385"/>
      <c r="BE174" s="385"/>
      <c r="BF174" s="385"/>
      <c r="BG174" s="1334"/>
      <c r="BJ174" s="385"/>
      <c r="BK174" s="385"/>
      <c r="BL174" s="385"/>
      <c r="BM174" s="1334"/>
      <c r="BP174" s="385"/>
      <c r="BQ174" s="385"/>
      <c r="BR174" s="385"/>
      <c r="BS174" s="1334"/>
      <c r="BV174" s="385"/>
      <c r="BW174" s="385"/>
      <c r="BX174" s="385"/>
      <c r="BY174" s="1334"/>
      <c r="CA174" s="385"/>
    </row>
    <row r="175" spans="1:79">
      <c r="P175" s="369"/>
      <c r="Q175" s="369"/>
      <c r="R175" s="369"/>
      <c r="T175" s="385"/>
      <c r="U175" s="385"/>
      <c r="V175" s="385"/>
      <c r="W175" s="1334"/>
      <c r="Z175" s="385"/>
      <c r="AA175" s="385"/>
      <c r="AB175" s="385"/>
      <c r="AC175" s="1334"/>
      <c r="AF175" s="385"/>
      <c r="AG175" s="385"/>
      <c r="AH175" s="385"/>
      <c r="AI175" s="1334"/>
      <c r="AL175" s="385"/>
      <c r="AM175" s="385"/>
      <c r="AN175" s="385"/>
      <c r="AO175" s="1334"/>
      <c r="AR175" s="385"/>
      <c r="AS175" s="385"/>
      <c r="AT175" s="385"/>
      <c r="AU175" s="1334"/>
      <c r="AX175" s="385"/>
      <c r="AY175" s="385"/>
      <c r="AZ175" s="385"/>
      <c r="BA175" s="1334"/>
      <c r="BD175" s="385"/>
      <c r="BE175" s="385"/>
      <c r="BF175" s="385"/>
      <c r="BG175" s="1334"/>
      <c r="BJ175" s="385"/>
      <c r="BK175" s="385"/>
      <c r="BL175" s="385"/>
      <c r="BM175" s="1334"/>
      <c r="BP175" s="385"/>
      <c r="BQ175" s="385"/>
      <c r="BR175" s="385"/>
      <c r="BS175" s="1334"/>
      <c r="BV175" s="385"/>
      <c r="BW175" s="385"/>
      <c r="BX175" s="385"/>
      <c r="BY175" s="1334"/>
      <c r="CA175" s="385"/>
    </row>
    <row r="176" spans="1:79">
      <c r="P176" s="369"/>
      <c r="Q176" s="369"/>
      <c r="R176" s="369"/>
      <c r="T176" s="385"/>
      <c r="U176" s="385"/>
      <c r="V176" s="385"/>
      <c r="W176" s="1334"/>
      <c r="Z176" s="385"/>
      <c r="AA176" s="385"/>
      <c r="AB176" s="385"/>
      <c r="AC176" s="1334"/>
      <c r="AF176" s="385"/>
      <c r="AG176" s="385"/>
      <c r="AH176" s="385"/>
      <c r="AI176" s="1334"/>
      <c r="AL176" s="385"/>
      <c r="AM176" s="385"/>
      <c r="AN176" s="385"/>
      <c r="AO176" s="1334"/>
      <c r="AR176" s="385"/>
      <c r="AS176" s="385"/>
      <c r="AT176" s="385"/>
      <c r="AU176" s="1334"/>
      <c r="AX176" s="385"/>
      <c r="AY176" s="385"/>
      <c r="AZ176" s="385"/>
      <c r="BA176" s="1334"/>
      <c r="BD176" s="385"/>
      <c r="BE176" s="385"/>
      <c r="BF176" s="385"/>
      <c r="BG176" s="1334"/>
      <c r="BJ176" s="385"/>
      <c r="BK176" s="385"/>
      <c r="BL176" s="385"/>
      <c r="BM176" s="1334"/>
      <c r="BP176" s="385"/>
      <c r="BQ176" s="385"/>
      <c r="BR176" s="385"/>
      <c r="BS176" s="1334"/>
      <c r="BV176" s="385"/>
      <c r="BW176" s="385"/>
      <c r="BX176" s="385"/>
      <c r="BY176" s="1334"/>
      <c r="CA176" s="385"/>
    </row>
    <row r="177" spans="16:79">
      <c r="P177" s="369"/>
      <c r="Q177" s="369"/>
      <c r="R177" s="369"/>
      <c r="T177" s="385"/>
      <c r="U177" s="385"/>
      <c r="V177" s="385"/>
      <c r="W177" s="1334"/>
      <c r="Z177" s="385"/>
      <c r="AA177" s="385"/>
      <c r="AB177" s="385"/>
      <c r="AC177" s="1334"/>
      <c r="AF177" s="385"/>
      <c r="AG177" s="385"/>
      <c r="AH177" s="385"/>
      <c r="AI177" s="1334"/>
      <c r="AL177" s="385"/>
      <c r="AM177" s="385"/>
      <c r="AN177" s="385"/>
      <c r="AO177" s="1334"/>
      <c r="AR177" s="385"/>
      <c r="AS177" s="385"/>
      <c r="AT177" s="385"/>
      <c r="AU177" s="1334"/>
      <c r="AX177" s="385"/>
      <c r="AY177" s="385"/>
      <c r="AZ177" s="385"/>
      <c r="BA177" s="1334"/>
      <c r="BD177" s="385"/>
      <c r="BE177" s="385"/>
      <c r="BF177" s="385"/>
      <c r="BG177" s="1334"/>
      <c r="BJ177" s="385"/>
      <c r="BK177" s="385"/>
      <c r="BL177" s="385"/>
      <c r="BM177" s="1334"/>
      <c r="BP177" s="385"/>
      <c r="BQ177" s="385"/>
      <c r="BR177" s="385"/>
      <c r="BS177" s="1334"/>
      <c r="BV177" s="385"/>
      <c r="BW177" s="385"/>
      <c r="BX177" s="385"/>
      <c r="BY177" s="1334"/>
      <c r="CA177" s="385"/>
    </row>
    <row r="178" spans="16:79">
      <c r="P178" s="369"/>
      <c r="Q178" s="369"/>
      <c r="R178" s="369"/>
      <c r="T178" s="385"/>
      <c r="U178" s="385"/>
      <c r="V178" s="385"/>
      <c r="W178" s="1334"/>
      <c r="Z178" s="385"/>
      <c r="AA178" s="385"/>
      <c r="AB178" s="385"/>
      <c r="AC178" s="1334"/>
      <c r="AF178" s="385"/>
      <c r="AG178" s="385"/>
      <c r="AH178" s="385"/>
      <c r="AI178" s="1334"/>
      <c r="AL178" s="385"/>
      <c r="AM178" s="385"/>
      <c r="AN178" s="385"/>
      <c r="AO178" s="1334"/>
      <c r="AR178" s="385"/>
      <c r="AS178" s="385"/>
      <c r="AT178" s="385"/>
      <c r="AU178" s="1334"/>
      <c r="AX178" s="385"/>
      <c r="AY178" s="385"/>
      <c r="AZ178" s="385"/>
      <c r="BA178" s="1334"/>
      <c r="BD178" s="385"/>
      <c r="BE178" s="385"/>
      <c r="BF178" s="385"/>
      <c r="BG178" s="1334"/>
      <c r="BJ178" s="385"/>
      <c r="BK178" s="385"/>
      <c r="BL178" s="385"/>
      <c r="BM178" s="1334"/>
      <c r="BP178" s="385"/>
      <c r="BQ178" s="385"/>
      <c r="BR178" s="385"/>
      <c r="BS178" s="1334"/>
      <c r="BV178" s="385"/>
      <c r="BW178" s="385"/>
      <c r="BX178" s="385"/>
      <c r="BY178" s="1334"/>
      <c r="CA178" s="385"/>
    </row>
    <row r="179" spans="16:79">
      <c r="P179" s="369"/>
      <c r="Q179" s="369"/>
      <c r="R179" s="369"/>
      <c r="T179" s="385"/>
      <c r="U179" s="385"/>
      <c r="V179" s="385"/>
      <c r="W179" s="1334"/>
      <c r="Z179" s="385"/>
      <c r="AA179" s="385"/>
      <c r="AB179" s="385"/>
      <c r="AC179" s="1334"/>
      <c r="AF179" s="385"/>
      <c r="AG179" s="385"/>
      <c r="AH179" s="385"/>
      <c r="AI179" s="1334"/>
      <c r="AL179" s="385"/>
      <c r="AM179" s="385"/>
      <c r="AN179" s="385"/>
      <c r="AO179" s="1334"/>
      <c r="AR179" s="385"/>
      <c r="AS179" s="385"/>
      <c r="AT179" s="385"/>
      <c r="AU179" s="1334"/>
      <c r="AX179" s="385"/>
      <c r="AY179" s="385"/>
      <c r="AZ179" s="385"/>
      <c r="BA179" s="1334"/>
      <c r="BD179" s="385"/>
      <c r="BE179" s="385"/>
      <c r="BF179" s="385"/>
      <c r="BG179" s="1334"/>
      <c r="BJ179" s="385"/>
      <c r="BK179" s="385"/>
      <c r="BL179" s="385"/>
      <c r="BM179" s="1334"/>
      <c r="BP179" s="385"/>
      <c r="BQ179" s="385"/>
      <c r="BR179" s="385"/>
      <c r="BS179" s="1334"/>
      <c r="BV179" s="385"/>
      <c r="BW179" s="385"/>
      <c r="BX179" s="385"/>
      <c r="BY179" s="1334"/>
      <c r="CA179" s="385"/>
    </row>
    <row r="180" spans="16:79">
      <c r="P180" s="369"/>
      <c r="Q180" s="369"/>
      <c r="R180" s="369"/>
      <c r="T180" s="385"/>
      <c r="U180" s="385"/>
      <c r="V180" s="385"/>
      <c r="W180" s="1334"/>
      <c r="Z180" s="385"/>
      <c r="AA180" s="385"/>
      <c r="AB180" s="385"/>
      <c r="AC180" s="1334"/>
      <c r="AF180" s="385"/>
      <c r="AG180" s="385"/>
      <c r="AH180" s="385"/>
      <c r="AI180" s="1334"/>
      <c r="AL180" s="385"/>
      <c r="AM180" s="385"/>
      <c r="AN180" s="385"/>
      <c r="AO180" s="1334"/>
      <c r="AR180" s="385"/>
      <c r="AS180" s="385"/>
      <c r="AT180" s="385"/>
      <c r="AU180" s="1334"/>
      <c r="AX180" s="385"/>
      <c r="AY180" s="385"/>
      <c r="AZ180" s="385"/>
      <c r="BA180" s="1334"/>
      <c r="BD180" s="385"/>
      <c r="BE180" s="385"/>
      <c r="BF180" s="385"/>
      <c r="BG180" s="1334"/>
      <c r="BJ180" s="385"/>
      <c r="BK180" s="385"/>
      <c r="BL180" s="385"/>
      <c r="BM180" s="1334"/>
      <c r="BP180" s="385"/>
      <c r="BQ180" s="385"/>
      <c r="BR180" s="385"/>
      <c r="BS180" s="1334"/>
      <c r="BV180" s="385"/>
      <c r="BW180" s="385"/>
      <c r="BX180" s="385"/>
      <c r="BY180" s="1334"/>
      <c r="CA180" s="385"/>
    </row>
    <row r="181" spans="16:79">
      <c r="P181" s="369"/>
      <c r="Q181" s="369"/>
      <c r="R181" s="369"/>
      <c r="T181" s="385"/>
      <c r="U181" s="385"/>
      <c r="V181" s="385"/>
      <c r="W181" s="1334"/>
      <c r="Z181" s="385"/>
      <c r="AA181" s="385"/>
      <c r="AB181" s="385"/>
      <c r="AC181" s="1334"/>
      <c r="AF181" s="385"/>
      <c r="AG181" s="385"/>
      <c r="AH181" s="385"/>
      <c r="AI181" s="1334"/>
      <c r="AL181" s="385"/>
      <c r="AM181" s="385"/>
      <c r="AN181" s="385"/>
      <c r="AO181" s="1334"/>
      <c r="AR181" s="385"/>
      <c r="AS181" s="385"/>
      <c r="AT181" s="385"/>
      <c r="AU181" s="1334"/>
      <c r="AX181" s="385"/>
      <c r="AY181" s="385"/>
      <c r="AZ181" s="385"/>
      <c r="BA181" s="1334"/>
      <c r="BD181" s="385"/>
      <c r="BE181" s="385"/>
      <c r="BF181" s="385"/>
      <c r="BG181" s="1334"/>
      <c r="BJ181" s="385"/>
      <c r="BK181" s="385"/>
      <c r="BL181" s="385"/>
      <c r="BM181" s="1334"/>
      <c r="BP181" s="385"/>
      <c r="BQ181" s="385"/>
      <c r="BR181" s="385"/>
      <c r="BS181" s="1334"/>
      <c r="BV181" s="385"/>
      <c r="BW181" s="385"/>
      <c r="BX181" s="385"/>
      <c r="BY181" s="1334"/>
      <c r="CA181" s="385"/>
    </row>
    <row r="182" spans="16:79">
      <c r="P182" s="369"/>
      <c r="Q182" s="369"/>
      <c r="R182" s="369"/>
      <c r="T182" s="385"/>
      <c r="U182" s="385"/>
      <c r="V182" s="385"/>
      <c r="W182" s="1334"/>
      <c r="Z182" s="385"/>
      <c r="AA182" s="385"/>
      <c r="AB182" s="385"/>
      <c r="AC182" s="1334"/>
      <c r="AF182" s="385"/>
      <c r="AG182" s="385"/>
      <c r="AH182" s="385"/>
      <c r="AI182" s="1334"/>
      <c r="AL182" s="385"/>
      <c r="AM182" s="385"/>
      <c r="AN182" s="385"/>
      <c r="AO182" s="1334"/>
      <c r="AR182" s="385"/>
      <c r="AS182" s="385"/>
      <c r="AT182" s="385"/>
      <c r="AU182" s="1334"/>
      <c r="AX182" s="385"/>
      <c r="AY182" s="385"/>
      <c r="AZ182" s="385"/>
      <c r="BA182" s="1334"/>
      <c r="BD182" s="385"/>
      <c r="BE182" s="385"/>
      <c r="BF182" s="385"/>
      <c r="BG182" s="1334"/>
      <c r="BJ182" s="385"/>
      <c r="BK182" s="385"/>
      <c r="BL182" s="385"/>
      <c r="BM182" s="1334"/>
      <c r="BP182" s="385"/>
      <c r="BQ182" s="385"/>
      <c r="BR182" s="385"/>
      <c r="BS182" s="1334"/>
      <c r="BV182" s="385"/>
      <c r="BW182" s="385"/>
      <c r="BX182" s="385"/>
      <c r="BY182" s="1334"/>
      <c r="CA182" s="385"/>
    </row>
    <row r="183" spans="16:79">
      <c r="P183" s="369"/>
      <c r="Q183" s="369"/>
      <c r="R183" s="369"/>
      <c r="T183" s="385"/>
      <c r="U183" s="385"/>
      <c r="V183" s="385"/>
      <c r="W183" s="1334"/>
      <c r="Z183" s="385"/>
      <c r="AA183" s="385"/>
      <c r="AB183" s="385"/>
      <c r="AC183" s="1334"/>
      <c r="AF183" s="385"/>
      <c r="AG183" s="385"/>
      <c r="AH183" s="385"/>
      <c r="AI183" s="1334"/>
      <c r="AL183" s="385"/>
      <c r="AM183" s="385"/>
      <c r="AN183" s="385"/>
      <c r="AO183" s="1334"/>
      <c r="AR183" s="385"/>
      <c r="AS183" s="385"/>
      <c r="AT183" s="385"/>
      <c r="AU183" s="1334"/>
      <c r="AX183" s="385"/>
      <c r="AY183" s="385"/>
      <c r="AZ183" s="385"/>
      <c r="BA183" s="1334"/>
      <c r="BD183" s="385"/>
      <c r="BE183" s="385"/>
      <c r="BF183" s="385"/>
      <c r="BG183" s="1334"/>
      <c r="BJ183" s="385"/>
      <c r="BK183" s="385"/>
      <c r="BL183" s="385"/>
      <c r="BM183" s="1334"/>
      <c r="BP183" s="385"/>
      <c r="BQ183" s="385"/>
      <c r="BR183" s="385"/>
      <c r="BS183" s="1334"/>
      <c r="BV183" s="385"/>
      <c r="BW183" s="385"/>
      <c r="BX183" s="385"/>
      <c r="BY183" s="1334"/>
      <c r="CA183" s="385"/>
    </row>
    <row r="184" spans="16:79">
      <c r="P184" s="369"/>
      <c r="Q184" s="369"/>
      <c r="R184" s="369"/>
      <c r="T184" s="385"/>
      <c r="U184" s="385"/>
      <c r="V184" s="385"/>
      <c r="W184" s="1334"/>
      <c r="Z184" s="385"/>
      <c r="AA184" s="385"/>
      <c r="AB184" s="385"/>
      <c r="AC184" s="1334"/>
      <c r="AF184" s="385"/>
      <c r="AG184" s="385"/>
      <c r="AH184" s="385"/>
      <c r="AI184" s="1334"/>
      <c r="AL184" s="385"/>
      <c r="AM184" s="385"/>
      <c r="AN184" s="385"/>
      <c r="AO184" s="1334"/>
      <c r="AR184" s="385"/>
      <c r="AS184" s="385"/>
      <c r="AT184" s="385"/>
      <c r="AU184" s="1334"/>
      <c r="AX184" s="385"/>
      <c r="AY184" s="385"/>
      <c r="AZ184" s="385"/>
      <c r="BA184" s="1334"/>
      <c r="BD184" s="385"/>
      <c r="BE184" s="385"/>
      <c r="BF184" s="385"/>
      <c r="BG184" s="1334"/>
      <c r="BJ184" s="385"/>
      <c r="BK184" s="385"/>
      <c r="BL184" s="385"/>
      <c r="BM184" s="1334"/>
      <c r="BP184" s="385"/>
      <c r="BQ184" s="385"/>
      <c r="BR184" s="385"/>
      <c r="BS184" s="1334"/>
      <c r="BV184" s="385"/>
      <c r="BW184" s="385"/>
      <c r="BX184" s="385"/>
      <c r="BY184" s="1334"/>
      <c r="CA184" s="385"/>
    </row>
    <row r="185" spans="16:79">
      <c r="P185" s="369"/>
      <c r="Q185" s="369"/>
      <c r="R185" s="369"/>
      <c r="T185" s="385"/>
      <c r="U185" s="385"/>
      <c r="V185" s="385"/>
      <c r="W185" s="1334"/>
      <c r="Z185" s="385"/>
      <c r="AA185" s="385"/>
      <c r="AB185" s="385"/>
      <c r="AC185" s="1334"/>
      <c r="AF185" s="385"/>
      <c r="AG185" s="385"/>
      <c r="AH185" s="385"/>
      <c r="AI185" s="1334"/>
      <c r="AL185" s="385"/>
      <c r="AM185" s="385"/>
      <c r="AN185" s="385"/>
      <c r="AO185" s="1334"/>
      <c r="AR185" s="385"/>
      <c r="AS185" s="385"/>
      <c r="AT185" s="385"/>
      <c r="AU185" s="1334"/>
      <c r="AX185" s="385"/>
      <c r="AY185" s="385"/>
      <c r="AZ185" s="385"/>
      <c r="BA185" s="1334"/>
      <c r="BD185" s="385"/>
      <c r="BE185" s="385"/>
      <c r="BF185" s="385"/>
      <c r="BG185" s="1334"/>
      <c r="BJ185" s="385"/>
      <c r="BK185" s="385"/>
      <c r="BL185" s="385"/>
      <c r="BM185" s="1334"/>
      <c r="BP185" s="385"/>
      <c r="BQ185" s="385"/>
      <c r="BR185" s="385"/>
      <c r="BS185" s="1334"/>
      <c r="BV185" s="385"/>
      <c r="BW185" s="385"/>
      <c r="BX185" s="385"/>
      <c r="BY185" s="1334"/>
      <c r="CA185" s="385"/>
    </row>
    <row r="186" spans="16:79">
      <c r="P186" s="369"/>
      <c r="Q186" s="369"/>
      <c r="R186" s="369"/>
      <c r="T186" s="385"/>
      <c r="U186" s="385"/>
      <c r="V186" s="385"/>
      <c r="W186" s="1334"/>
      <c r="Z186" s="385"/>
      <c r="AA186" s="385"/>
      <c r="AB186" s="385"/>
      <c r="AC186" s="1334"/>
      <c r="AF186" s="385"/>
      <c r="AG186" s="385"/>
      <c r="AH186" s="385"/>
      <c r="AI186" s="1334"/>
      <c r="AL186" s="385"/>
      <c r="AM186" s="385"/>
      <c r="AN186" s="385"/>
      <c r="AO186" s="1334"/>
      <c r="AR186" s="385"/>
      <c r="AS186" s="385"/>
      <c r="AT186" s="385"/>
      <c r="AU186" s="1334"/>
      <c r="AX186" s="385"/>
      <c r="AY186" s="385"/>
      <c r="AZ186" s="385"/>
      <c r="BA186" s="1334"/>
      <c r="BD186" s="385"/>
      <c r="BE186" s="385"/>
      <c r="BF186" s="385"/>
      <c r="BG186" s="1334"/>
      <c r="BJ186" s="385"/>
      <c r="BK186" s="385"/>
      <c r="BL186" s="385"/>
      <c r="BM186" s="1334"/>
      <c r="BP186" s="385"/>
      <c r="BQ186" s="385"/>
      <c r="BR186" s="385"/>
      <c r="BS186" s="1334"/>
      <c r="BV186" s="385"/>
      <c r="BW186" s="385"/>
      <c r="BX186" s="385"/>
      <c r="BY186" s="1334"/>
      <c r="CA186" s="385"/>
    </row>
    <row r="187" spans="16:79">
      <c r="P187" s="369"/>
      <c r="Q187" s="369"/>
      <c r="R187" s="369"/>
      <c r="T187" s="385"/>
      <c r="U187" s="385"/>
      <c r="V187" s="385"/>
      <c r="W187" s="1334"/>
      <c r="Z187" s="385"/>
      <c r="AA187" s="385"/>
      <c r="AB187" s="385"/>
      <c r="AC187" s="1334"/>
      <c r="AF187" s="385"/>
      <c r="AG187" s="385"/>
      <c r="AH187" s="385"/>
      <c r="AI187" s="1334"/>
      <c r="AL187" s="385"/>
      <c r="AM187" s="385"/>
      <c r="AN187" s="385"/>
      <c r="AO187" s="1334"/>
      <c r="AR187" s="385"/>
      <c r="AS187" s="385"/>
      <c r="AT187" s="385"/>
      <c r="AU187" s="1334"/>
      <c r="AX187" s="385"/>
      <c r="AY187" s="385"/>
      <c r="AZ187" s="385"/>
      <c r="BA187" s="1334"/>
      <c r="BD187" s="385"/>
      <c r="BE187" s="385"/>
      <c r="BF187" s="385"/>
      <c r="BG187" s="1334"/>
      <c r="BJ187" s="385"/>
      <c r="BK187" s="385"/>
      <c r="BL187" s="385"/>
      <c r="BM187" s="1334"/>
      <c r="BP187" s="385"/>
      <c r="BQ187" s="385"/>
      <c r="BR187" s="385"/>
      <c r="BS187" s="1334"/>
      <c r="BV187" s="385"/>
      <c r="BW187" s="385"/>
      <c r="BX187" s="385"/>
      <c r="BY187" s="1334"/>
      <c r="CA187" s="385"/>
    </row>
    <row r="188" spans="16:79">
      <c r="P188" s="369"/>
      <c r="Q188" s="369"/>
      <c r="R188" s="369"/>
      <c r="T188" s="385"/>
      <c r="U188" s="385"/>
      <c r="V188" s="385"/>
      <c r="W188" s="1334"/>
      <c r="Z188" s="385"/>
      <c r="AA188" s="385"/>
      <c r="AB188" s="385"/>
      <c r="AC188" s="1334"/>
      <c r="AF188" s="385"/>
      <c r="AG188" s="385"/>
      <c r="AH188" s="385"/>
      <c r="AI188" s="1334"/>
      <c r="AL188" s="385"/>
      <c r="AM188" s="385"/>
      <c r="AN188" s="385"/>
      <c r="AO188" s="1334"/>
      <c r="AR188" s="385"/>
      <c r="AS188" s="385"/>
      <c r="AT188" s="385"/>
      <c r="AU188" s="1334"/>
      <c r="AX188" s="385"/>
      <c r="AY188" s="385"/>
      <c r="AZ188" s="385"/>
      <c r="BA188" s="1334"/>
      <c r="BD188" s="385"/>
      <c r="BE188" s="385"/>
      <c r="BF188" s="385"/>
      <c r="BG188" s="1334"/>
      <c r="BJ188" s="385"/>
      <c r="BK188" s="385"/>
      <c r="BL188" s="385"/>
      <c r="BM188" s="1334"/>
      <c r="BP188" s="385"/>
      <c r="BQ188" s="385"/>
      <c r="BR188" s="385"/>
      <c r="BS188" s="1334"/>
      <c r="BV188" s="385"/>
      <c r="BW188" s="385"/>
      <c r="BX188" s="385"/>
      <c r="BY188" s="1334"/>
      <c r="CA188" s="385"/>
    </row>
    <row r="189" spans="16:79">
      <c r="P189" s="369"/>
      <c r="Q189" s="369"/>
      <c r="R189" s="369"/>
      <c r="T189" s="385"/>
      <c r="U189" s="385"/>
      <c r="V189" s="385"/>
      <c r="W189" s="1334"/>
      <c r="Z189" s="385"/>
      <c r="AA189" s="385"/>
      <c r="AB189" s="385"/>
      <c r="AC189" s="1334"/>
      <c r="AF189" s="385"/>
      <c r="AG189" s="385"/>
      <c r="AH189" s="385"/>
      <c r="AI189" s="1334"/>
      <c r="AL189" s="385"/>
      <c r="AM189" s="385"/>
      <c r="AN189" s="385"/>
      <c r="AO189" s="1334"/>
      <c r="AR189" s="385"/>
      <c r="AS189" s="385"/>
      <c r="AT189" s="385"/>
      <c r="AU189" s="1334"/>
      <c r="AX189" s="385"/>
      <c r="AY189" s="385"/>
      <c r="AZ189" s="385"/>
      <c r="BA189" s="1334"/>
      <c r="BD189" s="385"/>
      <c r="BE189" s="385"/>
      <c r="BF189" s="385"/>
      <c r="BG189" s="1334"/>
      <c r="BJ189" s="385"/>
      <c r="BK189" s="385"/>
      <c r="BL189" s="385"/>
      <c r="BM189" s="1334"/>
      <c r="BP189" s="385"/>
      <c r="BQ189" s="385"/>
      <c r="BR189" s="385"/>
      <c r="BS189" s="1334"/>
      <c r="BV189" s="385"/>
      <c r="BW189" s="385"/>
      <c r="BX189" s="385"/>
      <c r="BY189" s="1334"/>
      <c r="CA189" s="385"/>
    </row>
    <row r="190" spans="16:79">
      <c r="P190" s="369"/>
      <c r="Q190" s="369"/>
      <c r="R190" s="369"/>
      <c r="T190" s="385"/>
      <c r="U190" s="385"/>
      <c r="V190" s="385"/>
      <c r="W190" s="1334"/>
      <c r="Z190" s="385"/>
      <c r="AA190" s="385"/>
      <c r="AB190" s="385"/>
      <c r="AC190" s="1334"/>
      <c r="AF190" s="385"/>
      <c r="AG190" s="385"/>
      <c r="AH190" s="385"/>
      <c r="AI190" s="1334"/>
      <c r="AL190" s="385"/>
      <c r="AM190" s="385"/>
      <c r="AN190" s="385"/>
      <c r="AO190" s="1334"/>
      <c r="AR190" s="385"/>
      <c r="AS190" s="385"/>
      <c r="AT190" s="385"/>
      <c r="AU190" s="1334"/>
      <c r="AX190" s="385"/>
      <c r="AY190" s="385"/>
      <c r="AZ190" s="385"/>
      <c r="BA190" s="1334"/>
      <c r="BD190" s="385"/>
      <c r="BE190" s="385"/>
      <c r="BF190" s="385"/>
      <c r="BG190" s="1334"/>
      <c r="BJ190" s="385"/>
      <c r="BK190" s="385"/>
      <c r="BL190" s="385"/>
      <c r="BM190" s="1334"/>
      <c r="BP190" s="385"/>
      <c r="BQ190" s="385"/>
      <c r="BR190" s="385"/>
      <c r="BS190" s="1334"/>
      <c r="BV190" s="385"/>
      <c r="BW190" s="385"/>
      <c r="BX190" s="385"/>
      <c r="BY190" s="1334"/>
      <c r="CA190" s="385"/>
    </row>
    <row r="191" spans="16:79">
      <c r="P191" s="369"/>
      <c r="Q191" s="369"/>
      <c r="R191" s="369"/>
      <c r="T191" s="385"/>
      <c r="U191" s="385"/>
      <c r="V191" s="385"/>
      <c r="W191" s="1334"/>
      <c r="Z191" s="385"/>
      <c r="AA191" s="385"/>
      <c r="AB191" s="385"/>
      <c r="AC191" s="1334"/>
      <c r="AF191" s="385"/>
      <c r="AG191" s="385"/>
      <c r="AH191" s="385"/>
      <c r="AI191" s="1334"/>
      <c r="AL191" s="385"/>
      <c r="AM191" s="385"/>
      <c r="AN191" s="385"/>
      <c r="AO191" s="1334"/>
      <c r="AR191" s="385"/>
      <c r="AS191" s="385"/>
      <c r="AT191" s="385"/>
      <c r="AU191" s="1334"/>
      <c r="AX191" s="385"/>
      <c r="AY191" s="385"/>
      <c r="AZ191" s="385"/>
      <c r="BA191" s="1334"/>
      <c r="BD191" s="385"/>
      <c r="BE191" s="385"/>
      <c r="BF191" s="385"/>
      <c r="BG191" s="1334"/>
      <c r="BJ191" s="385"/>
      <c r="BK191" s="385"/>
      <c r="BL191" s="385"/>
      <c r="BM191" s="1334"/>
      <c r="BP191" s="385"/>
      <c r="BQ191" s="385"/>
      <c r="BR191" s="385"/>
      <c r="BS191" s="1334"/>
      <c r="BV191" s="385"/>
      <c r="BW191" s="385"/>
      <c r="BX191" s="385"/>
      <c r="BY191" s="1334"/>
      <c r="CA191" s="385"/>
    </row>
    <row r="192" spans="16:79">
      <c r="P192" s="369"/>
      <c r="Q192" s="369"/>
      <c r="R192" s="369"/>
      <c r="T192" s="385"/>
      <c r="U192" s="385"/>
      <c r="V192" s="385"/>
      <c r="W192" s="1334"/>
      <c r="Z192" s="385"/>
      <c r="AA192" s="385"/>
      <c r="AB192" s="385"/>
      <c r="AC192" s="1334"/>
      <c r="AF192" s="385"/>
      <c r="AG192" s="385"/>
      <c r="AH192" s="385"/>
      <c r="AI192" s="1334"/>
      <c r="AL192" s="385"/>
      <c r="AM192" s="385"/>
      <c r="AN192" s="385"/>
      <c r="AO192" s="1334"/>
      <c r="AR192" s="385"/>
      <c r="AS192" s="385"/>
      <c r="AT192" s="385"/>
      <c r="AU192" s="1334"/>
      <c r="AX192" s="385"/>
      <c r="AY192" s="385"/>
      <c r="AZ192" s="385"/>
      <c r="BA192" s="1334"/>
      <c r="BD192" s="385"/>
      <c r="BE192" s="385"/>
      <c r="BF192" s="385"/>
      <c r="BG192" s="1334"/>
      <c r="BJ192" s="385"/>
      <c r="BK192" s="385"/>
      <c r="BL192" s="385"/>
      <c r="BM192" s="1334"/>
      <c r="BP192" s="385"/>
      <c r="BQ192" s="385"/>
      <c r="BR192" s="385"/>
      <c r="BS192" s="1334"/>
      <c r="BV192" s="385"/>
      <c r="BW192" s="385"/>
      <c r="BX192" s="385"/>
      <c r="BY192" s="1334"/>
      <c r="CA192" s="385"/>
    </row>
    <row r="193" spans="16:79">
      <c r="P193" s="369"/>
      <c r="Q193" s="369"/>
      <c r="R193" s="369"/>
      <c r="T193" s="385"/>
      <c r="U193" s="385"/>
      <c r="V193" s="385"/>
      <c r="W193" s="1334"/>
      <c r="Z193" s="385"/>
      <c r="AA193" s="385"/>
      <c r="AB193" s="385"/>
      <c r="AC193" s="1334"/>
      <c r="AF193" s="385"/>
      <c r="AG193" s="385"/>
      <c r="AH193" s="385"/>
      <c r="AI193" s="1334"/>
      <c r="AL193" s="385"/>
      <c r="AM193" s="385"/>
      <c r="AN193" s="385"/>
      <c r="AO193" s="1334"/>
      <c r="AR193" s="385"/>
      <c r="AS193" s="385"/>
      <c r="AT193" s="385"/>
      <c r="AU193" s="1334"/>
      <c r="AX193" s="385"/>
      <c r="AY193" s="385"/>
      <c r="AZ193" s="385"/>
      <c r="BA193" s="1334"/>
      <c r="BD193" s="385"/>
      <c r="BE193" s="385"/>
      <c r="BF193" s="385"/>
      <c r="BG193" s="1334"/>
      <c r="BJ193" s="385"/>
      <c r="BK193" s="385"/>
      <c r="BL193" s="385"/>
      <c r="BM193" s="1334"/>
      <c r="BP193" s="385"/>
      <c r="BQ193" s="385"/>
      <c r="BR193" s="385"/>
      <c r="BS193" s="1334"/>
      <c r="BV193" s="385"/>
      <c r="BW193" s="385"/>
      <c r="BX193" s="385"/>
      <c r="BY193" s="1334"/>
      <c r="CA193" s="385"/>
    </row>
    <row r="194" spans="16:79">
      <c r="P194" s="369"/>
      <c r="Q194" s="369"/>
      <c r="R194" s="369"/>
      <c r="T194" s="385"/>
      <c r="U194" s="385"/>
      <c r="V194" s="385"/>
      <c r="W194" s="1334"/>
      <c r="Z194" s="385"/>
      <c r="AA194" s="385"/>
      <c r="AB194" s="385"/>
      <c r="AC194" s="1334"/>
      <c r="AF194" s="385"/>
      <c r="AG194" s="385"/>
      <c r="AH194" s="385"/>
      <c r="AI194" s="1334"/>
      <c r="AL194" s="385"/>
      <c r="AM194" s="385"/>
      <c r="AN194" s="385"/>
      <c r="AO194" s="1334"/>
      <c r="AR194" s="385"/>
      <c r="AS194" s="385"/>
      <c r="AT194" s="385"/>
      <c r="AU194" s="1334"/>
      <c r="AX194" s="385"/>
      <c r="AY194" s="385"/>
      <c r="AZ194" s="385"/>
      <c r="BA194" s="1334"/>
      <c r="BD194" s="385"/>
      <c r="BE194" s="385"/>
      <c r="BF194" s="385"/>
      <c r="BG194" s="1334"/>
      <c r="BJ194" s="385"/>
      <c r="BK194" s="385"/>
      <c r="BL194" s="385"/>
      <c r="BM194" s="1334"/>
      <c r="BP194" s="385"/>
      <c r="BQ194" s="385"/>
      <c r="BR194" s="385"/>
      <c r="BS194" s="1334"/>
      <c r="BV194" s="385"/>
      <c r="BW194" s="385"/>
      <c r="BX194" s="385"/>
      <c r="BY194" s="1334"/>
      <c r="CA194" s="385"/>
    </row>
    <row r="195" spans="16:79">
      <c r="P195" s="369"/>
      <c r="Q195" s="369"/>
      <c r="R195" s="369"/>
      <c r="T195" s="385"/>
      <c r="U195" s="385"/>
      <c r="V195" s="385"/>
      <c r="W195" s="1334"/>
      <c r="Z195" s="385"/>
      <c r="AA195" s="385"/>
      <c r="AB195" s="385"/>
      <c r="AC195" s="1334"/>
      <c r="AF195" s="385"/>
      <c r="AG195" s="385"/>
      <c r="AH195" s="385"/>
      <c r="AI195" s="1334"/>
      <c r="AL195" s="385"/>
      <c r="AM195" s="385"/>
      <c r="AN195" s="385"/>
      <c r="AO195" s="1334"/>
      <c r="AR195" s="385"/>
      <c r="AS195" s="385"/>
      <c r="AT195" s="385"/>
      <c r="AU195" s="1334"/>
      <c r="AX195" s="385"/>
      <c r="AY195" s="385"/>
      <c r="AZ195" s="385"/>
      <c r="BA195" s="1334"/>
      <c r="BD195" s="385"/>
      <c r="BE195" s="385"/>
      <c r="BF195" s="385"/>
      <c r="BG195" s="1334"/>
      <c r="BJ195" s="385"/>
      <c r="BK195" s="385"/>
      <c r="BL195" s="385"/>
      <c r="BM195" s="1334"/>
      <c r="BP195" s="385"/>
      <c r="BQ195" s="385"/>
      <c r="BR195" s="385"/>
      <c r="BS195" s="1334"/>
      <c r="BV195" s="385"/>
      <c r="BW195" s="385"/>
      <c r="BX195" s="385"/>
      <c r="BY195" s="1334"/>
      <c r="CA195" s="385"/>
    </row>
    <row r="196" spans="16:79">
      <c r="P196" s="369"/>
      <c r="Q196" s="369"/>
      <c r="R196" s="369"/>
      <c r="T196" s="385"/>
      <c r="U196" s="385"/>
      <c r="V196" s="385"/>
      <c r="W196" s="1334"/>
      <c r="Z196" s="385"/>
      <c r="AA196" s="385"/>
      <c r="AB196" s="385"/>
      <c r="AC196" s="1334"/>
      <c r="AF196" s="385"/>
      <c r="AG196" s="385"/>
      <c r="AH196" s="385"/>
      <c r="AI196" s="1334"/>
      <c r="AL196" s="385"/>
      <c r="AM196" s="385"/>
      <c r="AN196" s="385"/>
      <c r="AO196" s="1334"/>
      <c r="AR196" s="385"/>
      <c r="AS196" s="385"/>
      <c r="AT196" s="385"/>
      <c r="AU196" s="1334"/>
      <c r="AX196" s="385"/>
      <c r="AY196" s="385"/>
      <c r="AZ196" s="385"/>
      <c r="BA196" s="1334"/>
      <c r="BD196" s="385"/>
      <c r="BE196" s="385"/>
      <c r="BF196" s="385"/>
      <c r="BG196" s="1334"/>
      <c r="BJ196" s="385"/>
      <c r="BK196" s="385"/>
      <c r="BL196" s="385"/>
      <c r="BM196" s="1334"/>
      <c r="BP196" s="385"/>
      <c r="BQ196" s="385"/>
      <c r="BR196" s="385"/>
      <c r="BS196" s="1334"/>
      <c r="BV196" s="385"/>
      <c r="BW196" s="385"/>
      <c r="BX196" s="385"/>
      <c r="BY196" s="1334"/>
      <c r="CA196" s="385"/>
    </row>
    <row r="197" spans="16:79">
      <c r="P197" s="369"/>
      <c r="Q197" s="369"/>
      <c r="R197" s="369"/>
      <c r="T197" s="385"/>
      <c r="U197" s="385"/>
      <c r="V197" s="385"/>
      <c r="W197" s="1334"/>
      <c r="Z197" s="385"/>
      <c r="AA197" s="385"/>
      <c r="AB197" s="385"/>
      <c r="AC197" s="1334"/>
      <c r="AF197" s="385"/>
      <c r="AG197" s="385"/>
      <c r="AH197" s="385"/>
      <c r="AI197" s="1334"/>
      <c r="AL197" s="385"/>
      <c r="AM197" s="385"/>
      <c r="AN197" s="385"/>
      <c r="AO197" s="1334"/>
      <c r="AR197" s="385"/>
      <c r="AS197" s="385"/>
      <c r="AT197" s="385"/>
      <c r="AU197" s="1334"/>
      <c r="AX197" s="385"/>
      <c r="AY197" s="385"/>
      <c r="AZ197" s="385"/>
      <c r="BA197" s="1334"/>
      <c r="BD197" s="385"/>
      <c r="BE197" s="385"/>
      <c r="BF197" s="385"/>
      <c r="BG197" s="1334"/>
      <c r="BJ197" s="385"/>
      <c r="BK197" s="385"/>
      <c r="BL197" s="385"/>
      <c r="BM197" s="1334"/>
      <c r="BP197" s="385"/>
      <c r="BQ197" s="385"/>
      <c r="BR197" s="385"/>
      <c r="BS197" s="1334"/>
      <c r="BV197" s="385"/>
      <c r="BW197" s="385"/>
      <c r="BX197" s="385"/>
      <c r="BY197" s="1334"/>
      <c r="CA197" s="385"/>
    </row>
    <row r="198" spans="16:79">
      <c r="P198" s="369"/>
      <c r="Q198" s="369"/>
      <c r="R198" s="369"/>
      <c r="T198" s="385"/>
      <c r="U198" s="385"/>
      <c r="V198" s="385"/>
      <c r="W198" s="1334"/>
      <c r="Z198" s="385"/>
      <c r="AA198" s="385"/>
      <c r="AB198" s="385"/>
      <c r="AC198" s="1334"/>
      <c r="AF198" s="385"/>
      <c r="AG198" s="385"/>
      <c r="AH198" s="385"/>
      <c r="AI198" s="1334"/>
      <c r="AL198" s="385"/>
      <c r="AM198" s="385"/>
      <c r="AN198" s="385"/>
      <c r="AO198" s="1334"/>
      <c r="AR198" s="385"/>
      <c r="AS198" s="385"/>
      <c r="AT198" s="385"/>
      <c r="AU198" s="1334"/>
      <c r="AX198" s="385"/>
      <c r="AY198" s="385"/>
      <c r="AZ198" s="385"/>
      <c r="BA198" s="1334"/>
      <c r="BD198" s="385"/>
      <c r="BE198" s="385"/>
      <c r="BF198" s="385"/>
      <c r="BG198" s="1334"/>
      <c r="BJ198" s="385"/>
      <c r="BK198" s="385"/>
      <c r="BL198" s="385"/>
      <c r="BM198" s="1334"/>
      <c r="BP198" s="385"/>
      <c r="BQ198" s="385"/>
      <c r="BR198" s="385"/>
      <c r="BS198" s="1334"/>
      <c r="BV198" s="385"/>
      <c r="BW198" s="385"/>
      <c r="BX198" s="385"/>
      <c r="BY198" s="1334"/>
      <c r="CA198" s="385"/>
    </row>
    <row r="199" spans="16:79">
      <c r="P199" s="369"/>
      <c r="Q199" s="369"/>
      <c r="R199" s="369"/>
      <c r="T199" s="385"/>
      <c r="U199" s="385"/>
      <c r="V199" s="385"/>
      <c r="W199" s="1334"/>
      <c r="Z199" s="385"/>
      <c r="AA199" s="385"/>
      <c r="AB199" s="385"/>
      <c r="AC199" s="1334"/>
      <c r="AF199" s="385"/>
      <c r="AG199" s="385"/>
      <c r="AH199" s="385"/>
      <c r="AI199" s="1334"/>
      <c r="AL199" s="385"/>
      <c r="AM199" s="385"/>
      <c r="AN199" s="385"/>
      <c r="AO199" s="1334"/>
      <c r="AR199" s="385"/>
      <c r="AS199" s="385"/>
      <c r="AT199" s="385"/>
      <c r="AU199" s="1334"/>
      <c r="AX199" s="385"/>
      <c r="AY199" s="385"/>
      <c r="AZ199" s="385"/>
      <c r="BA199" s="1334"/>
      <c r="BD199" s="385"/>
      <c r="BE199" s="385"/>
      <c r="BF199" s="385"/>
      <c r="BG199" s="1334"/>
      <c r="BJ199" s="385"/>
      <c r="BK199" s="385"/>
      <c r="BL199" s="385"/>
      <c r="BM199" s="1334"/>
      <c r="BP199" s="385"/>
      <c r="BQ199" s="385"/>
      <c r="BR199" s="385"/>
      <c r="BS199" s="1334"/>
      <c r="BV199" s="385"/>
      <c r="BW199" s="385"/>
      <c r="BX199" s="385"/>
      <c r="BY199" s="1334"/>
      <c r="CA199" s="385"/>
    </row>
    <row r="200" spans="16:79">
      <c r="P200" s="369"/>
      <c r="Q200" s="369"/>
      <c r="R200" s="369"/>
      <c r="T200" s="385"/>
      <c r="U200" s="385"/>
      <c r="V200" s="385"/>
      <c r="W200" s="1334"/>
      <c r="Z200" s="385"/>
      <c r="AA200" s="385"/>
      <c r="AB200" s="385"/>
      <c r="AC200" s="1334"/>
      <c r="AF200" s="385"/>
      <c r="AG200" s="385"/>
      <c r="AH200" s="385"/>
      <c r="AI200" s="1334"/>
      <c r="AL200" s="385"/>
      <c r="AM200" s="385"/>
      <c r="AN200" s="385"/>
      <c r="AO200" s="1334"/>
      <c r="AR200" s="385"/>
      <c r="AS200" s="385"/>
      <c r="AT200" s="385"/>
      <c r="AU200" s="1334"/>
      <c r="AX200" s="385"/>
      <c r="AY200" s="385"/>
      <c r="AZ200" s="385"/>
      <c r="BA200" s="1334"/>
      <c r="BD200" s="385"/>
      <c r="BE200" s="385"/>
      <c r="BF200" s="385"/>
      <c r="BG200" s="1334"/>
      <c r="BJ200" s="385"/>
      <c r="BK200" s="385"/>
      <c r="BL200" s="385"/>
      <c r="BM200" s="1334"/>
      <c r="BP200" s="385"/>
      <c r="BQ200" s="385"/>
      <c r="BR200" s="385"/>
      <c r="BS200" s="1334"/>
      <c r="BV200" s="385"/>
      <c r="BW200" s="385"/>
      <c r="BX200" s="385"/>
      <c r="BY200" s="1334"/>
      <c r="CA200" s="385"/>
    </row>
    <row r="201" spans="16:79">
      <c r="P201" s="369"/>
      <c r="Q201" s="369"/>
      <c r="R201" s="369"/>
      <c r="T201" s="385"/>
      <c r="U201" s="385"/>
      <c r="V201" s="385"/>
      <c r="W201" s="1334"/>
      <c r="Z201" s="385"/>
      <c r="AA201" s="385"/>
      <c r="AB201" s="385"/>
      <c r="AC201" s="1334"/>
      <c r="AF201" s="385"/>
      <c r="AG201" s="385"/>
      <c r="AH201" s="385"/>
      <c r="AI201" s="1334"/>
      <c r="AL201" s="385"/>
      <c r="AM201" s="385"/>
      <c r="AN201" s="385"/>
      <c r="AO201" s="1334"/>
      <c r="AR201" s="385"/>
      <c r="AS201" s="385"/>
      <c r="AT201" s="385"/>
      <c r="AU201" s="1334"/>
      <c r="AX201" s="385"/>
      <c r="AY201" s="385"/>
      <c r="AZ201" s="385"/>
      <c r="BA201" s="1334"/>
      <c r="BD201" s="385"/>
      <c r="BE201" s="385"/>
      <c r="BF201" s="385"/>
      <c r="BG201" s="1334"/>
      <c r="BJ201" s="385"/>
      <c r="BK201" s="385"/>
      <c r="BL201" s="385"/>
      <c r="BM201" s="1334"/>
      <c r="BP201" s="385"/>
      <c r="BQ201" s="385"/>
      <c r="BR201" s="385"/>
      <c r="BS201" s="1334"/>
      <c r="BV201" s="385"/>
      <c r="BW201" s="385"/>
      <c r="BX201" s="385"/>
      <c r="BY201" s="1334"/>
      <c r="CA201" s="385"/>
    </row>
    <row r="202" spans="16:79">
      <c r="P202" s="369"/>
      <c r="Q202" s="369"/>
      <c r="R202" s="369"/>
      <c r="T202" s="385"/>
      <c r="U202" s="385"/>
      <c r="V202" s="385"/>
      <c r="W202" s="1334"/>
      <c r="Z202" s="385"/>
      <c r="AA202" s="385"/>
      <c r="AB202" s="385"/>
      <c r="AC202" s="1334"/>
      <c r="AF202" s="385"/>
      <c r="AG202" s="385"/>
      <c r="AH202" s="385"/>
      <c r="AI202" s="1334"/>
      <c r="AL202" s="385"/>
      <c r="AM202" s="385"/>
      <c r="AN202" s="385"/>
      <c r="AO202" s="1334"/>
      <c r="AR202" s="385"/>
      <c r="AS202" s="385"/>
      <c r="AT202" s="385"/>
      <c r="AU202" s="1334"/>
      <c r="AX202" s="385"/>
      <c r="AY202" s="385"/>
      <c r="AZ202" s="385"/>
      <c r="BA202" s="1334"/>
      <c r="BD202" s="385"/>
      <c r="BE202" s="385"/>
      <c r="BF202" s="385"/>
      <c r="BG202" s="1334"/>
      <c r="BJ202" s="385"/>
      <c r="BK202" s="385"/>
      <c r="BL202" s="385"/>
      <c r="BM202" s="1334"/>
      <c r="BP202" s="385"/>
      <c r="BQ202" s="385"/>
      <c r="BR202" s="385"/>
      <c r="BS202" s="1334"/>
      <c r="BV202" s="385"/>
      <c r="BW202" s="385"/>
      <c r="BX202" s="385"/>
      <c r="BY202" s="1334"/>
      <c r="CA202" s="385"/>
    </row>
    <row r="203" spans="16:79">
      <c r="P203" s="369"/>
      <c r="Q203" s="369"/>
      <c r="R203" s="369"/>
      <c r="T203" s="385"/>
      <c r="U203" s="385"/>
      <c r="V203" s="385"/>
      <c r="W203" s="1334"/>
      <c r="Z203" s="385"/>
      <c r="AA203" s="385"/>
      <c r="AB203" s="385"/>
      <c r="AC203" s="1334"/>
      <c r="AF203" s="385"/>
      <c r="AG203" s="385"/>
      <c r="AH203" s="385"/>
      <c r="AI203" s="1334"/>
      <c r="AL203" s="385"/>
      <c r="AM203" s="385"/>
      <c r="AN203" s="385"/>
      <c r="AO203" s="1334"/>
      <c r="AR203" s="385"/>
      <c r="AS203" s="385"/>
      <c r="AT203" s="385"/>
      <c r="AU203" s="1334"/>
      <c r="AX203" s="385"/>
      <c r="AY203" s="385"/>
      <c r="AZ203" s="385"/>
      <c r="BA203" s="1334"/>
      <c r="BD203" s="385"/>
      <c r="BE203" s="385"/>
      <c r="BF203" s="385"/>
      <c r="BG203" s="1334"/>
      <c r="BJ203" s="385"/>
      <c r="BK203" s="385"/>
      <c r="BL203" s="385"/>
      <c r="BM203" s="1334"/>
      <c r="BP203" s="385"/>
      <c r="BQ203" s="385"/>
      <c r="BR203" s="385"/>
      <c r="BS203" s="1334"/>
      <c r="BV203" s="385"/>
      <c r="BW203" s="385"/>
      <c r="BX203" s="385"/>
      <c r="BY203" s="1334"/>
      <c r="CA203" s="385"/>
    </row>
    <row r="204" spans="16:79">
      <c r="P204" s="369"/>
      <c r="Q204" s="369"/>
      <c r="R204" s="369"/>
      <c r="T204" s="385"/>
      <c r="U204" s="385"/>
      <c r="V204" s="385"/>
      <c r="W204" s="1334"/>
      <c r="Z204" s="385"/>
      <c r="AA204" s="385"/>
      <c r="AB204" s="385"/>
      <c r="AC204" s="1334"/>
      <c r="AF204" s="385"/>
      <c r="AG204" s="385"/>
      <c r="AH204" s="385"/>
      <c r="AI204" s="1334"/>
      <c r="AL204" s="385"/>
      <c r="AM204" s="385"/>
      <c r="AN204" s="385"/>
      <c r="AO204" s="1334"/>
      <c r="AR204" s="385"/>
      <c r="AS204" s="385"/>
      <c r="AT204" s="385"/>
      <c r="AU204" s="1334"/>
      <c r="AX204" s="385"/>
      <c r="AY204" s="385"/>
      <c r="AZ204" s="385"/>
      <c r="BA204" s="1334"/>
      <c r="BD204" s="385"/>
      <c r="BE204" s="385"/>
      <c r="BF204" s="385"/>
      <c r="BG204" s="1334"/>
      <c r="BJ204" s="385"/>
      <c r="BK204" s="385"/>
      <c r="BL204" s="385"/>
      <c r="BM204" s="1334"/>
      <c r="BP204" s="385"/>
      <c r="BQ204" s="385"/>
      <c r="BR204" s="385"/>
      <c r="BS204" s="1334"/>
      <c r="BV204" s="385"/>
      <c r="BW204" s="385"/>
      <c r="BX204" s="385"/>
      <c r="BY204" s="1334"/>
      <c r="CA204" s="385"/>
    </row>
    <row r="205" spans="16:79">
      <c r="P205" s="369"/>
      <c r="Q205" s="369"/>
      <c r="R205" s="369"/>
      <c r="T205" s="385"/>
      <c r="U205" s="385"/>
      <c r="V205" s="385"/>
      <c r="W205" s="1334"/>
      <c r="Z205" s="385"/>
      <c r="AA205" s="385"/>
      <c r="AB205" s="385"/>
      <c r="AC205" s="1334"/>
      <c r="AF205" s="385"/>
      <c r="AG205" s="385"/>
      <c r="AH205" s="385"/>
      <c r="AI205" s="1334"/>
      <c r="AL205" s="385"/>
      <c r="AM205" s="385"/>
      <c r="AN205" s="385"/>
      <c r="AO205" s="1334"/>
      <c r="AR205" s="385"/>
      <c r="AS205" s="385"/>
      <c r="AT205" s="385"/>
      <c r="AU205" s="1334"/>
      <c r="AX205" s="385"/>
      <c r="AY205" s="385"/>
      <c r="AZ205" s="385"/>
      <c r="BA205" s="1334"/>
      <c r="BD205" s="385"/>
      <c r="BE205" s="385"/>
      <c r="BF205" s="385"/>
      <c r="BG205" s="1334"/>
      <c r="BJ205" s="385"/>
      <c r="BK205" s="385"/>
      <c r="BL205" s="385"/>
      <c r="BM205" s="1334"/>
      <c r="BP205" s="385"/>
      <c r="BQ205" s="385"/>
      <c r="BR205" s="385"/>
      <c r="BS205" s="1334"/>
      <c r="BV205" s="385"/>
      <c r="BW205" s="385"/>
      <c r="BX205" s="385"/>
      <c r="BY205" s="1334"/>
      <c r="CA205" s="385"/>
    </row>
  </sheetData>
  <dataConsolidate/>
  <mergeCells count="174">
    <mergeCell ref="N38:N40"/>
    <mergeCell ref="K16:K18"/>
    <mergeCell ref="M16:M18"/>
    <mergeCell ref="I16:I18"/>
    <mergeCell ref="K25:K28"/>
    <mergeCell ref="M25:M28"/>
    <mergeCell ref="O38:O40"/>
    <mergeCell ref="T2:X2"/>
    <mergeCell ref="K31:K32"/>
    <mergeCell ref="M31:M32"/>
    <mergeCell ref="K29:K30"/>
    <mergeCell ref="M29:M30"/>
    <mergeCell ref="K34:K35"/>
    <mergeCell ref="M34:M35"/>
    <mergeCell ref="O16:O18"/>
    <mergeCell ref="P16:P18"/>
    <mergeCell ref="Q16:Q18"/>
    <mergeCell ref="R16:R18"/>
    <mergeCell ref="W16:W18"/>
    <mergeCell ref="Z2:AD2"/>
    <mergeCell ref="AF2:AJ2"/>
    <mergeCell ref="AL2:AP2"/>
    <mergeCell ref="AR2:AV2"/>
    <mergeCell ref="AX2:BB2"/>
    <mergeCell ref="BD2:BH2"/>
    <mergeCell ref="BJ2:BN2"/>
    <mergeCell ref="K38:K40"/>
    <mergeCell ref="A4:A6"/>
    <mergeCell ref="B4:B6"/>
    <mergeCell ref="J2:O2"/>
    <mergeCell ref="A29:A30"/>
    <mergeCell ref="B29:B30"/>
    <mergeCell ref="H29:H30"/>
    <mergeCell ref="I29:I30"/>
    <mergeCell ref="U29:U30"/>
    <mergeCell ref="W29:W30"/>
    <mergeCell ref="AO25:AO28"/>
    <mergeCell ref="AS25:AS28"/>
    <mergeCell ref="AU25:AU28"/>
    <mergeCell ref="H25:H28"/>
    <mergeCell ref="I25:I28"/>
    <mergeCell ref="U25:U28"/>
    <mergeCell ref="W25:W28"/>
    <mergeCell ref="BP2:BT2"/>
    <mergeCell ref="BV2:BZ2"/>
    <mergeCell ref="A19:A21"/>
    <mergeCell ref="B19:B21"/>
    <mergeCell ref="A22:A24"/>
    <mergeCell ref="B22:B24"/>
    <mergeCell ref="A25:A28"/>
    <mergeCell ref="B25:B28"/>
    <mergeCell ref="A7:A10"/>
    <mergeCell ref="B7:B10"/>
    <mergeCell ref="A13:A15"/>
    <mergeCell ref="B13:B15"/>
    <mergeCell ref="A16:A18"/>
    <mergeCell ref="B16:B18"/>
    <mergeCell ref="BY25:BY28"/>
    <mergeCell ref="AY25:AY28"/>
    <mergeCell ref="BA25:BA28"/>
    <mergeCell ref="BE25:BE28"/>
    <mergeCell ref="BG25:BG28"/>
    <mergeCell ref="BK25:BK28"/>
    <mergeCell ref="BM25:BM28"/>
    <mergeCell ref="AG25:AG28"/>
    <mergeCell ref="AI25:AI28"/>
    <mergeCell ref="AM25:AM28"/>
    <mergeCell ref="AA25:AA28"/>
    <mergeCell ref="AA29:AA30"/>
    <mergeCell ref="AC29:AC30"/>
    <mergeCell ref="AG29:AG30"/>
    <mergeCell ref="AI29:AI30"/>
    <mergeCell ref="AM29:AM30"/>
    <mergeCell ref="AO29:AO30"/>
    <mergeCell ref="BQ25:BQ28"/>
    <mergeCell ref="BS25:BS28"/>
    <mergeCell ref="BW25:BW28"/>
    <mergeCell ref="AC25:AC28"/>
    <mergeCell ref="BK29:BK30"/>
    <mergeCell ref="BM29:BM30"/>
    <mergeCell ref="BQ29:BQ30"/>
    <mergeCell ref="BS29:BS30"/>
    <mergeCell ref="BW29:BW30"/>
    <mergeCell ref="BY29:BY30"/>
    <mergeCell ref="AS29:AS30"/>
    <mergeCell ref="AU29:AU30"/>
    <mergeCell ref="AY29:AY30"/>
    <mergeCell ref="BA29:BA30"/>
    <mergeCell ref="BE29:BE30"/>
    <mergeCell ref="BG29:BG30"/>
    <mergeCell ref="BS31:BS32"/>
    <mergeCell ref="BW31:BW32"/>
    <mergeCell ref="BY31:BY32"/>
    <mergeCell ref="AS31:AS32"/>
    <mergeCell ref="AU31:AU32"/>
    <mergeCell ref="AY31:AY32"/>
    <mergeCell ref="BA31:BA32"/>
    <mergeCell ref="BE31:BE32"/>
    <mergeCell ref="BG31:BG32"/>
    <mergeCell ref="BK31:BK32"/>
    <mergeCell ref="BM31:BM32"/>
    <mergeCell ref="BQ31:BQ32"/>
    <mergeCell ref="A31:A32"/>
    <mergeCell ref="B31:B32"/>
    <mergeCell ref="H31:H32"/>
    <mergeCell ref="I31:I32"/>
    <mergeCell ref="U31:U32"/>
    <mergeCell ref="W31:W32"/>
    <mergeCell ref="AU34:AU35"/>
    <mergeCell ref="AY34:AY35"/>
    <mergeCell ref="BA34:BA35"/>
    <mergeCell ref="AA31:AA32"/>
    <mergeCell ref="AC31:AC32"/>
    <mergeCell ref="AG31:AG32"/>
    <mergeCell ref="AI31:AI32"/>
    <mergeCell ref="AM31:AM32"/>
    <mergeCell ref="AO31:AO32"/>
    <mergeCell ref="BY38:BY40"/>
    <mergeCell ref="AY38:AY40"/>
    <mergeCell ref="BA38:BA40"/>
    <mergeCell ref="BE34:BE35"/>
    <mergeCell ref="W34:W35"/>
    <mergeCell ref="AA34:AA35"/>
    <mergeCell ref="AC34:AC35"/>
    <mergeCell ref="AG34:AG35"/>
    <mergeCell ref="AI34:AI35"/>
    <mergeCell ref="AM34:AM35"/>
    <mergeCell ref="AG38:AG40"/>
    <mergeCell ref="AI38:AI40"/>
    <mergeCell ref="AM38:AM40"/>
    <mergeCell ref="AO38:AO40"/>
    <mergeCell ref="AS38:AS40"/>
    <mergeCell ref="AU38:AU40"/>
    <mergeCell ref="BE38:BE40"/>
    <mergeCell ref="BG38:BG40"/>
    <mergeCell ref="BK38:BK40"/>
    <mergeCell ref="BM38:BM40"/>
    <mergeCell ref="BY34:BY35"/>
    <mergeCell ref="BG34:BG35"/>
    <mergeCell ref="BK34:BK35"/>
    <mergeCell ref="BM34:BM35"/>
    <mergeCell ref="BQ34:BQ35"/>
    <mergeCell ref="BS34:BS35"/>
    <mergeCell ref="BW34:BW35"/>
    <mergeCell ref="AO34:AO35"/>
    <mergeCell ref="AS34:AS35"/>
    <mergeCell ref="BQ38:BQ40"/>
    <mergeCell ref="BS38:BS40"/>
    <mergeCell ref="BW38:BW40"/>
    <mergeCell ref="A38:A40"/>
    <mergeCell ref="B38:B40"/>
    <mergeCell ref="H38:H40"/>
    <mergeCell ref="G38:G40"/>
    <mergeCell ref="I38:I40"/>
    <mergeCell ref="U38:U40"/>
    <mergeCell ref="W38:W40"/>
    <mergeCell ref="AA38:AA40"/>
    <mergeCell ref="AC38:AC40"/>
    <mergeCell ref="A34:A35"/>
    <mergeCell ref="B34:B35"/>
    <mergeCell ref="H34:H35"/>
    <mergeCell ref="G34:G35"/>
    <mergeCell ref="I34:I35"/>
    <mergeCell ref="U34:U35"/>
    <mergeCell ref="M38:M40"/>
    <mergeCell ref="AC16:AC18"/>
    <mergeCell ref="AI16:AI18"/>
    <mergeCell ref="AO16:AO18"/>
    <mergeCell ref="AU16:AU18"/>
    <mergeCell ref="BA16:BA18"/>
    <mergeCell ref="BG16:BG18"/>
    <mergeCell ref="BM16:BM18"/>
    <mergeCell ref="BS16:BS18"/>
    <mergeCell ref="BY16:BY18"/>
  </mergeCells>
  <phoneticPr fontId="3" type="noConversion"/>
  <conditionalFormatting sqref="X4:X40 AD4:AD40 BZ4:BZ40 AJ4:AJ40 AP4:AP40 AV4:AV40 BB4:BB40 BH4:BH40 BN4:BN40 BT4:BT40">
    <cfRule type="cellIs" dxfId="203" priority="128" operator="lessThan">
      <formula>-0.3</formula>
    </cfRule>
    <cfRule type="cellIs" dxfId="202" priority="129" operator="greaterThan">
      <formula>0.3</formula>
    </cfRule>
  </conditionalFormatting>
  <conditionalFormatting sqref="U4 AA4 AG4 AM4 AS4 AY4 BE4 BK4 BQ4 BW4 W4 AC4 AI4 AO4 AU4 BA4 BG4 BM4 BS4 BY4">
    <cfRule type="cellIs" dxfId="201" priority="127" operator="notEqual">
      <formula>$I$4</formula>
    </cfRule>
  </conditionalFormatting>
  <conditionalFormatting sqref="U7 AA7 AG7 AM7 AS7 AY7 BE7 BK7 BQ7 BW7 W7 AC7 AI7 AO7 AU7 BA7 BG7 BM7 BS7 BY7">
    <cfRule type="cellIs" dxfId="200" priority="126" operator="notEqual">
      <formula>$I$7</formula>
    </cfRule>
  </conditionalFormatting>
  <conditionalFormatting sqref="U11 AA11 AG11 AM11 AS11 AY11 BE11 BK11 BQ11 BW11 W11 AC11 AI11 AO11 AU11 BA11 BG11 BM11 BS11 BY11">
    <cfRule type="cellIs" dxfId="199" priority="125" operator="notEqual">
      <formula>$I$11</formula>
    </cfRule>
  </conditionalFormatting>
  <conditionalFormatting sqref="U13 AA13 AG13 AM13 AS13 AY13 BE13 BK13 BQ13 BW13 W13 AC13 AI13 AO13 AU13 BA13 BG13 BM13 BS13 BY13">
    <cfRule type="cellIs" dxfId="198" priority="124" operator="notEqual">
      <formula>$I$13</formula>
    </cfRule>
  </conditionalFormatting>
  <conditionalFormatting sqref="U19 AA19 AG19 AM19 AS19 AY19 BE19 BK19 BQ19 BW19 W19 AC19 AI19 AO19 AU19 BA19 BG19 BM19 BS19 BY19">
    <cfRule type="cellIs" dxfId="197" priority="123" operator="notEqual">
      <formula>$I$19</formula>
    </cfRule>
  </conditionalFormatting>
  <conditionalFormatting sqref="U22 AA22 AG22 AM22 AS22 AY22 BE22 BK22 BQ22 BW22 W22 AC22 AI22 AO22 AU22 BA22 BG22 BM22 BS22 BY22">
    <cfRule type="cellIs" dxfId="196" priority="122" operator="notEqual">
      <formula>$I$22</formula>
    </cfRule>
  </conditionalFormatting>
  <conditionalFormatting sqref="U25:U28 AA25:AA28 AG25:AG28 AM25:AM28 AS25:AS28 AY25:AY28 BE25:BE28 BK25:BK28 BQ25:BQ28 BW25:BW28 W25:W28 AC25:AC28 AI25:AI28 AO25:AO28 AU25:AU28 BA25:BA28 BG25:BG28 BM25:BM28 BS25:BS28 BY25:BY28">
    <cfRule type="cellIs" dxfId="195" priority="121" operator="notEqual">
      <formula>$I$25</formula>
    </cfRule>
  </conditionalFormatting>
  <conditionalFormatting sqref="U29:U30 AA29:AA30 AG29:AG30 AM29:AM30 AS29:AS30 AY29:AY30 BE29:BE30 BK29:BK30 BQ29:BQ30 BW29:BW30 W29:W30 AC29:AC30 AI29:AI30 AO29:AO30 AU29:AU30 BA29:BA30 BG29:BG30 BM29:BM30 BS29:BS30 BY29:BY30">
    <cfRule type="cellIs" dxfId="194" priority="120" operator="notEqual">
      <formula>$I$29</formula>
    </cfRule>
  </conditionalFormatting>
  <conditionalFormatting sqref="U31:U32 AA31:AA32 AG31:AG32 AM31:AM32 AS31:AS32 AY31:AY32 BE31:BE32 BK31:BK32 BQ31:BQ32 BW31:BW32 W31:W32 AC31:AC32 AI31:AI32 AO31:AO32 AU31:AU32 BA31:BA32 BG31:BG32 BM31:BM32 BS31:BS32 BY31:BY32">
    <cfRule type="cellIs" dxfId="193" priority="119" operator="notEqual">
      <formula>$I$31</formula>
    </cfRule>
  </conditionalFormatting>
  <conditionalFormatting sqref="U34:U35 AA34:AA35 AG34:AG35 AM34:AM35 AS34:AS35 AY34:AY35 BE34:BE35 BK34:BK35 BQ34:BQ35 BW34:BW35 W34:W35 AC34:AC35 AI34:AI35 AO34:AO35 AU34:AU35 BA34:BA35 BG34:BG35 BM34:BM35 BS34:BS35 BY34:BY35">
    <cfRule type="cellIs" dxfId="192" priority="118" operator="notEqual">
      <formula>$I$34</formula>
    </cfRule>
  </conditionalFormatting>
  <conditionalFormatting sqref="BZ4:BZ40 X4:X40 AD4:AD40 AJ4:AJ40 AP4:AP40 AV4:AV40 BB4:BB40 BH4:BH40 BN4:BN40 BT4:BT40">
    <cfRule type="cellIs" dxfId="191" priority="116" stopIfTrue="1" operator="lessThanOrEqual">
      <formula>-0.3</formula>
    </cfRule>
    <cfRule type="cellIs" dxfId="190" priority="117" stopIfTrue="1" operator="greaterThanOrEqual">
      <formula>0.3</formula>
    </cfRule>
  </conditionalFormatting>
  <conditionalFormatting sqref="O34:R38 O19:R32 O5:R16">
    <cfRule type="expression" dxfId="189" priority="14">
      <formula>$O5&lt;&gt;0</formula>
    </cfRule>
  </conditionalFormatting>
  <conditionalFormatting sqref="O4:R4">
    <cfRule type="expression" dxfId="188" priority="13">
      <formula>$O4&lt;&gt;0</formula>
    </cfRule>
  </conditionalFormatting>
  <conditionalFormatting sqref="O19:R32 O5:R16">
    <cfRule type="expression" dxfId="187" priority="12">
      <formula>$O5&lt;&gt;0</formula>
    </cfRule>
  </conditionalFormatting>
  <conditionalFormatting sqref="P34:R40 P5:R16 P19:R32">
    <cfRule type="expression" dxfId="186" priority="11">
      <formula>$I5&gt;$M5</formula>
    </cfRule>
  </conditionalFormatting>
  <conditionalFormatting sqref="P4:R4 R34:R40 R5:R16 R19:R32">
    <cfRule type="expression" dxfId="185" priority="9">
      <formula>$I4&gt;$M4</formula>
    </cfRule>
  </conditionalFormatting>
  <conditionalFormatting sqref="Q34:Q40 Q5:Q16 Q19:Q32">
    <cfRule type="expression" dxfId="184" priority="8">
      <formula>$I5&gt;$M5</formula>
    </cfRule>
  </conditionalFormatting>
  <conditionalFormatting sqref="R34:R40 R5:R16 R19:R32">
    <cfRule type="expression" dxfId="183" priority="7">
      <formula>$I5&gt;$M5</formula>
    </cfRule>
  </conditionalFormatting>
  <conditionalFormatting sqref="N4:N40">
    <cfRule type="cellIs" dxfId="182" priority="5" operator="lessThan">
      <formula>0</formula>
    </cfRule>
    <cfRule type="cellIs" dxfId="181" priority="6" operator="greaterThan">
      <formula>0</formula>
    </cfRule>
  </conditionalFormatting>
  <conditionalFormatting sqref="O16">
    <cfRule type="expression" dxfId="180" priority="3">
      <formula>$I16&gt;$M16</formula>
    </cfRule>
  </conditionalFormatting>
  <conditionalFormatting sqref="O7">
    <cfRule type="expression" dxfId="179" priority="2">
      <formula>$I7&gt;$M7</formula>
    </cfRule>
  </conditionalFormatting>
  <conditionalFormatting sqref="O4">
    <cfRule type="expression" dxfId="178" priority="1">
      <formula>$I4&gt;$M4</formula>
    </cfRule>
  </conditionalFormatting>
  <dataValidations disablePrompts="1" count="1">
    <dataValidation type="list" allowBlank="1" showInputMessage="1" showErrorMessage="1" sqref="A36:B37 A12:B12">
      <formula1>#REF!</formula1>
    </dataValidation>
  </dataValidations>
  <hyperlinks>
    <hyperlink ref="D52" location="权重!A1" display="权重!A1"/>
    <hyperlink ref="D53" location="目录!A1" display="目录!A1"/>
  </hyperlinks>
  <pageMargins left="0.7" right="0.7" top="0.75" bottom="0.75" header="0.3" footer="0.3"/>
  <pageSetup paperSize="9" orientation="portrait" horizontalDpi="4294967295" verticalDpi="4294967295" r:id="rId1"/>
  <legacyDrawing r:id="rId2"/>
</worksheet>
</file>

<file path=xl/worksheets/sheet14.xml><?xml version="1.0" encoding="utf-8"?>
<worksheet xmlns="http://schemas.openxmlformats.org/spreadsheetml/2006/main" xmlns:r="http://schemas.openxmlformats.org/officeDocument/2006/relationships">
  <sheetPr>
    <tabColor rgb="FF92D050"/>
  </sheetPr>
  <dimension ref="A1:C20"/>
  <sheetViews>
    <sheetView workbookViewId="0">
      <selection activeCell="C22" sqref="C22"/>
    </sheetView>
  </sheetViews>
  <sheetFormatPr defaultRowHeight="13.5"/>
  <cols>
    <col min="1" max="1" width="7.25" bestFit="1" customWidth="1"/>
    <col min="2" max="2" width="27.125" bestFit="1" customWidth="1"/>
    <col min="3" max="3" width="64.875" customWidth="1"/>
  </cols>
  <sheetData>
    <row r="1" spans="1:3" ht="14.25" thickBot="1">
      <c r="A1" s="153" t="s">
        <v>1106</v>
      </c>
      <c r="B1" s="154" t="s">
        <v>1372</v>
      </c>
    </row>
    <row r="2" spans="1:3" ht="14.25" thickBot="1">
      <c r="A2" s="155" t="s">
        <v>1373</v>
      </c>
      <c r="B2" s="156" t="s">
        <v>1374</v>
      </c>
      <c r="C2">
        <v>1</v>
      </c>
    </row>
    <row r="3" spans="1:3" ht="14.25" thickBot="1">
      <c r="A3" s="155" t="s">
        <v>1375</v>
      </c>
      <c r="B3" s="156" t="s">
        <v>1376</v>
      </c>
      <c r="C3">
        <v>13</v>
      </c>
    </row>
    <row r="4" spans="1:3" ht="14.25" thickBot="1">
      <c r="A4" s="192" t="s">
        <v>1377</v>
      </c>
      <c r="B4" s="193" t="s">
        <v>1378</v>
      </c>
      <c r="C4" s="194">
        <v>614</v>
      </c>
    </row>
    <row r="5" spans="1:3" ht="14.25" thickBot="1">
      <c r="A5" s="192" t="s">
        <v>1379</v>
      </c>
      <c r="B5" s="193" t="s">
        <v>1380</v>
      </c>
      <c r="C5" s="194">
        <v>59</v>
      </c>
    </row>
    <row r="6" spans="1:3" ht="14.25" thickBot="1">
      <c r="A6" s="192" t="s">
        <v>1381</v>
      </c>
      <c r="B6" s="193" t="s">
        <v>1382</v>
      </c>
      <c r="C6" s="194">
        <v>0</v>
      </c>
    </row>
    <row r="8" spans="1:3" ht="14.25" thickBot="1"/>
    <row r="9" spans="1:3" ht="14.25" thickBot="1">
      <c r="A9" s="153" t="s">
        <v>1106</v>
      </c>
      <c r="B9" s="154" t="s">
        <v>1383</v>
      </c>
      <c r="C9" s="154" t="s">
        <v>1384</v>
      </c>
    </row>
    <row r="10" spans="1:3" ht="14.25" thickBot="1">
      <c r="A10" s="157" t="s">
        <v>1385</v>
      </c>
      <c r="B10" s="156" t="s">
        <v>1386</v>
      </c>
      <c r="C10" s="156" t="s">
        <v>1387</v>
      </c>
    </row>
    <row r="11" spans="1:3" ht="14.25" thickBot="1">
      <c r="A11" s="157" t="s">
        <v>1388</v>
      </c>
      <c r="B11" s="156" t="s">
        <v>1386</v>
      </c>
      <c r="C11" s="156" t="s">
        <v>1389</v>
      </c>
    </row>
    <row r="12" spans="1:3" ht="14.25" thickBot="1">
      <c r="A12" s="157" t="s">
        <v>1375</v>
      </c>
      <c r="B12" s="156" t="s">
        <v>1386</v>
      </c>
      <c r="C12" s="156" t="s">
        <v>1390</v>
      </c>
    </row>
    <row r="13" spans="1:3" ht="14.25" thickBot="1">
      <c r="A13" s="157" t="s">
        <v>1391</v>
      </c>
      <c r="B13" s="156" t="s">
        <v>1386</v>
      </c>
      <c r="C13" s="156" t="s">
        <v>1392</v>
      </c>
    </row>
    <row r="14" spans="1:3" ht="14.25" thickBot="1">
      <c r="A14" s="157" t="s">
        <v>1381</v>
      </c>
      <c r="B14" s="156" t="s">
        <v>1386</v>
      </c>
      <c r="C14" s="156" t="s">
        <v>1393</v>
      </c>
    </row>
    <row r="15" spans="1:3" ht="14.25" thickBot="1">
      <c r="A15" s="157" t="s">
        <v>1394</v>
      </c>
      <c r="B15" s="156" t="s">
        <v>1395</v>
      </c>
      <c r="C15" s="156" t="s">
        <v>1396</v>
      </c>
    </row>
    <row r="16" spans="1:3" ht="14.25">
      <c r="A16" s="158"/>
    </row>
    <row r="17" spans="1:3">
      <c r="A17" s="1708" t="s">
        <v>1397</v>
      </c>
      <c r="B17" s="1708"/>
      <c r="C17" s="1708"/>
    </row>
    <row r="18" spans="1:3" ht="34.15" customHeight="1">
      <c r="A18" s="1709" t="s">
        <v>1398</v>
      </c>
      <c r="B18" s="1709"/>
      <c r="C18" s="1709"/>
    </row>
    <row r="19" spans="1:3" ht="61.9" customHeight="1">
      <c r="A19" s="1709" t="s">
        <v>1399</v>
      </c>
      <c r="B19" s="1709"/>
      <c r="C19" s="1709"/>
    </row>
    <row r="20" spans="1:3" ht="15.75">
      <c r="A20" s="159"/>
    </row>
  </sheetData>
  <mergeCells count="3">
    <mergeCell ref="A17:C17"/>
    <mergeCell ref="A18:C18"/>
    <mergeCell ref="A19:C19"/>
  </mergeCells>
  <phoneticPr fontId="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sheetPr>
    <tabColor theme="5" tint="-0.249977111117893"/>
  </sheetPr>
  <dimension ref="A1:I13"/>
  <sheetViews>
    <sheetView workbookViewId="0">
      <selection activeCell="G34" sqref="G34"/>
    </sheetView>
  </sheetViews>
  <sheetFormatPr defaultRowHeight="13.5" outlineLevelCol="1"/>
  <cols>
    <col min="1" max="1" width="13.875" bestFit="1" customWidth="1"/>
    <col min="2" max="3" width="9.5" customWidth="1" outlineLevel="1"/>
    <col min="4" max="4" width="8.5" customWidth="1" outlineLevel="1"/>
    <col min="5" max="5" width="9.625" customWidth="1" outlineLevel="1"/>
    <col min="6" max="6" width="10.5" bestFit="1" customWidth="1"/>
    <col min="7" max="7" width="9.5" bestFit="1" customWidth="1"/>
  </cols>
  <sheetData>
    <row r="1" spans="1:9">
      <c r="A1" s="161"/>
      <c r="B1" s="1711" t="s">
        <v>1400</v>
      </c>
      <c r="C1" s="1711"/>
      <c r="D1" s="1710" t="s">
        <v>1401</v>
      </c>
      <c r="E1" s="1710"/>
      <c r="F1" s="178" t="s">
        <v>1421</v>
      </c>
      <c r="G1" s="178" t="s">
        <v>1408</v>
      </c>
    </row>
    <row r="2" spans="1:9">
      <c r="A2" s="161"/>
      <c r="B2" s="165" t="s">
        <v>495</v>
      </c>
      <c r="C2" s="162" t="s">
        <v>1402</v>
      </c>
      <c r="D2" s="163" t="s">
        <v>495</v>
      </c>
      <c r="E2" s="164" t="s">
        <v>1402</v>
      </c>
      <c r="F2" s="166" t="s">
        <v>1403</v>
      </c>
      <c r="G2" s="166" t="s">
        <v>1403</v>
      </c>
    </row>
    <row r="3" spans="1:9">
      <c r="A3" s="161" t="s">
        <v>1083</v>
      </c>
      <c r="B3" s="168" t="e">
        <f>'OR10-资金运用'!#REF!</f>
        <v>#REF!</v>
      </c>
      <c r="C3" s="168" t="e">
        <f>'OR10-资金运用'!#REF!</f>
        <v>#REF!</v>
      </c>
      <c r="D3" s="176"/>
      <c r="E3" s="176"/>
      <c r="F3" s="167" t="e">
        <f t="shared" ref="F3:F13" si="0">SUM(B3,D3)/SUM(C3,E3)*100</f>
        <v>#REF!</v>
      </c>
      <c r="G3" s="167">
        <v>100</v>
      </c>
    </row>
    <row r="4" spans="1:9">
      <c r="A4" s="161" t="s">
        <v>1404</v>
      </c>
      <c r="B4" s="168">
        <f>'OR15-准备金再保险'!Z26</f>
        <v>71.375</v>
      </c>
      <c r="C4" s="168">
        <f>'OR15-准备金再保险'!Z27</f>
        <v>73.5</v>
      </c>
      <c r="D4" s="176"/>
      <c r="E4" s="176"/>
      <c r="F4" s="167">
        <f t="shared" si="0"/>
        <v>97.10884353741497</v>
      </c>
      <c r="G4" s="167">
        <f>'OR15-准备金再保险'!AC29</f>
        <v>95.918367346938766</v>
      </c>
    </row>
    <row r="5" spans="1:9">
      <c r="A5" s="161" t="s">
        <v>1407</v>
      </c>
      <c r="B5" s="168" t="e">
        <f>'OR10-资金运用'!#REF!+'OR02-销售承保'!#REF!*0.3+信息系统!K140+'OR12-财务管理'!#REF!*0.6</f>
        <v>#REF!</v>
      </c>
      <c r="C5" s="168" t="e">
        <f>'OR10-资金运用'!#REF!+'OR02-销售承保'!#REF!*0.3+信息系统!K141+'OR12-财务管理'!#REF!*0.6</f>
        <v>#REF!</v>
      </c>
      <c r="D5" s="176" t="e">
        <f>'OR04-分公司销售、承保、保全'!#REF!*0.7+'OR08-分公司理赔'!#REF!*0.7+'OR13-分公司财务管理'!#REF!*0.4</f>
        <v>#REF!</v>
      </c>
      <c r="E5" s="176" t="e">
        <f>'OR04-分公司销售、承保、保全'!#REF!*0.7+'OR08-分公司理赔'!#REF!*0.7+'OR13-分公司财务管理'!#REF!*0.4</f>
        <v>#REF!</v>
      </c>
      <c r="F5" s="167" t="e">
        <f t="shared" si="0"/>
        <v>#REF!</v>
      </c>
      <c r="G5" s="167">
        <v>90.464396284829661</v>
      </c>
      <c r="I5" s="46"/>
    </row>
    <row r="6" spans="1:9">
      <c r="A6" s="161" t="s">
        <v>1412</v>
      </c>
      <c r="B6" s="168" t="e">
        <f>'OR12-财务管理'!#REF!*0.6+'OR10-资金运用'!#REF!</f>
        <v>#REF!</v>
      </c>
      <c r="C6" s="168" t="e">
        <f>'OR12-财务管理'!#REF!*0.6+'OR10-资金运用'!#REF!</f>
        <v>#REF!</v>
      </c>
      <c r="D6" s="176" t="e">
        <f>'OR13-分公司财务管理'!#REF!*0.4</f>
        <v>#REF!</v>
      </c>
      <c r="E6" s="176" t="e">
        <f>'OR13-分公司财务管理'!#REF!*0.4</f>
        <v>#REF!</v>
      </c>
      <c r="F6" s="167" t="e">
        <f t="shared" si="0"/>
        <v>#REF!</v>
      </c>
      <c r="G6" s="167">
        <v>91.01045296167247</v>
      </c>
      <c r="H6" s="177"/>
      <c r="I6" s="46"/>
    </row>
    <row r="7" spans="1:9">
      <c r="A7" s="161" t="s">
        <v>1413</v>
      </c>
      <c r="B7" s="168" t="e">
        <f>'OR12-财务管理'!#REF!*0.6</f>
        <v>#REF!</v>
      </c>
      <c r="C7" s="168" t="e">
        <f>'OR12-财务管理'!#REF!*0.6</f>
        <v>#REF!</v>
      </c>
      <c r="D7" s="176" t="e">
        <f>'OR13-分公司财务管理'!#REF!*0.4</f>
        <v>#REF!</v>
      </c>
      <c r="E7" s="176" t="e">
        <f>'OR13-分公司财务管理'!#REF!*0.4</f>
        <v>#REF!</v>
      </c>
      <c r="F7" s="167" t="e">
        <f t="shared" si="0"/>
        <v>#REF!</v>
      </c>
      <c r="G7" s="167">
        <v>94.684287812041106</v>
      </c>
      <c r="H7" s="177"/>
      <c r="I7" s="46"/>
    </row>
    <row r="8" spans="1:9">
      <c r="A8" s="161" t="s">
        <v>1414</v>
      </c>
      <c r="B8" s="168" t="e">
        <f>'OR02-销售承保'!#REF!*0.3+'OR06-理赔保全'!#REF!*0.3</f>
        <v>#REF!</v>
      </c>
      <c r="C8" s="168" t="e">
        <f>'OR02-销售承保'!#REF!*0.3+'OR06-理赔保全'!#REF!*0.3</f>
        <v>#REF!</v>
      </c>
      <c r="D8" s="176" t="e">
        <f>'OR04-分公司销售、承保、保全'!#REF!*0.7+'OR08-分公司理赔'!#REF!*0.7</f>
        <v>#REF!</v>
      </c>
      <c r="E8" s="176" t="e">
        <f>'OR04-分公司销售、承保、保全'!#REF!*0.7+'OR08-分公司理赔'!#REF!*0.7</f>
        <v>#REF!</v>
      </c>
      <c r="F8" s="167" t="e">
        <f t="shared" si="0"/>
        <v>#REF!</v>
      </c>
      <c r="G8" s="167">
        <v>95.43035010751835</v>
      </c>
      <c r="I8" s="46"/>
    </row>
    <row r="9" spans="1:9">
      <c r="A9" s="161" t="s">
        <v>1415</v>
      </c>
      <c r="B9" s="168" t="e">
        <f>'OR02-销售承保'!#REF!*0.3</f>
        <v>#REF!</v>
      </c>
      <c r="C9" s="168" t="e">
        <f>'OR02-销售承保'!#REF!*0.3</f>
        <v>#REF!</v>
      </c>
      <c r="D9" s="176" t="e">
        <f>'OR04-分公司销售、承保、保全'!#REF!*0.7+'OR13-分公司财务管理'!#REF!*0.4</f>
        <v>#REF!</v>
      </c>
      <c r="E9" s="176" t="e">
        <f>'OR04-分公司销售、承保、保全'!#REF!*0.7+'OR13-分公司财务管理'!#REF!*0.4</f>
        <v>#REF!</v>
      </c>
      <c r="F9" s="167" t="e">
        <f t="shared" si="0"/>
        <v>#REF!</v>
      </c>
      <c r="G9" s="167">
        <v>86.250155968065926</v>
      </c>
      <c r="I9" s="46"/>
    </row>
    <row r="10" spans="1:9">
      <c r="A10" s="161" t="s">
        <v>1416</v>
      </c>
      <c r="B10" s="168" t="e">
        <f>'OR02-销售承保'!#REF!*0.3</f>
        <v>#REF!</v>
      </c>
      <c r="C10" s="168" t="e">
        <f>'OR02-销售承保'!#REF!*0.3</f>
        <v>#REF!</v>
      </c>
      <c r="D10" s="176" t="e">
        <f>'OR04-分公司销售、承保、保全'!#REF!*0.7+'OR13-分公司财务管理'!#REF!*0.4</f>
        <v>#REF!</v>
      </c>
      <c r="E10" s="176" t="e">
        <f>'OR04-分公司销售、承保、保全'!#REF!*0.7+'OR13-分公司财务管理'!#REF!*0.4</f>
        <v>#REF!</v>
      </c>
      <c r="F10" s="167" t="e">
        <f t="shared" si="0"/>
        <v>#REF!</v>
      </c>
      <c r="G10" s="167">
        <v>97.499170658563486</v>
      </c>
      <c r="I10" s="46"/>
    </row>
    <row r="11" spans="1:9">
      <c r="A11" s="161" t="s">
        <v>1417</v>
      </c>
      <c r="B11" s="168" t="e">
        <f>'OR02-销售承保'!#REF!*0.3+'OR12-财务管理'!#REF!*0.6</f>
        <v>#REF!</v>
      </c>
      <c r="C11" s="168" t="e">
        <f>'OR02-销售承保'!#REF!*0.3+'OR12-财务管理'!#REF!*0.6</f>
        <v>#REF!</v>
      </c>
      <c r="D11" s="176" t="e">
        <f>'OR04-分公司销售、承保、保全'!#REF!*0.7+'OR13-分公司财务管理'!#REF!*0.4</f>
        <v>#REF!</v>
      </c>
      <c r="E11" s="176" t="e">
        <f>'OR04-分公司销售、承保、保全'!#REF!*0.7+'OR13-分公司财务管理'!#REF!*0.4</f>
        <v>#REF!</v>
      </c>
      <c r="F11" s="167" t="e">
        <f t="shared" si="0"/>
        <v>#REF!</v>
      </c>
      <c r="G11" s="167">
        <v>82.561444413977981</v>
      </c>
      <c r="I11" s="46"/>
    </row>
    <row r="12" spans="1:9">
      <c r="A12" s="161" t="s">
        <v>1418</v>
      </c>
      <c r="B12" s="168" t="e">
        <f>'OR02-销售承保'!#REF!*0.3</f>
        <v>#REF!</v>
      </c>
      <c r="C12" s="168" t="e">
        <f>'OR02-销售承保'!#REF!*0.3</f>
        <v>#REF!</v>
      </c>
      <c r="D12" s="176" t="e">
        <f>'OR04-分公司销售、承保、保全'!#REF!*0.7+'OR13-分公司财务管理'!#REF!*0.4</f>
        <v>#REF!</v>
      </c>
      <c r="E12" s="176" t="e">
        <f>'OR04-分公司销售、承保、保全'!#REF!*0.7+'OR13-分公司财务管理'!#REF!*0.4</f>
        <v>#REF!</v>
      </c>
      <c r="F12" s="167" t="e">
        <f t="shared" si="0"/>
        <v>#REF!</v>
      </c>
      <c r="G12" s="167">
        <v>95.714618716001496</v>
      </c>
      <c r="I12" s="46"/>
    </row>
    <row r="13" spans="1:9">
      <c r="A13" s="161" t="s">
        <v>1419</v>
      </c>
      <c r="B13" s="168" t="e">
        <f>'OR02-销售承保'!#REF!*0.3</f>
        <v>#REF!</v>
      </c>
      <c r="C13" s="168" t="e">
        <f>'OR02-销售承保'!#REF!*0.3</f>
        <v>#REF!</v>
      </c>
      <c r="D13" s="176" t="e">
        <f>'OR04-分公司销售、承保、保全'!#REF!*0.7+'OR13-分公司财务管理'!#REF!*0.4</f>
        <v>#REF!</v>
      </c>
      <c r="E13" s="176" t="e">
        <f>'OR04-分公司销售、承保、保全'!#REF!*0.7+'OR13-分公司财务管理'!#REF!*0.4</f>
        <v>#REF!</v>
      </c>
      <c r="F13" s="167" t="e">
        <f t="shared" si="0"/>
        <v>#REF!</v>
      </c>
      <c r="G13" s="167">
        <v>98.835828523506478</v>
      </c>
      <c r="I13" s="46"/>
    </row>
  </sheetData>
  <mergeCells count="2">
    <mergeCell ref="D1:E1"/>
    <mergeCell ref="B1:C1"/>
  </mergeCells>
  <phoneticPr fontId="3"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sheetPr>
    <tabColor theme="6"/>
  </sheetPr>
  <dimension ref="A1:CD205"/>
  <sheetViews>
    <sheetView workbookViewId="0">
      <pane xSplit="18" ySplit="3" topLeftCell="AD34" activePane="bottomRight" state="frozenSplit"/>
      <selection activeCell="C1" sqref="C1"/>
      <selection pane="topRight" activeCell="V1" sqref="V1"/>
      <selection pane="bottomLeft" activeCell="C10" sqref="C10"/>
      <selection pane="bottomRight" activeCell="C38" sqref="A38:XFD38"/>
    </sheetView>
  </sheetViews>
  <sheetFormatPr defaultColWidth="8.875" defaultRowHeight="16.5" outlineLevelCol="3"/>
  <cols>
    <col min="1" max="1" width="22.125" style="453" hidden="1" customWidth="1" outlineLevel="3"/>
    <col min="2" max="2" width="31.75" style="453" hidden="1" customWidth="1" outlineLevel="2"/>
    <col min="3" max="3" width="5.625" style="376" customWidth="1" collapsed="1"/>
    <col min="4" max="4" width="40.5" style="465" customWidth="1"/>
    <col min="5" max="5" width="17.5" style="453" hidden="1" customWidth="1" outlineLevel="2"/>
    <col min="6" max="6" width="5.5" style="453" hidden="1" customWidth="1" outlineLevel="3"/>
    <col min="7" max="7" width="10.5" style="435" hidden="1" customWidth="1" outlineLevel="3"/>
    <col min="8" max="8" width="10.5" style="453" hidden="1" customWidth="1" outlineLevel="2"/>
    <col min="9" max="9" width="8.625" style="453" customWidth="1" collapsed="1"/>
    <col min="10" max="10" width="13.375" style="640" hidden="1" customWidth="1" outlineLevel="1"/>
    <col min="11" max="11" width="9.25" style="640" hidden="1" customWidth="1" outlineLevel="1"/>
    <col min="12" max="12" width="13.625" style="640" hidden="1" customWidth="1" outlineLevel="1"/>
    <col min="13" max="13" width="9.75" style="640" hidden="1" customWidth="1" outlineLevel="1"/>
    <col min="14" max="14" width="6.75" style="453" hidden="1" customWidth="1" outlineLevel="1"/>
    <col min="15" max="15" width="7" style="453" hidden="1" customWidth="1" outlineLevel="1"/>
    <col min="16" max="16" width="6.375" style="370" hidden="1" customWidth="1" outlineLevel="1"/>
    <col min="17" max="17" width="8" style="370" hidden="1" customWidth="1" outlineLevel="1"/>
    <col min="18" max="18" width="8.125" style="370" customWidth="1" collapsed="1"/>
    <col min="19" max="19" width="4.25" style="453" customWidth="1"/>
    <col min="20" max="20" width="9.75" style="465" hidden="1" customWidth="1" outlineLevel="2"/>
    <col min="21" max="21" width="9" style="465" hidden="1" customWidth="1" outlineLevel="2"/>
    <col min="22" max="22" width="10.25" style="465" customWidth="1" collapsed="1"/>
    <col min="23" max="23" width="9" style="1339" customWidth="1"/>
    <col min="24" max="24" width="7.5" style="1285" customWidth="1"/>
    <col min="25" max="25" width="4" style="465" customWidth="1"/>
    <col min="26" max="26" width="11.5" style="466" hidden="1" customWidth="1" outlineLevel="1"/>
    <col min="27" max="27" width="9" style="466" hidden="1" customWidth="1" outlineLevel="1"/>
    <col min="28" max="28" width="11.75" style="466" customWidth="1" collapsed="1"/>
    <col min="29" max="29" width="9" style="1347" customWidth="1"/>
    <col min="30" max="30" width="8.875" style="1289" customWidth="1"/>
    <col min="31" max="31" width="4.375" style="466" customWidth="1"/>
    <col min="32" max="32" width="11.5" style="465" hidden="1" customWidth="1" outlineLevel="1"/>
    <col min="33" max="33" width="9" style="465" hidden="1" customWidth="1" outlineLevel="1"/>
    <col min="34" max="34" width="11.5" style="465" customWidth="1" collapsed="1"/>
    <col min="35" max="35" width="8.125" style="1339" customWidth="1"/>
    <col min="36" max="36" width="7.5" style="1285" customWidth="1"/>
    <col min="37" max="37" width="3.875" style="465" customWidth="1"/>
    <col min="38" max="38" width="11.5" style="466" hidden="1" customWidth="1" outlineLevel="1"/>
    <col min="39" max="39" width="9" style="466" hidden="1" customWidth="1" outlineLevel="1"/>
    <col min="40" max="40" width="11.5" style="466" customWidth="1" collapsed="1"/>
    <col min="41" max="41" width="9" style="1347" customWidth="1"/>
    <col min="42" max="42" width="9.25" style="1289" customWidth="1"/>
    <col min="43" max="43" width="3.75" style="466" customWidth="1"/>
    <col min="44" max="44" width="11.5" style="465" hidden="1" customWidth="1" outlineLevel="1"/>
    <col min="45" max="45" width="9" style="465" hidden="1" customWidth="1" outlineLevel="1"/>
    <col min="46" max="46" width="11.5" style="465" customWidth="1" collapsed="1"/>
    <col min="47" max="47" width="9" style="1339" customWidth="1"/>
    <col min="48" max="48" width="9.25" style="1285" customWidth="1"/>
    <col min="49" max="49" width="3.5" style="465" customWidth="1"/>
    <col min="50" max="50" width="11.5" style="466" hidden="1" customWidth="1" outlineLevel="1"/>
    <col min="51" max="51" width="9" style="466" hidden="1" customWidth="1" outlineLevel="1"/>
    <col min="52" max="52" width="9.75" style="466" customWidth="1" collapsed="1"/>
    <col min="53" max="53" width="9" style="1347" customWidth="1"/>
    <col min="54" max="54" width="9.25" style="1289" customWidth="1"/>
    <col min="55" max="55" width="3.375" style="466" customWidth="1"/>
    <col min="56" max="56" width="11.5" style="465" hidden="1" customWidth="1" outlineLevel="1"/>
    <col min="57" max="57" width="9" style="465" hidden="1" customWidth="1" outlineLevel="1"/>
    <col min="58" max="58" width="11.125" style="465" customWidth="1" collapsed="1"/>
    <col min="59" max="59" width="9" style="1339" customWidth="1"/>
    <col min="60" max="60" width="9.25" style="1285" customWidth="1"/>
    <col min="61" max="61" width="3.875" style="465" customWidth="1"/>
    <col min="62" max="62" width="11.5" style="466" hidden="1" customWidth="1" outlineLevel="1"/>
    <col min="63" max="63" width="9" style="466" hidden="1" customWidth="1" outlineLevel="1"/>
    <col min="64" max="64" width="11.125" style="466" customWidth="1" collapsed="1"/>
    <col min="65" max="65" width="9" style="466" customWidth="1"/>
    <col min="66" max="66" width="9.25" style="1289" customWidth="1"/>
    <col min="67" max="67" width="4.125" style="466" customWidth="1"/>
    <col min="68" max="68" width="11.5" style="465" hidden="1" customWidth="1" outlineLevel="1"/>
    <col min="69" max="69" width="9" style="465" hidden="1" customWidth="1" outlineLevel="1"/>
    <col min="70" max="70" width="8.625" style="465" customWidth="1" collapsed="1"/>
    <col min="71" max="71" width="9" style="465" customWidth="1"/>
    <col min="72" max="72" width="9.25" style="1285" customWidth="1"/>
    <col min="73" max="73" width="4" style="465" customWidth="1"/>
    <col min="74" max="74" width="11.5" style="466" hidden="1" customWidth="1" outlineLevel="1"/>
    <col min="75" max="75" width="9" style="466" hidden="1" customWidth="1" outlineLevel="1"/>
    <col min="76" max="76" width="9.625" style="466" customWidth="1" collapsed="1"/>
    <col min="77" max="77" width="9" style="466" customWidth="1"/>
    <col min="78" max="78" width="7.5" style="1289" customWidth="1"/>
    <col min="79" max="79" width="9" style="466" customWidth="1"/>
    <col min="80" max="80" width="8.875" style="465" customWidth="1"/>
    <col min="81" max="16384" width="8.875" style="465"/>
  </cols>
  <sheetData>
    <row r="1" spans="1:78">
      <c r="A1" s="932"/>
      <c r="B1" s="463"/>
      <c r="C1" s="932" t="s">
        <v>1218</v>
      </c>
      <c r="D1" s="464"/>
      <c r="E1" s="463"/>
      <c r="F1" s="463"/>
      <c r="G1" s="463"/>
      <c r="H1" s="463"/>
      <c r="I1" s="463"/>
      <c r="J1" s="463"/>
      <c r="K1" s="463"/>
      <c r="L1" s="382" t="s">
        <v>1656</v>
      </c>
      <c r="M1" s="463"/>
      <c r="N1" s="463"/>
      <c r="O1" s="463"/>
      <c r="P1" s="366"/>
      <c r="Q1" s="366"/>
      <c r="R1" s="366"/>
      <c r="S1" s="463"/>
    </row>
    <row r="2" spans="1:78" ht="14.25">
      <c r="A2" s="463"/>
      <c r="B2" s="463"/>
      <c r="E2" s="463"/>
      <c r="F2" s="463"/>
      <c r="G2" s="463"/>
      <c r="H2" s="463"/>
      <c r="J2" s="1724" t="s">
        <v>1522</v>
      </c>
      <c r="K2" s="1724"/>
      <c r="L2" s="1724"/>
      <c r="M2" s="1724"/>
      <c r="N2" s="1724"/>
      <c r="O2" s="1724"/>
      <c r="P2" s="1724"/>
      <c r="Q2" s="1724"/>
      <c r="R2" s="1724"/>
      <c r="S2" s="468"/>
      <c r="T2" s="1724" t="s">
        <v>1085</v>
      </c>
      <c r="U2" s="1724"/>
      <c r="V2" s="1724"/>
      <c r="W2" s="1724"/>
      <c r="X2" s="1724"/>
      <c r="Y2" s="468"/>
      <c r="Z2" s="1724" t="s">
        <v>1086</v>
      </c>
      <c r="AA2" s="1724"/>
      <c r="AB2" s="1724"/>
      <c r="AC2" s="1724"/>
      <c r="AD2" s="1724"/>
      <c r="AE2" s="468"/>
      <c r="AF2" s="1724" t="s">
        <v>1087</v>
      </c>
      <c r="AG2" s="1724"/>
      <c r="AH2" s="1724"/>
      <c r="AI2" s="1724"/>
      <c r="AJ2" s="1724"/>
      <c r="AK2" s="468"/>
      <c r="AL2" s="1724" t="s">
        <v>1088</v>
      </c>
      <c r="AM2" s="1724"/>
      <c r="AN2" s="1724"/>
      <c r="AO2" s="1724"/>
      <c r="AP2" s="1724"/>
      <c r="AQ2" s="468"/>
      <c r="AR2" s="1724" t="s">
        <v>1089</v>
      </c>
      <c r="AS2" s="1724"/>
      <c r="AT2" s="1724"/>
      <c r="AU2" s="1724"/>
      <c r="AV2" s="1724"/>
      <c r="AW2" s="468"/>
      <c r="AX2" s="1724" t="s">
        <v>1090</v>
      </c>
      <c r="AY2" s="1724"/>
      <c r="AZ2" s="1724"/>
      <c r="BA2" s="1724"/>
      <c r="BB2" s="1724"/>
      <c r="BC2" s="468"/>
      <c r="BD2" s="1724" t="s">
        <v>1091</v>
      </c>
      <c r="BE2" s="1724"/>
      <c r="BF2" s="1724"/>
      <c r="BG2" s="1724"/>
      <c r="BH2" s="1724"/>
      <c r="BI2" s="468"/>
      <c r="BJ2" s="1724" t="s">
        <v>1092</v>
      </c>
      <c r="BK2" s="1724"/>
      <c r="BL2" s="1724"/>
      <c r="BM2" s="1724"/>
      <c r="BN2" s="1724"/>
      <c r="BO2" s="468"/>
      <c r="BP2" s="1724" t="s">
        <v>1093</v>
      </c>
      <c r="BQ2" s="1724"/>
      <c r="BR2" s="1724"/>
      <c r="BS2" s="1724"/>
      <c r="BT2" s="1724"/>
      <c r="BU2" s="468"/>
      <c r="BV2" s="1724" t="s">
        <v>1219</v>
      </c>
      <c r="BW2" s="1724"/>
      <c r="BX2" s="1724"/>
      <c r="BY2" s="1724"/>
      <c r="BZ2" s="1724"/>
    </row>
    <row r="3" spans="1:78" ht="13.5" customHeight="1">
      <c r="A3" s="468" t="s">
        <v>395</v>
      </c>
      <c r="B3" s="468" t="s">
        <v>416</v>
      </c>
      <c r="C3" s="468" t="s">
        <v>184</v>
      </c>
      <c r="D3" s="468" t="s">
        <v>183</v>
      </c>
      <c r="E3" s="468" t="s">
        <v>1485</v>
      </c>
      <c r="F3" s="468" t="s">
        <v>1099</v>
      </c>
      <c r="G3" s="468" t="s">
        <v>394</v>
      </c>
      <c r="H3" s="468" t="s">
        <v>650</v>
      </c>
      <c r="I3" s="1462" t="s">
        <v>489</v>
      </c>
      <c r="J3" s="468" t="s">
        <v>1421</v>
      </c>
      <c r="K3" s="468" t="s">
        <v>2156</v>
      </c>
      <c r="L3" s="469" t="s">
        <v>2255</v>
      </c>
      <c r="M3" s="468" t="s">
        <v>2256</v>
      </c>
      <c r="N3" s="468" t="s">
        <v>1101</v>
      </c>
      <c r="O3" s="468" t="s">
        <v>465</v>
      </c>
      <c r="P3" s="359" t="s">
        <v>1599</v>
      </c>
      <c r="Q3" s="359" t="s">
        <v>1600</v>
      </c>
      <c r="R3" s="359" t="s">
        <v>2466</v>
      </c>
      <c r="S3" s="468"/>
      <c r="T3" s="468" t="str">
        <f>J3</f>
        <v>Q1</v>
      </c>
      <c r="U3" s="468" t="str">
        <f>K3</f>
        <v>Q1得分</v>
      </c>
      <c r="V3" s="469" t="str">
        <f>L3</f>
        <v>Q2</v>
      </c>
      <c r="W3" s="1496" t="str">
        <f>M3</f>
        <v>Q2得分</v>
      </c>
      <c r="X3" s="1497" t="s">
        <v>1100</v>
      </c>
      <c r="Y3" s="468"/>
      <c r="Z3" s="468" t="str">
        <f>T3</f>
        <v>Q1</v>
      </c>
      <c r="AA3" s="468" t="str">
        <f>U3</f>
        <v>Q1得分</v>
      </c>
      <c r="AB3" s="469" t="str">
        <f>V3</f>
        <v>Q2</v>
      </c>
      <c r="AC3" s="1496" t="str">
        <f>W3</f>
        <v>Q2得分</v>
      </c>
      <c r="AD3" s="1497" t="s">
        <v>1100</v>
      </c>
      <c r="AE3" s="468"/>
      <c r="AF3" s="468" t="str">
        <f>Z3</f>
        <v>Q1</v>
      </c>
      <c r="AG3" s="468" t="str">
        <f>AA3</f>
        <v>Q1得分</v>
      </c>
      <c r="AH3" s="469" t="str">
        <f>AB3</f>
        <v>Q2</v>
      </c>
      <c r="AI3" s="1496" t="str">
        <f>AC3</f>
        <v>Q2得分</v>
      </c>
      <c r="AJ3" s="1497" t="s">
        <v>1100</v>
      </c>
      <c r="AK3" s="468"/>
      <c r="AL3" s="468" t="str">
        <f>AF3</f>
        <v>Q1</v>
      </c>
      <c r="AM3" s="468" t="str">
        <f>AG3</f>
        <v>Q1得分</v>
      </c>
      <c r="AN3" s="469" t="str">
        <f>AH3</f>
        <v>Q2</v>
      </c>
      <c r="AO3" s="1496" t="str">
        <f>AI3</f>
        <v>Q2得分</v>
      </c>
      <c r="AP3" s="1497" t="s">
        <v>1100</v>
      </c>
      <c r="AQ3" s="468"/>
      <c r="AR3" s="468" t="str">
        <f>AL3</f>
        <v>Q1</v>
      </c>
      <c r="AS3" s="468" t="str">
        <f>AM3</f>
        <v>Q1得分</v>
      </c>
      <c r="AT3" s="469" t="str">
        <f>AN3</f>
        <v>Q2</v>
      </c>
      <c r="AU3" s="1496" t="str">
        <f>AO3</f>
        <v>Q2得分</v>
      </c>
      <c r="AV3" s="1497" t="s">
        <v>1100</v>
      </c>
      <c r="AW3" s="468"/>
      <c r="AX3" s="468" t="str">
        <f>AR3</f>
        <v>Q1</v>
      </c>
      <c r="AY3" s="468" t="str">
        <f>AS3</f>
        <v>Q1得分</v>
      </c>
      <c r="AZ3" s="469" t="str">
        <f>AT3</f>
        <v>Q2</v>
      </c>
      <c r="BA3" s="1496" t="str">
        <f>AU3</f>
        <v>Q2得分</v>
      </c>
      <c r="BB3" s="1497" t="s">
        <v>1100</v>
      </c>
      <c r="BC3" s="468"/>
      <c r="BD3" s="468" t="str">
        <f>AX3</f>
        <v>Q1</v>
      </c>
      <c r="BE3" s="468" t="str">
        <f>AY3</f>
        <v>Q1得分</v>
      </c>
      <c r="BF3" s="469" t="str">
        <f>AZ3</f>
        <v>Q2</v>
      </c>
      <c r="BG3" s="1496" t="str">
        <f>BA3</f>
        <v>Q2得分</v>
      </c>
      <c r="BH3" s="1497" t="s">
        <v>1100</v>
      </c>
      <c r="BI3" s="468"/>
      <c r="BJ3" s="468" t="str">
        <f>BD3</f>
        <v>Q1</v>
      </c>
      <c r="BK3" s="468" t="str">
        <f>BE3</f>
        <v>Q1得分</v>
      </c>
      <c r="BL3" s="469" t="str">
        <f>BF3</f>
        <v>Q2</v>
      </c>
      <c r="BM3" s="468" t="str">
        <f>BG3</f>
        <v>Q2得分</v>
      </c>
      <c r="BN3" s="1497" t="s">
        <v>1100</v>
      </c>
      <c r="BO3" s="468"/>
      <c r="BP3" s="468" t="str">
        <f>BJ3</f>
        <v>Q1</v>
      </c>
      <c r="BQ3" s="468" t="str">
        <f>BK3</f>
        <v>Q1得分</v>
      </c>
      <c r="BR3" s="469" t="str">
        <f>BL3</f>
        <v>Q2</v>
      </c>
      <c r="BS3" s="468" t="str">
        <f>BM3</f>
        <v>Q2得分</v>
      </c>
      <c r="BT3" s="1497" t="s">
        <v>1100</v>
      </c>
      <c r="BU3" s="468"/>
      <c r="BV3" s="468" t="str">
        <f>BP3</f>
        <v>Q1</v>
      </c>
      <c r="BW3" s="468" t="str">
        <f>BQ3</f>
        <v>Q1得分</v>
      </c>
      <c r="BX3" s="469" t="str">
        <f>BR3</f>
        <v>Q2</v>
      </c>
      <c r="BY3" s="468" t="str">
        <f>BS3</f>
        <v>Q2得分</v>
      </c>
      <c r="BZ3" s="1497" t="s">
        <v>1100</v>
      </c>
    </row>
    <row r="4" spans="1:78" ht="14.25">
      <c r="A4" s="1461" t="s">
        <v>1220</v>
      </c>
      <c r="B4" s="1461" t="s">
        <v>1221</v>
      </c>
      <c r="C4" s="609">
        <v>1</v>
      </c>
      <c r="D4" s="471" t="s">
        <v>2192</v>
      </c>
      <c r="E4" s="472" t="s">
        <v>206</v>
      </c>
      <c r="F4" s="1459"/>
      <c r="G4" s="1460" t="s">
        <v>399</v>
      </c>
      <c r="H4" s="1459" t="s">
        <v>232</v>
      </c>
      <c r="I4" s="1456">
        <v>5</v>
      </c>
      <c r="J4" s="476">
        <f t="shared" ref="J4:M5" si="0">AVERAGE(BV4,BP4,BJ4,BD4,AX4,AR4,AL4,AF4,Z4,T4)</f>
        <v>15.6</v>
      </c>
      <c r="K4" s="476">
        <f t="shared" si="0"/>
        <v>5</v>
      </c>
      <c r="L4" s="476">
        <f t="shared" si="0"/>
        <v>15.9</v>
      </c>
      <c r="M4" s="476">
        <f t="shared" si="0"/>
        <v>5</v>
      </c>
      <c r="N4" s="617">
        <f>M4-K4</f>
        <v>0</v>
      </c>
      <c r="O4" s="615">
        <f t="shared" ref="O4:O48" si="1">I4-M4</f>
        <v>0</v>
      </c>
      <c r="P4" s="477">
        <f>O4*0.4</f>
        <v>0</v>
      </c>
      <c r="Q4" s="477">
        <f>P4/9</f>
        <v>0</v>
      </c>
      <c r="R4" s="477">
        <f>Q4/2</f>
        <v>0</v>
      </c>
      <c r="S4" s="417"/>
      <c r="T4" s="1461">
        <v>10</v>
      </c>
      <c r="U4" s="1457">
        <f>IF(T4&gt;5,5,0)</f>
        <v>5</v>
      </c>
      <c r="V4" s="1461">
        <v>11</v>
      </c>
      <c r="W4" s="1458">
        <f>IF(V4&gt;5,5,0)</f>
        <v>5</v>
      </c>
      <c r="X4" s="22">
        <f t="shared" ref="X4:X14" si="2">IF(AND(T4=0,V4&lt;&gt;0),1,IF(AND(T4=0,V4=0),0,V4/T4-1))</f>
        <v>0.10000000000000009</v>
      </c>
      <c r="Y4" s="417"/>
      <c r="Z4" s="1461">
        <v>18</v>
      </c>
      <c r="AA4" s="1461">
        <f>IF(Z4&gt;5,5,0)</f>
        <v>5</v>
      </c>
      <c r="AB4" s="1461">
        <v>18</v>
      </c>
      <c r="AC4" s="1458">
        <f>IF(AB4&gt;5,5,0)</f>
        <v>5</v>
      </c>
      <c r="AD4" s="22">
        <f t="shared" ref="AD4:AD14" si="3">IF(AND(Z4=0,AB4&lt;&gt;0),1,IF(AND(Z4=0,AB4=0),0,AB4/Z4-1))</f>
        <v>0</v>
      </c>
      <c r="AE4" s="417"/>
      <c r="AF4" s="1461">
        <v>14</v>
      </c>
      <c r="AG4" s="1461">
        <f>IF(AF4&gt;5,5,0)</f>
        <v>5</v>
      </c>
      <c r="AH4" s="1461">
        <v>14</v>
      </c>
      <c r="AI4" s="1463">
        <f>IF(AH4&gt;5,5,0)</f>
        <v>5</v>
      </c>
      <c r="AJ4" s="22">
        <f t="shared" ref="AJ4:AJ14" si="4">IF(AND(AF4=0,AH4&lt;&gt;0),1,IF(AND(AF4=0,AH4=0),0,AH4/AF4-1))</f>
        <v>0</v>
      </c>
      <c r="AK4" s="417"/>
      <c r="AL4" s="1461">
        <v>27</v>
      </c>
      <c r="AM4" s="1461">
        <f>IF(AL4&gt;5,5,0)</f>
        <v>5</v>
      </c>
      <c r="AN4" s="1461">
        <v>27</v>
      </c>
      <c r="AO4" s="1495">
        <f>IF(AN4&gt;5,5,0)</f>
        <v>5</v>
      </c>
      <c r="AP4" s="22">
        <f t="shared" ref="AP4:AP14" si="5">IF(AND(AL4=0,AN4&lt;&gt;0),1,IF(AND(AL4=0,AN4=0),0,AN4/AL4-1))</f>
        <v>0</v>
      </c>
      <c r="AQ4" s="478"/>
      <c r="AR4" s="402">
        <v>13</v>
      </c>
      <c r="AS4" s="402">
        <f>IF(AR4&gt;5,5,0)</f>
        <v>5</v>
      </c>
      <c r="AT4" s="402">
        <v>14</v>
      </c>
      <c r="AU4" s="1295">
        <f>IF(AT4&gt;5,5,0)</f>
        <v>5</v>
      </c>
      <c r="AV4" s="22">
        <f t="shared" ref="AV4:AV14" si="6">IF(AND(AR4=0,AT4&lt;&gt;0),1,IF(AND(AR4=0,AT4=0),0,AT4/AR4-1))</f>
        <v>7.6923076923076872E-2</v>
      </c>
      <c r="AW4" s="478"/>
      <c r="AX4" s="402">
        <v>13</v>
      </c>
      <c r="AY4" s="402">
        <f>IF(AX4&gt;5,5,0)</f>
        <v>5</v>
      </c>
      <c r="AZ4" s="402">
        <v>13</v>
      </c>
      <c r="BA4" s="1295">
        <f>IF(AZ4&gt;5,5,0)</f>
        <v>5</v>
      </c>
      <c r="BB4" s="22">
        <f t="shared" ref="BB4:BB14" si="7">IF(AND(AX4=0,AZ4&lt;&gt;0),1,IF(AND(AX4=0,AZ4=0),0,AZ4/AX4-1))</f>
        <v>0</v>
      </c>
      <c r="BC4" s="478"/>
      <c r="BD4" s="402">
        <v>19</v>
      </c>
      <c r="BE4" s="402">
        <f>IF(BD4&gt;5,5,0)</f>
        <v>5</v>
      </c>
      <c r="BF4" s="402">
        <v>19</v>
      </c>
      <c r="BG4" s="1295">
        <f>IF(BF4&gt;5,5,0)</f>
        <v>5</v>
      </c>
      <c r="BH4" s="22">
        <f t="shared" ref="BH4:BH14" si="8">IF(AND(BD4=0,BF4&lt;&gt;0),1,IF(AND(BD4=0,BF4=0),0,BF4/BD4-1))</f>
        <v>0</v>
      </c>
      <c r="BI4" s="478"/>
      <c r="BJ4" s="402">
        <v>16</v>
      </c>
      <c r="BK4" s="402">
        <f>IF(BJ4&gt;5,5,0)</f>
        <v>5</v>
      </c>
      <c r="BL4" s="402">
        <v>17</v>
      </c>
      <c r="BM4" s="1295">
        <f>IF(BL4&gt;5,5,0)</f>
        <v>5</v>
      </c>
      <c r="BN4" s="22">
        <f t="shared" ref="BN4:BN14" si="9">IF(AND(BJ4=0,BL4&lt;&gt;0),1,IF(AND(BJ4=0,BL4=0),0,BL4/BJ4-1))</f>
        <v>6.25E-2</v>
      </c>
      <c r="BO4" s="478"/>
      <c r="BP4" s="402">
        <v>18</v>
      </c>
      <c r="BQ4" s="402">
        <f>IF(BP4&gt;5,5,0)</f>
        <v>5</v>
      </c>
      <c r="BR4" s="402">
        <v>18</v>
      </c>
      <c r="BS4" s="1295">
        <f>IF(BR4&gt;5,5,0)</f>
        <v>5</v>
      </c>
      <c r="BT4" s="22">
        <f t="shared" ref="BT4:BT14" si="10">IF(AND(BP4=0,BR4&lt;&gt;0),1,IF(AND(BP4=0,BR4=0),0,BR4/BP4-1))</f>
        <v>0</v>
      </c>
      <c r="BU4" s="478"/>
      <c r="BV4" s="402">
        <v>8</v>
      </c>
      <c r="BW4" s="402">
        <f>IF(BV4&gt;5,5,0)</f>
        <v>5</v>
      </c>
      <c r="BX4" s="402">
        <v>8</v>
      </c>
      <c r="BY4" s="1332">
        <f>IF(BX4&gt;5,5,0)</f>
        <v>5</v>
      </c>
      <c r="BZ4" s="1265">
        <f t="shared" ref="BZ4:BZ14" si="11">IF(AND(BV4=0,BX4&lt;&gt;0),1,IF(AND(BV4=0,BX4=0),0,BX4/BV4-1))</f>
        <v>0</v>
      </c>
    </row>
    <row r="5" spans="1:78" ht="14.25">
      <c r="A5" s="1725" t="s">
        <v>1683</v>
      </c>
      <c r="B5" s="1677" t="s">
        <v>2492</v>
      </c>
      <c r="C5" s="1455">
        <v>2</v>
      </c>
      <c r="D5" s="1421" t="s">
        <v>1699</v>
      </c>
      <c r="E5" s="413"/>
      <c r="F5" s="1459"/>
      <c r="G5" s="1460" t="s">
        <v>403</v>
      </c>
      <c r="H5" s="1459" t="s">
        <v>232</v>
      </c>
      <c r="I5" s="1456">
        <v>2</v>
      </c>
      <c r="J5" s="1417">
        <f t="shared" si="0"/>
        <v>6.1666666666666668E-2</v>
      </c>
      <c r="K5" s="479">
        <f t="shared" si="0"/>
        <v>1.8</v>
      </c>
      <c r="L5" s="1417">
        <f t="shared" si="0"/>
        <v>8.0952380952380956E-2</v>
      </c>
      <c r="M5" s="400">
        <f t="shared" si="0"/>
        <v>1.8</v>
      </c>
      <c r="N5" s="467">
        <f t="shared" ref="N5:N53" si="12">M5-K5</f>
        <v>0</v>
      </c>
      <c r="O5" s="615">
        <f t="shared" si="1"/>
        <v>0.19999999999999996</v>
      </c>
      <c r="P5" s="477">
        <f t="shared" ref="P5:P53" si="13">O5*0.4</f>
        <v>7.9999999999999988E-2</v>
      </c>
      <c r="Q5" s="477">
        <f t="shared" ref="Q5:Q58" si="14">P5/9</f>
        <v>8.8888888888888871E-3</v>
      </c>
      <c r="R5" s="477">
        <f t="shared" ref="R5:R58" si="15">Q5/2</f>
        <v>4.4444444444444436E-3</v>
      </c>
      <c r="S5" s="417"/>
      <c r="T5" s="22">
        <v>0.25</v>
      </c>
      <c r="U5" s="1457">
        <f>IF(T5&lt;=0.2,2,0)</f>
        <v>0</v>
      </c>
      <c r="V5" s="22">
        <f>IF(SUM(V7:V8)=0,"",V6/SUM(V7:V8))</f>
        <v>0.5</v>
      </c>
      <c r="W5" s="1340">
        <f>IF(V5&lt;=0.2,2,0)</f>
        <v>0</v>
      </c>
      <c r="X5" s="22">
        <f t="shared" si="2"/>
        <v>1</v>
      </c>
      <c r="Y5" s="417"/>
      <c r="Z5" s="22">
        <v>0</v>
      </c>
      <c r="AA5" s="1461">
        <f>IF(Z5&lt;=0.2,2,0)</f>
        <v>2</v>
      </c>
      <c r="AB5" s="22">
        <f>IF(SUM(AB7:AB8)=0,"",AB6/SUM(AB7:AB8))</f>
        <v>0.14285714285714285</v>
      </c>
      <c r="AC5" s="1458">
        <f>IF(AB5&lt;=0.2,2,0)</f>
        <v>2</v>
      </c>
      <c r="AD5" s="22">
        <f t="shared" si="3"/>
        <v>1</v>
      </c>
      <c r="AE5" s="417"/>
      <c r="AF5" s="22">
        <v>0</v>
      </c>
      <c r="AG5" s="1461">
        <f>IF(AF5&lt;=0.2,2,0)</f>
        <v>2</v>
      </c>
      <c r="AH5" s="22">
        <f>IF(SUM(AH7:AH8)=0,"",AH6/SUM(AH7:AH8))</f>
        <v>0</v>
      </c>
      <c r="AI5" s="1463">
        <f>IF(AH5&lt;=0.2,2,0)</f>
        <v>2</v>
      </c>
      <c r="AJ5" s="22">
        <f t="shared" si="4"/>
        <v>0</v>
      </c>
      <c r="AK5" s="417"/>
      <c r="AL5" s="22">
        <v>0</v>
      </c>
      <c r="AM5" s="1461">
        <f>IF(AL5&lt;=0.2,2,0)</f>
        <v>2</v>
      </c>
      <c r="AN5" s="22">
        <f>IF(SUM(AN7:AN8)=0,"",AN6/SUM(AN7:AN8))</f>
        <v>0</v>
      </c>
      <c r="AO5" s="1495">
        <f>IF(AN5&lt;=0.2,2,0)</f>
        <v>2</v>
      </c>
      <c r="AP5" s="22">
        <f t="shared" si="5"/>
        <v>0</v>
      </c>
      <c r="AQ5" s="478"/>
      <c r="AR5" s="22">
        <v>0</v>
      </c>
      <c r="AS5" s="402">
        <f>IF(AR5&lt;=0.2,2,0)</f>
        <v>2</v>
      </c>
      <c r="AT5" s="22">
        <f>IF(SUM(AT7:AT8)=0,"",AT6/SUM(AT7:AT8))</f>
        <v>0</v>
      </c>
      <c r="AU5" s="1295">
        <f>IF(AT5&lt;=0.2,2,0)</f>
        <v>2</v>
      </c>
      <c r="AV5" s="22">
        <f t="shared" si="6"/>
        <v>0</v>
      </c>
      <c r="AW5" s="478"/>
      <c r="AX5" s="22">
        <v>0.16666666666666666</v>
      </c>
      <c r="AY5" s="402">
        <f>IF(AX5&lt;=0.2,2,0)</f>
        <v>2</v>
      </c>
      <c r="AZ5" s="22">
        <f>IF(SUM(AZ7:AZ8)=0,"",AZ6/SUM(AZ7:AZ8))</f>
        <v>0</v>
      </c>
      <c r="BA5" s="1295">
        <f>IF(AZ5&lt;=0.2,2,0)</f>
        <v>2</v>
      </c>
      <c r="BB5" s="22">
        <f t="shared" si="7"/>
        <v>-1</v>
      </c>
      <c r="BC5" s="478"/>
      <c r="BD5" s="402">
        <v>0</v>
      </c>
      <c r="BE5" s="402">
        <f>IF(BD5&lt;=0.2,2,0)</f>
        <v>2</v>
      </c>
      <c r="BF5" s="22">
        <f>IF(SUM(BF7:BF8)=0,"",BF6/SUM(BF7:BF8))</f>
        <v>0</v>
      </c>
      <c r="BG5" s="1295">
        <f>IF(BF5&lt;=0.2,2,0)</f>
        <v>2</v>
      </c>
      <c r="BH5" s="22">
        <f t="shared" si="8"/>
        <v>0</v>
      </c>
      <c r="BI5" s="478"/>
      <c r="BJ5" s="22">
        <v>0.2</v>
      </c>
      <c r="BK5" s="402">
        <f>IF(BJ5&lt;=0.2,2,0)</f>
        <v>2</v>
      </c>
      <c r="BL5" s="22">
        <f>IF(SUM(BL7:BL8)=0,"",BL6/SUM(BL7:BL8))</f>
        <v>0.16666666666666666</v>
      </c>
      <c r="BM5" s="1295">
        <f>IF(BL5&lt;=0.2,2,0)</f>
        <v>2</v>
      </c>
      <c r="BN5" s="22">
        <f t="shared" si="9"/>
        <v>-0.16666666666666674</v>
      </c>
      <c r="BO5" s="478"/>
      <c r="BP5" s="22">
        <v>0</v>
      </c>
      <c r="BQ5" s="402">
        <f>IF(BP5&lt;=0.2,2,0)</f>
        <v>2</v>
      </c>
      <c r="BR5" s="22">
        <f>IF(SUM(BR7:BR8)=0,"",BR6/SUM(BR7:BR8))</f>
        <v>0</v>
      </c>
      <c r="BS5" s="1295">
        <f>IF(BR5&lt;=0.2,2,0)</f>
        <v>2</v>
      </c>
      <c r="BT5" s="22">
        <f t="shared" si="10"/>
        <v>0</v>
      </c>
      <c r="BU5" s="478"/>
      <c r="BV5" s="22">
        <v>0</v>
      </c>
      <c r="BW5" s="402">
        <f>IF(BV5&lt;=0.2,2,0)</f>
        <v>2</v>
      </c>
      <c r="BX5" s="22">
        <f>IF(SUM(BX7:BX8)=0,"",BX6/SUM(BX7:BX8))</f>
        <v>0</v>
      </c>
      <c r="BY5" s="1332">
        <f>IF(BX5&lt;=0.2,2,0)</f>
        <v>2</v>
      </c>
      <c r="BZ5" s="1265">
        <f t="shared" si="11"/>
        <v>0</v>
      </c>
    </row>
    <row r="6" spans="1:78" ht="19.5" customHeight="1">
      <c r="A6" s="1677"/>
      <c r="B6" s="1677"/>
      <c r="C6" s="1464">
        <v>2.1</v>
      </c>
      <c r="D6" s="1464" t="s">
        <v>113</v>
      </c>
      <c r="E6" s="472" t="s">
        <v>206</v>
      </c>
      <c r="F6" s="1459"/>
      <c r="G6" s="1460"/>
      <c r="H6" s="1459"/>
      <c r="I6" s="1460"/>
      <c r="J6" s="476">
        <f t="shared" ref="J6:J14" si="16">AVERAGE(BV6,BP6,BJ6,BD6,AX6,AR6,AL6,AF6,Z6,T6)</f>
        <v>0.3</v>
      </c>
      <c r="K6" s="476"/>
      <c r="L6" s="476">
        <f t="shared" ref="L6:L14" si="17">AVERAGE(BX6,BR6,BL6,BF6,AZ6,AT6,AN6,AH6,AB6,V6)</f>
        <v>0.4</v>
      </c>
      <c r="M6" s="476"/>
      <c r="N6" s="480">
        <f t="shared" si="12"/>
        <v>0</v>
      </c>
      <c r="O6" s="615">
        <f t="shared" si="1"/>
        <v>0</v>
      </c>
      <c r="P6" s="477">
        <f t="shared" si="13"/>
        <v>0</v>
      </c>
      <c r="Q6" s="477">
        <f t="shared" si="14"/>
        <v>0</v>
      </c>
      <c r="R6" s="477">
        <f t="shared" si="15"/>
        <v>0</v>
      </c>
      <c r="S6" s="417"/>
      <c r="T6" s="1461">
        <v>1</v>
      </c>
      <c r="U6" s="480"/>
      <c r="V6" s="1461">
        <v>2</v>
      </c>
      <c r="W6" s="1463"/>
      <c r="X6" s="22">
        <f t="shared" si="2"/>
        <v>1</v>
      </c>
      <c r="Y6" s="417"/>
      <c r="Z6" s="1461">
        <v>0</v>
      </c>
      <c r="AA6" s="1461"/>
      <c r="AB6" s="1461">
        <v>1</v>
      </c>
      <c r="AC6" s="1458"/>
      <c r="AD6" s="22">
        <f t="shared" si="3"/>
        <v>1</v>
      </c>
      <c r="AE6" s="417"/>
      <c r="AF6" s="1461">
        <v>0</v>
      </c>
      <c r="AG6" s="1461"/>
      <c r="AH6" s="1461">
        <v>0</v>
      </c>
      <c r="AI6" s="1463"/>
      <c r="AJ6" s="22">
        <f t="shared" si="4"/>
        <v>0</v>
      </c>
      <c r="AK6" s="417"/>
      <c r="AL6" s="1461">
        <v>0</v>
      </c>
      <c r="AM6" s="1461"/>
      <c r="AN6" s="1461">
        <v>0</v>
      </c>
      <c r="AO6" s="1495"/>
      <c r="AP6" s="22">
        <f t="shared" si="5"/>
        <v>0</v>
      </c>
      <c r="AQ6" s="478"/>
      <c r="AR6" s="402">
        <v>0</v>
      </c>
      <c r="AS6" s="402"/>
      <c r="AT6" s="402">
        <v>0</v>
      </c>
      <c r="AU6" s="1295"/>
      <c r="AV6" s="22">
        <f t="shared" si="6"/>
        <v>0</v>
      </c>
      <c r="AW6" s="478"/>
      <c r="AX6" s="402">
        <v>1</v>
      </c>
      <c r="AY6" s="402"/>
      <c r="AZ6" s="402">
        <v>0</v>
      </c>
      <c r="BA6" s="1295"/>
      <c r="BB6" s="22">
        <f t="shared" si="7"/>
        <v>-1</v>
      </c>
      <c r="BC6" s="478"/>
      <c r="BD6" s="402">
        <v>0</v>
      </c>
      <c r="BE6" s="402"/>
      <c r="BF6" s="402">
        <v>0</v>
      </c>
      <c r="BG6" s="1295"/>
      <c r="BH6" s="22">
        <f t="shared" si="8"/>
        <v>0</v>
      </c>
      <c r="BI6" s="478"/>
      <c r="BJ6" s="402">
        <v>1</v>
      </c>
      <c r="BK6" s="402"/>
      <c r="BL6" s="402">
        <v>1</v>
      </c>
      <c r="BM6" s="1295"/>
      <c r="BN6" s="22">
        <f t="shared" si="9"/>
        <v>0</v>
      </c>
      <c r="BO6" s="478"/>
      <c r="BP6" s="402">
        <v>0</v>
      </c>
      <c r="BQ6" s="402"/>
      <c r="BR6" s="402">
        <v>0</v>
      </c>
      <c r="BS6" s="1295"/>
      <c r="BT6" s="22">
        <f t="shared" si="10"/>
        <v>0</v>
      </c>
      <c r="BU6" s="478"/>
      <c r="BV6" s="402">
        <v>0</v>
      </c>
      <c r="BW6" s="402"/>
      <c r="BX6" s="402">
        <v>0</v>
      </c>
      <c r="BY6" s="1349"/>
      <c r="BZ6" s="1265">
        <f t="shared" si="11"/>
        <v>0</v>
      </c>
    </row>
    <row r="7" spans="1:78" ht="21" customHeight="1">
      <c r="A7" s="1677"/>
      <c r="B7" s="1677"/>
      <c r="C7" s="1464">
        <v>2.2000000000000002</v>
      </c>
      <c r="D7" s="1464" t="s">
        <v>114</v>
      </c>
      <c r="E7" s="472" t="s">
        <v>206</v>
      </c>
      <c r="F7" s="1459"/>
      <c r="G7" s="1460"/>
      <c r="H7" s="1459"/>
      <c r="I7" s="1460"/>
      <c r="J7" s="476">
        <f t="shared" si="16"/>
        <v>3.5</v>
      </c>
      <c r="K7" s="476"/>
      <c r="L7" s="476">
        <f t="shared" si="17"/>
        <v>3.8</v>
      </c>
      <c r="M7" s="476"/>
      <c r="N7" s="480">
        <f t="shared" si="12"/>
        <v>0</v>
      </c>
      <c r="O7" s="615">
        <f t="shared" si="1"/>
        <v>0</v>
      </c>
      <c r="P7" s="477">
        <f t="shared" si="13"/>
        <v>0</v>
      </c>
      <c r="Q7" s="477">
        <f t="shared" si="14"/>
        <v>0</v>
      </c>
      <c r="R7" s="477">
        <f t="shared" si="15"/>
        <v>0</v>
      </c>
      <c r="S7" s="417"/>
      <c r="T7" s="1461">
        <v>3</v>
      </c>
      <c r="U7" s="480"/>
      <c r="V7" s="1461">
        <v>3</v>
      </c>
      <c r="W7" s="1458"/>
      <c r="X7" s="22">
        <f t="shared" si="2"/>
        <v>0</v>
      </c>
      <c r="Y7" s="417"/>
      <c r="Z7" s="1461">
        <v>3</v>
      </c>
      <c r="AA7" s="1461"/>
      <c r="AB7" s="1461">
        <v>5</v>
      </c>
      <c r="AC7" s="1458"/>
      <c r="AD7" s="22">
        <f t="shared" si="3"/>
        <v>0.66666666666666674</v>
      </c>
      <c r="AE7" s="417"/>
      <c r="AF7" s="1461">
        <v>5</v>
      </c>
      <c r="AG7" s="1461"/>
      <c r="AH7" s="1461">
        <v>5</v>
      </c>
      <c r="AI7" s="1463"/>
      <c r="AJ7" s="22">
        <f t="shared" si="4"/>
        <v>0</v>
      </c>
      <c r="AK7" s="417"/>
      <c r="AL7" s="1461">
        <v>2</v>
      </c>
      <c r="AM7" s="1461"/>
      <c r="AN7" s="1461">
        <v>2</v>
      </c>
      <c r="AO7" s="1495"/>
      <c r="AP7" s="22">
        <f t="shared" si="5"/>
        <v>0</v>
      </c>
      <c r="AQ7" s="478"/>
      <c r="AR7" s="402">
        <v>5</v>
      </c>
      <c r="AS7" s="402"/>
      <c r="AT7" s="402">
        <v>5</v>
      </c>
      <c r="AU7" s="1295"/>
      <c r="AV7" s="22">
        <f t="shared" si="6"/>
        <v>0</v>
      </c>
      <c r="AW7" s="478"/>
      <c r="AX7" s="402">
        <v>5</v>
      </c>
      <c r="AY7" s="402"/>
      <c r="AZ7" s="402">
        <v>5</v>
      </c>
      <c r="BA7" s="1295"/>
      <c r="BB7" s="22">
        <f t="shared" si="7"/>
        <v>0</v>
      </c>
      <c r="BC7" s="478"/>
      <c r="BD7" s="402">
        <v>3</v>
      </c>
      <c r="BE7" s="402"/>
      <c r="BF7" s="402">
        <v>3</v>
      </c>
      <c r="BG7" s="1295"/>
      <c r="BH7" s="22">
        <f t="shared" si="8"/>
        <v>0</v>
      </c>
      <c r="BI7" s="478"/>
      <c r="BJ7" s="402">
        <v>3</v>
      </c>
      <c r="BK7" s="402"/>
      <c r="BL7" s="402">
        <v>4</v>
      </c>
      <c r="BM7" s="1295"/>
      <c r="BN7" s="22">
        <f t="shared" si="9"/>
        <v>0.33333333333333326</v>
      </c>
      <c r="BO7" s="478"/>
      <c r="BP7" s="402">
        <v>3</v>
      </c>
      <c r="BQ7" s="402"/>
      <c r="BR7" s="402">
        <v>3</v>
      </c>
      <c r="BS7" s="1295"/>
      <c r="BT7" s="22">
        <f t="shared" si="10"/>
        <v>0</v>
      </c>
      <c r="BU7" s="478"/>
      <c r="BV7" s="402">
        <v>3</v>
      </c>
      <c r="BW7" s="402"/>
      <c r="BX7" s="402">
        <v>3</v>
      </c>
      <c r="BY7" s="1349"/>
      <c r="BZ7" s="1265">
        <f t="shared" si="11"/>
        <v>0</v>
      </c>
    </row>
    <row r="8" spans="1:78" ht="18.75" customHeight="1">
      <c r="A8" s="1677"/>
      <c r="B8" s="1677"/>
      <c r="C8" s="1464">
        <v>2.2999999999999998</v>
      </c>
      <c r="D8" s="1464" t="s">
        <v>115</v>
      </c>
      <c r="E8" s="472" t="s">
        <v>206</v>
      </c>
      <c r="F8" s="1459"/>
      <c r="G8" s="1460"/>
      <c r="H8" s="1459"/>
      <c r="I8" s="1460"/>
      <c r="J8" s="476">
        <f t="shared" si="16"/>
        <v>0.8</v>
      </c>
      <c r="K8" s="476"/>
      <c r="L8" s="476">
        <f t="shared" si="17"/>
        <v>0.8</v>
      </c>
      <c r="M8" s="476"/>
      <c r="N8" s="480">
        <f t="shared" si="12"/>
        <v>0</v>
      </c>
      <c r="O8" s="615">
        <f t="shared" si="1"/>
        <v>0</v>
      </c>
      <c r="P8" s="477">
        <f t="shared" si="13"/>
        <v>0</v>
      </c>
      <c r="Q8" s="477">
        <f t="shared" si="14"/>
        <v>0</v>
      </c>
      <c r="R8" s="477">
        <f t="shared" si="15"/>
        <v>0</v>
      </c>
      <c r="S8" s="417"/>
      <c r="T8" s="1461">
        <v>1</v>
      </c>
      <c r="U8" s="480"/>
      <c r="V8" s="1461">
        <v>1</v>
      </c>
      <c r="W8" s="1458"/>
      <c r="X8" s="22">
        <f t="shared" si="2"/>
        <v>0</v>
      </c>
      <c r="Y8" s="417"/>
      <c r="Z8" s="1461">
        <v>3</v>
      </c>
      <c r="AA8" s="1461"/>
      <c r="AB8" s="1461">
        <v>2</v>
      </c>
      <c r="AC8" s="1458"/>
      <c r="AD8" s="22">
        <f t="shared" si="3"/>
        <v>-0.33333333333333337</v>
      </c>
      <c r="AE8" s="417"/>
      <c r="AF8" s="1461">
        <v>0</v>
      </c>
      <c r="AG8" s="1461"/>
      <c r="AH8" s="1461">
        <v>0</v>
      </c>
      <c r="AI8" s="1463"/>
      <c r="AJ8" s="22">
        <f t="shared" si="4"/>
        <v>0</v>
      </c>
      <c r="AK8" s="417"/>
      <c r="AL8" s="1461">
        <v>0</v>
      </c>
      <c r="AM8" s="1461"/>
      <c r="AN8" s="1461">
        <v>1</v>
      </c>
      <c r="AO8" s="1495"/>
      <c r="AP8" s="22">
        <f t="shared" si="5"/>
        <v>1</v>
      </c>
      <c r="AQ8" s="478"/>
      <c r="AR8" s="402">
        <v>0</v>
      </c>
      <c r="AS8" s="402"/>
      <c r="AT8" s="402">
        <v>0</v>
      </c>
      <c r="AU8" s="1295"/>
      <c r="AV8" s="22">
        <f t="shared" si="6"/>
        <v>0</v>
      </c>
      <c r="AW8" s="478"/>
      <c r="AX8" s="402">
        <v>1</v>
      </c>
      <c r="AY8" s="402"/>
      <c r="AZ8" s="402">
        <v>0</v>
      </c>
      <c r="BA8" s="1295"/>
      <c r="BB8" s="22">
        <f t="shared" si="7"/>
        <v>-1</v>
      </c>
      <c r="BC8" s="478"/>
      <c r="BD8" s="402">
        <v>0</v>
      </c>
      <c r="BE8" s="402"/>
      <c r="BF8" s="402">
        <v>0</v>
      </c>
      <c r="BG8" s="1295"/>
      <c r="BH8" s="22">
        <f t="shared" si="8"/>
        <v>0</v>
      </c>
      <c r="BI8" s="478"/>
      <c r="BJ8" s="402">
        <v>2</v>
      </c>
      <c r="BK8" s="402"/>
      <c r="BL8" s="402">
        <v>2</v>
      </c>
      <c r="BM8" s="1295"/>
      <c r="BN8" s="22">
        <f t="shared" si="9"/>
        <v>0</v>
      </c>
      <c r="BO8" s="478"/>
      <c r="BP8" s="402">
        <v>0</v>
      </c>
      <c r="BQ8" s="402"/>
      <c r="BR8" s="402">
        <v>0</v>
      </c>
      <c r="BS8" s="1295"/>
      <c r="BT8" s="22">
        <f t="shared" si="10"/>
        <v>0</v>
      </c>
      <c r="BU8" s="478"/>
      <c r="BV8" s="402">
        <v>1</v>
      </c>
      <c r="BW8" s="402"/>
      <c r="BX8" s="402">
        <v>2</v>
      </c>
      <c r="BY8" s="1349"/>
      <c r="BZ8" s="1265">
        <f t="shared" si="11"/>
        <v>1</v>
      </c>
    </row>
    <row r="9" spans="1:78" ht="15.75" customHeight="1">
      <c r="A9" s="1677" t="s">
        <v>2029</v>
      </c>
      <c r="B9" s="1677" t="s">
        <v>1223</v>
      </c>
      <c r="C9" s="1455">
        <v>3</v>
      </c>
      <c r="D9" s="1421" t="s">
        <v>1222</v>
      </c>
      <c r="E9" s="413"/>
      <c r="F9" s="473"/>
      <c r="G9" s="474" t="s">
        <v>399</v>
      </c>
      <c r="H9" s="473" t="s">
        <v>232</v>
      </c>
      <c r="I9" s="475">
        <v>2</v>
      </c>
      <c r="J9" s="1422">
        <f t="shared" si="16"/>
        <v>0.95500000000000007</v>
      </c>
      <c r="K9" s="479">
        <f>AVERAGE(BW9,BQ9,BK9,BE9,AY9,AS9,AM9,AG9,AA9,U9)</f>
        <v>1.6</v>
      </c>
      <c r="L9" s="1422">
        <f t="shared" si="17"/>
        <v>0.96</v>
      </c>
      <c r="M9" s="479">
        <f>AVERAGE(BY9,BS9,BM9,BG9,BA9,AU9,AO9,AI9,AC9,W9)</f>
        <v>1.6</v>
      </c>
      <c r="N9" s="481">
        <f t="shared" si="12"/>
        <v>0</v>
      </c>
      <c r="O9" s="414">
        <f t="shared" si="1"/>
        <v>0.39999999999999991</v>
      </c>
      <c r="P9" s="477">
        <f t="shared" si="13"/>
        <v>0.15999999999999998</v>
      </c>
      <c r="Q9" s="477">
        <f t="shared" si="14"/>
        <v>1.7777777777777774E-2</v>
      </c>
      <c r="R9" s="477">
        <f t="shared" si="15"/>
        <v>8.8888888888888871E-3</v>
      </c>
      <c r="S9" s="478"/>
      <c r="T9" s="22">
        <v>1</v>
      </c>
      <c r="U9" s="380">
        <f>IF(T9=1,2,0)</f>
        <v>2</v>
      </c>
      <c r="V9" s="22">
        <f>IF(V11=0,"",V10/V11)</f>
        <v>1</v>
      </c>
      <c r="W9" s="1332">
        <f>IF(V9=1,2,0)</f>
        <v>2</v>
      </c>
      <c r="X9" s="22">
        <f t="shared" si="2"/>
        <v>0</v>
      </c>
      <c r="Y9" s="478"/>
      <c r="Z9" s="22">
        <v>1</v>
      </c>
      <c r="AA9" s="402">
        <f>IF(Z9=1,2,0)</f>
        <v>2</v>
      </c>
      <c r="AB9" s="22">
        <f>IF(AB11=0,"",AB10/AB11)</f>
        <v>1</v>
      </c>
      <c r="AC9" s="1332">
        <f>IF(AB9=1,2,0)</f>
        <v>2</v>
      </c>
      <c r="AD9" s="22">
        <f t="shared" si="3"/>
        <v>0</v>
      </c>
      <c r="AE9" s="478"/>
      <c r="AF9" s="22">
        <v>0.8</v>
      </c>
      <c r="AG9" s="402">
        <f>IF(AF9=1,2,0)</f>
        <v>0</v>
      </c>
      <c r="AH9" s="22">
        <f>IF(AH11=0,"",AH10/AH11)</f>
        <v>0.8</v>
      </c>
      <c r="AI9" s="1295">
        <f>IF(AH9=1,2,0)</f>
        <v>0</v>
      </c>
      <c r="AJ9" s="22">
        <f t="shared" si="4"/>
        <v>0</v>
      </c>
      <c r="AK9" s="478"/>
      <c r="AL9" s="22">
        <v>1</v>
      </c>
      <c r="AM9" s="402">
        <f>IF(AL9=1,2,0)</f>
        <v>2</v>
      </c>
      <c r="AN9" s="22">
        <f>IF(AN11=0,"",AN10/AN11)</f>
        <v>1</v>
      </c>
      <c r="AO9" s="1295">
        <f>IF(AN9=1,2,0)</f>
        <v>2</v>
      </c>
      <c r="AP9" s="22">
        <f t="shared" si="5"/>
        <v>0</v>
      </c>
      <c r="AQ9" s="478"/>
      <c r="AR9" s="22">
        <v>1</v>
      </c>
      <c r="AS9" s="402">
        <f>IF(AR9=1,2,0)</f>
        <v>2</v>
      </c>
      <c r="AT9" s="22">
        <f>IF(AT11=0,"",AT10/AT11)</f>
        <v>1</v>
      </c>
      <c r="AU9" s="1295">
        <f>IF(AT9=1,2,0)</f>
        <v>2</v>
      </c>
      <c r="AV9" s="22">
        <f t="shared" si="6"/>
        <v>0</v>
      </c>
      <c r="AW9" s="478"/>
      <c r="AX9" s="22">
        <v>1</v>
      </c>
      <c r="AY9" s="402">
        <f>IF(AX9=1,2,0)</f>
        <v>2</v>
      </c>
      <c r="AZ9" s="22">
        <f>IF(AZ11=0,"",AZ10/AZ11)</f>
        <v>1</v>
      </c>
      <c r="BA9" s="1295">
        <f>IF(AZ9=1,2,0)</f>
        <v>2</v>
      </c>
      <c r="BB9" s="22">
        <f t="shared" si="7"/>
        <v>0</v>
      </c>
      <c r="BC9" s="478"/>
      <c r="BD9" s="22">
        <v>1</v>
      </c>
      <c r="BE9" s="402">
        <f>IF(BD9=1,2,0)</f>
        <v>2</v>
      </c>
      <c r="BF9" s="22">
        <f>IF(BF11=0,"",BF10/BF11)</f>
        <v>1</v>
      </c>
      <c r="BG9" s="1295">
        <f>IF(BF9=1,2,0)</f>
        <v>2</v>
      </c>
      <c r="BH9" s="22">
        <f t="shared" si="8"/>
        <v>0</v>
      </c>
      <c r="BI9" s="478"/>
      <c r="BJ9" s="22">
        <v>0.75</v>
      </c>
      <c r="BK9" s="402">
        <f>IF(BJ9=1,2,0)</f>
        <v>0</v>
      </c>
      <c r="BL9" s="22">
        <f>IF(BL11=0,"",BL10/BL11)</f>
        <v>0.8</v>
      </c>
      <c r="BM9" s="1295">
        <f>IF(BL9=1,2,0)</f>
        <v>0</v>
      </c>
      <c r="BN9" s="22">
        <f t="shared" si="9"/>
        <v>6.6666666666666652E-2</v>
      </c>
      <c r="BO9" s="478"/>
      <c r="BP9" s="22">
        <v>1</v>
      </c>
      <c r="BQ9" s="402">
        <f>IF(BP9=1,2,0)</f>
        <v>2</v>
      </c>
      <c r="BR9" s="22">
        <f>IF(BR11=0,"",BR10/BR11)</f>
        <v>1</v>
      </c>
      <c r="BS9" s="1295">
        <f>IF(BR9=1,2,0)</f>
        <v>2</v>
      </c>
      <c r="BT9" s="22">
        <f t="shared" si="10"/>
        <v>0</v>
      </c>
      <c r="BU9" s="478"/>
      <c r="BV9" s="22">
        <v>1</v>
      </c>
      <c r="BW9" s="402">
        <f>IF(BV9=1,2,0)</f>
        <v>2</v>
      </c>
      <c r="BX9" s="22">
        <f>IF(BX11=0,"",BX10/BX11)</f>
        <v>1</v>
      </c>
      <c r="BY9" s="1332">
        <f>IF(BX9=1,2,0)</f>
        <v>2</v>
      </c>
      <c r="BZ9" s="1265">
        <f t="shared" si="11"/>
        <v>0</v>
      </c>
    </row>
    <row r="10" spans="1:78" ht="27.75" customHeight="1">
      <c r="A10" s="1677"/>
      <c r="B10" s="1677"/>
      <c r="C10" s="1464">
        <v>3.1</v>
      </c>
      <c r="D10" s="482" t="s">
        <v>1224</v>
      </c>
      <c r="E10" s="472" t="s">
        <v>206</v>
      </c>
      <c r="F10" s="473"/>
      <c r="G10" s="473"/>
      <c r="H10" s="473"/>
      <c r="I10" s="474"/>
      <c r="J10" s="476">
        <f t="shared" si="16"/>
        <v>3.5</v>
      </c>
      <c r="K10" s="476"/>
      <c r="L10" s="476">
        <f t="shared" si="17"/>
        <v>3.8</v>
      </c>
      <c r="M10" s="476"/>
      <c r="N10" s="480">
        <f t="shared" si="12"/>
        <v>0</v>
      </c>
      <c r="O10" s="414">
        <f t="shared" si="1"/>
        <v>0</v>
      </c>
      <c r="P10" s="477">
        <f t="shared" si="13"/>
        <v>0</v>
      </c>
      <c r="Q10" s="477">
        <f t="shared" si="14"/>
        <v>0</v>
      </c>
      <c r="R10" s="477">
        <f t="shared" si="15"/>
        <v>0</v>
      </c>
      <c r="S10" s="478"/>
      <c r="T10" s="402">
        <v>3</v>
      </c>
      <c r="U10" s="480"/>
      <c r="V10" s="402">
        <v>3</v>
      </c>
      <c r="W10" s="1332"/>
      <c r="X10" s="22">
        <f t="shared" si="2"/>
        <v>0</v>
      </c>
      <c r="Y10" s="478"/>
      <c r="Z10" s="402">
        <v>4</v>
      </c>
      <c r="AA10" s="402"/>
      <c r="AB10" s="402">
        <v>4</v>
      </c>
      <c r="AC10" s="1332"/>
      <c r="AD10" s="22">
        <f t="shared" si="3"/>
        <v>0</v>
      </c>
      <c r="AE10" s="478"/>
      <c r="AF10" s="402">
        <v>4</v>
      </c>
      <c r="AG10" s="402"/>
      <c r="AH10" s="402">
        <v>4</v>
      </c>
      <c r="AI10" s="1295"/>
      <c r="AJ10" s="22">
        <f t="shared" si="4"/>
        <v>0</v>
      </c>
      <c r="AK10" s="478"/>
      <c r="AL10" s="402">
        <v>2</v>
      </c>
      <c r="AM10" s="402"/>
      <c r="AN10" s="402">
        <v>3</v>
      </c>
      <c r="AO10" s="1295"/>
      <c r="AP10" s="22">
        <f t="shared" si="5"/>
        <v>0.5</v>
      </c>
      <c r="AQ10" s="478"/>
      <c r="AR10" s="402">
        <v>5</v>
      </c>
      <c r="AS10" s="402"/>
      <c r="AT10" s="402">
        <v>5</v>
      </c>
      <c r="AU10" s="1295"/>
      <c r="AV10" s="22">
        <f t="shared" si="6"/>
        <v>0</v>
      </c>
      <c r="AW10" s="478"/>
      <c r="AX10" s="402">
        <v>5</v>
      </c>
      <c r="AY10" s="402"/>
      <c r="AZ10" s="402">
        <v>5</v>
      </c>
      <c r="BA10" s="1295"/>
      <c r="BB10" s="22">
        <f t="shared" si="7"/>
        <v>0</v>
      </c>
      <c r="BC10" s="478"/>
      <c r="BD10" s="402">
        <v>3</v>
      </c>
      <c r="BE10" s="402"/>
      <c r="BF10" s="402">
        <v>3</v>
      </c>
      <c r="BG10" s="1295"/>
      <c r="BH10" s="22">
        <f t="shared" si="8"/>
        <v>0</v>
      </c>
      <c r="BI10" s="478"/>
      <c r="BJ10" s="402">
        <v>3</v>
      </c>
      <c r="BK10" s="402"/>
      <c r="BL10" s="402">
        <v>4</v>
      </c>
      <c r="BM10" s="1295"/>
      <c r="BN10" s="22">
        <f t="shared" si="9"/>
        <v>0.33333333333333326</v>
      </c>
      <c r="BO10" s="478"/>
      <c r="BP10" s="402">
        <v>3</v>
      </c>
      <c r="BQ10" s="402"/>
      <c r="BR10" s="402">
        <v>3</v>
      </c>
      <c r="BS10" s="1295"/>
      <c r="BT10" s="22">
        <f t="shared" si="10"/>
        <v>0</v>
      </c>
      <c r="BU10" s="478"/>
      <c r="BV10" s="402">
        <v>3</v>
      </c>
      <c r="BW10" s="402"/>
      <c r="BX10" s="402">
        <v>4</v>
      </c>
      <c r="BY10" s="1349"/>
      <c r="BZ10" s="1265">
        <f t="shared" si="11"/>
        <v>0.33333333333333326</v>
      </c>
    </row>
    <row r="11" spans="1:78" ht="18.75" customHeight="1">
      <c r="A11" s="1677"/>
      <c r="B11" s="1677"/>
      <c r="C11" s="1464">
        <v>3.2</v>
      </c>
      <c r="D11" s="1464" t="s">
        <v>1225</v>
      </c>
      <c r="E11" s="472" t="s">
        <v>206</v>
      </c>
      <c r="F11" s="473"/>
      <c r="G11" s="474"/>
      <c r="H11" s="473"/>
      <c r="I11" s="474"/>
      <c r="J11" s="476">
        <f t="shared" si="16"/>
        <v>3.7</v>
      </c>
      <c r="K11" s="476"/>
      <c r="L11" s="476">
        <f t="shared" si="17"/>
        <v>4</v>
      </c>
      <c r="M11" s="476"/>
      <c r="N11" s="480">
        <f t="shared" si="12"/>
        <v>0</v>
      </c>
      <c r="O11" s="414">
        <f t="shared" si="1"/>
        <v>0</v>
      </c>
      <c r="P11" s="477">
        <f t="shared" si="13"/>
        <v>0</v>
      </c>
      <c r="Q11" s="477">
        <f t="shared" si="14"/>
        <v>0</v>
      </c>
      <c r="R11" s="477">
        <f t="shared" si="15"/>
        <v>0</v>
      </c>
      <c r="S11" s="478"/>
      <c r="T11" s="402">
        <v>3</v>
      </c>
      <c r="U11" s="480"/>
      <c r="V11" s="402">
        <v>3</v>
      </c>
      <c r="W11" s="1332"/>
      <c r="X11" s="22">
        <f t="shared" si="2"/>
        <v>0</v>
      </c>
      <c r="Y11" s="478"/>
      <c r="Z11" s="402">
        <v>4</v>
      </c>
      <c r="AA11" s="402"/>
      <c r="AB11" s="402">
        <v>4</v>
      </c>
      <c r="AC11" s="1332"/>
      <c r="AD11" s="22">
        <f t="shared" si="3"/>
        <v>0</v>
      </c>
      <c r="AE11" s="478"/>
      <c r="AF11" s="402">
        <v>5</v>
      </c>
      <c r="AG11" s="402"/>
      <c r="AH11" s="402">
        <v>5</v>
      </c>
      <c r="AI11" s="1295"/>
      <c r="AJ11" s="22">
        <f t="shared" si="4"/>
        <v>0</v>
      </c>
      <c r="AK11" s="478"/>
      <c r="AL11" s="402">
        <v>2</v>
      </c>
      <c r="AM11" s="402"/>
      <c r="AN11" s="402">
        <v>3</v>
      </c>
      <c r="AO11" s="1295"/>
      <c r="AP11" s="22">
        <f t="shared" si="5"/>
        <v>0.5</v>
      </c>
      <c r="AQ11" s="478"/>
      <c r="AR11" s="402">
        <v>5</v>
      </c>
      <c r="AS11" s="402"/>
      <c r="AT11" s="402">
        <v>5</v>
      </c>
      <c r="AU11" s="1295"/>
      <c r="AV11" s="22">
        <f t="shared" si="6"/>
        <v>0</v>
      </c>
      <c r="AW11" s="478"/>
      <c r="AX11" s="402">
        <v>5</v>
      </c>
      <c r="AY11" s="402"/>
      <c r="AZ11" s="402">
        <v>5</v>
      </c>
      <c r="BA11" s="1295"/>
      <c r="BB11" s="22">
        <f t="shared" si="7"/>
        <v>0</v>
      </c>
      <c r="BC11" s="478"/>
      <c r="BD11" s="402">
        <v>3</v>
      </c>
      <c r="BE11" s="402"/>
      <c r="BF11" s="402">
        <v>3</v>
      </c>
      <c r="BG11" s="1295"/>
      <c r="BH11" s="22">
        <f t="shared" si="8"/>
        <v>0</v>
      </c>
      <c r="BI11" s="478"/>
      <c r="BJ11" s="402">
        <v>4</v>
      </c>
      <c r="BK11" s="402"/>
      <c r="BL11" s="402">
        <v>5</v>
      </c>
      <c r="BM11" s="1295"/>
      <c r="BN11" s="22">
        <f t="shared" si="9"/>
        <v>0.25</v>
      </c>
      <c r="BO11" s="478"/>
      <c r="BP11" s="402">
        <v>3</v>
      </c>
      <c r="BQ11" s="402"/>
      <c r="BR11" s="402">
        <v>3</v>
      </c>
      <c r="BS11" s="1295"/>
      <c r="BT11" s="22">
        <f t="shared" si="10"/>
        <v>0</v>
      </c>
      <c r="BU11" s="478"/>
      <c r="BV11" s="402">
        <v>3</v>
      </c>
      <c r="BW11" s="402"/>
      <c r="BX11" s="402">
        <v>4</v>
      </c>
      <c r="BY11" s="1349"/>
      <c r="BZ11" s="1265">
        <f t="shared" si="11"/>
        <v>0.33333333333333326</v>
      </c>
    </row>
    <row r="12" spans="1:78" ht="21.75" customHeight="1">
      <c r="A12" s="1677" t="s">
        <v>1226</v>
      </c>
      <c r="B12" s="1677" t="s">
        <v>1227</v>
      </c>
      <c r="C12" s="1455">
        <v>4</v>
      </c>
      <c r="D12" s="471" t="s">
        <v>43</v>
      </c>
      <c r="E12" s="483"/>
      <c r="F12" s="484"/>
      <c r="G12" s="474" t="s">
        <v>403</v>
      </c>
      <c r="H12" s="484" t="s">
        <v>232</v>
      </c>
      <c r="I12" s="475">
        <v>2</v>
      </c>
      <c r="J12" s="476">
        <f t="shared" si="16"/>
        <v>21.120000000000005</v>
      </c>
      <c r="K12" s="476">
        <f>AVERAGE(BW12,BQ12,BK12,BE12,AY12,AS12,AM12,AG12,AA12,U12)</f>
        <v>2</v>
      </c>
      <c r="L12" s="476">
        <f t="shared" si="17"/>
        <v>16.540000000000003</v>
      </c>
      <c r="M12" s="476">
        <f>AVERAGE(BY12,BS12,BM12,BG12,BA12,AU12,AO12,AI12,AC12,W12)</f>
        <v>2</v>
      </c>
      <c r="N12" s="480">
        <f t="shared" si="12"/>
        <v>0</v>
      </c>
      <c r="O12" s="414">
        <f t="shared" si="1"/>
        <v>0</v>
      </c>
      <c r="P12" s="477">
        <f t="shared" si="13"/>
        <v>0</v>
      </c>
      <c r="Q12" s="477">
        <f t="shared" si="14"/>
        <v>0</v>
      </c>
      <c r="R12" s="477">
        <f t="shared" si="15"/>
        <v>0</v>
      </c>
      <c r="S12" s="478"/>
      <c r="T12" s="1295">
        <v>28.333333333333332</v>
      </c>
      <c r="U12" s="380">
        <f>IF(T12&gt;=2,2,0)</f>
        <v>2</v>
      </c>
      <c r="V12" s="972">
        <f>IF(SUM(V14:V15)=0,"",V13/SUM(V14:V15))</f>
        <v>23</v>
      </c>
      <c r="W12" s="1332">
        <f>IF(V12&gt;=2,2,0)</f>
        <v>2</v>
      </c>
      <c r="X12" s="22">
        <f t="shared" si="2"/>
        <v>-0.18823529411764706</v>
      </c>
      <c r="Y12" s="478"/>
      <c r="Z12" s="402">
        <v>22.8</v>
      </c>
      <c r="AA12" s="402">
        <f>IF(Z12&gt;=2,2,0)</f>
        <v>2</v>
      </c>
      <c r="AB12" s="402">
        <f>IF(SUM(AB14:AB15)=0,"",AB13/SUM(AB14:AB15))</f>
        <v>21</v>
      </c>
      <c r="AC12" s="1332">
        <f>IF(AB12&gt;=2,2,0)</f>
        <v>2</v>
      </c>
      <c r="AD12" s="22">
        <f t="shared" si="3"/>
        <v>-7.8947368421052655E-2</v>
      </c>
      <c r="AE12" s="478"/>
      <c r="AF12" s="402">
        <v>19.8</v>
      </c>
      <c r="AG12" s="402">
        <f>IF(AF12&gt;=2,2,0)</f>
        <v>2</v>
      </c>
      <c r="AH12" s="972">
        <f>IF(SUM(AH14:AH15)=0,"",AH13/SUM(AH14:AH15))</f>
        <v>17.2</v>
      </c>
      <c r="AI12" s="1295">
        <f>IF(AH12&gt;=2,2,0)</f>
        <v>2</v>
      </c>
      <c r="AJ12" s="22">
        <f t="shared" si="4"/>
        <v>-0.13131313131313138</v>
      </c>
      <c r="AK12" s="478"/>
      <c r="AL12" s="402">
        <v>23.5</v>
      </c>
      <c r="AM12" s="402">
        <f>IF(AL12&gt;=2,2,0)</f>
        <v>2</v>
      </c>
      <c r="AN12" s="1292">
        <f>IF(SUM(AN14:AN15)=0,"",AN13/SUM(AN14:AN15))</f>
        <v>12.666666666666666</v>
      </c>
      <c r="AO12" s="1295">
        <f>IF(AN12&gt;=2,2,0)</f>
        <v>2</v>
      </c>
      <c r="AP12" s="22">
        <f t="shared" si="5"/>
        <v>-0.46099290780141844</v>
      </c>
      <c r="AQ12" s="478"/>
      <c r="AR12" s="402">
        <v>14.4</v>
      </c>
      <c r="AS12" s="402">
        <f>IF(AR12&gt;=2,2,0)</f>
        <v>2</v>
      </c>
      <c r="AT12" s="402">
        <f>IF(SUM(AT14:AT15)=0,"",AT13/SUM(AT14:AT15))</f>
        <v>11.4</v>
      </c>
      <c r="AU12" s="1295">
        <f>IF(AT12&gt;=2,2,0)</f>
        <v>2</v>
      </c>
      <c r="AV12" s="22">
        <f t="shared" si="6"/>
        <v>-0.20833333333333337</v>
      </c>
      <c r="AW12" s="478"/>
      <c r="AX12" s="402">
        <v>18.2</v>
      </c>
      <c r="AY12" s="402">
        <f>IF(AX12&gt;=2,2,0)</f>
        <v>2</v>
      </c>
      <c r="AZ12" s="402">
        <f>IF(SUM(AZ14:AZ15)=0,"",AZ13/SUM(AZ14:AZ15))</f>
        <v>15.8</v>
      </c>
      <c r="BA12" s="1295">
        <f>IF(AZ12&gt;=2,2,0)</f>
        <v>2</v>
      </c>
      <c r="BB12" s="22">
        <f t="shared" si="7"/>
        <v>-0.13186813186813184</v>
      </c>
      <c r="BC12" s="478"/>
      <c r="BD12" s="1292">
        <v>20.666666666666668</v>
      </c>
      <c r="BE12" s="402">
        <f>IF(BD12&gt;=2,2,0)</f>
        <v>2</v>
      </c>
      <c r="BF12" s="1292">
        <f>IF(SUM(BF14:BF15)=0,"",BF13/SUM(BF14:BF15))</f>
        <v>16.666666666666668</v>
      </c>
      <c r="BG12" s="1295">
        <f>IF(BF12&gt;=2,2,0)</f>
        <v>2</v>
      </c>
      <c r="BH12" s="22">
        <f t="shared" si="8"/>
        <v>-0.19354838709677413</v>
      </c>
      <c r="BI12" s="478"/>
      <c r="BJ12" s="402">
        <v>21.5</v>
      </c>
      <c r="BK12" s="402">
        <f>IF(BJ12&gt;=2,2,0)</f>
        <v>2</v>
      </c>
      <c r="BL12" s="402">
        <f>IF(SUM(BL14:BL15)=0,"",BL13/SUM(BL14:BL15))</f>
        <v>15</v>
      </c>
      <c r="BM12" s="1295">
        <f>IF(BL12&gt;=2,2,0)</f>
        <v>2</v>
      </c>
      <c r="BN12" s="22">
        <f t="shared" si="9"/>
        <v>-0.30232558139534882</v>
      </c>
      <c r="BO12" s="478"/>
      <c r="BP12" s="1292">
        <v>25.333333333333332</v>
      </c>
      <c r="BQ12" s="402">
        <f>IF(BP12&gt;=2,2,0)</f>
        <v>2</v>
      </c>
      <c r="BR12" s="1292">
        <f>IF(SUM(BR14:BR15)=0,"",BR13/SUM(BR14:BR15))</f>
        <v>20.666666666666668</v>
      </c>
      <c r="BS12" s="1295">
        <f>IF(BR12&gt;=2,2,0)</f>
        <v>2</v>
      </c>
      <c r="BT12" s="22">
        <f t="shared" si="10"/>
        <v>-0.18421052631578938</v>
      </c>
      <c r="BU12" s="478"/>
      <c r="BV12" s="1292">
        <v>16.666666666666668</v>
      </c>
      <c r="BW12" s="402">
        <f>IF(BV12&gt;=2,2,0)</f>
        <v>2</v>
      </c>
      <c r="BX12" s="1292">
        <f>IF(SUM(BX14:BX15)=0,"",BX13/SUM(BX14:BX15))</f>
        <v>12</v>
      </c>
      <c r="BY12" s="1332">
        <f>IF(BX12&gt;=2,2,0)</f>
        <v>2</v>
      </c>
      <c r="BZ12" s="1265">
        <f t="shared" si="11"/>
        <v>-0.28000000000000003</v>
      </c>
    </row>
    <row r="13" spans="1:78" ht="20.25" customHeight="1">
      <c r="A13" s="1677"/>
      <c r="B13" s="1677"/>
      <c r="C13" s="1464">
        <v>4.0999999999999996</v>
      </c>
      <c r="D13" s="1464" t="s">
        <v>192</v>
      </c>
      <c r="E13" s="472" t="s">
        <v>206</v>
      </c>
      <c r="F13" s="473"/>
      <c r="G13" s="474"/>
      <c r="H13" s="473"/>
      <c r="I13" s="474"/>
      <c r="J13" s="476">
        <f t="shared" si="16"/>
        <v>78.2</v>
      </c>
      <c r="K13" s="476"/>
      <c r="L13" s="476">
        <f t="shared" si="17"/>
        <v>66.900000000000006</v>
      </c>
      <c r="M13" s="476"/>
      <c r="N13" s="480">
        <f t="shared" si="12"/>
        <v>0</v>
      </c>
      <c r="O13" s="414">
        <f t="shared" si="1"/>
        <v>0</v>
      </c>
      <c r="P13" s="477">
        <f t="shared" si="13"/>
        <v>0</v>
      </c>
      <c r="Q13" s="477">
        <f t="shared" si="14"/>
        <v>0</v>
      </c>
      <c r="R13" s="477">
        <f t="shared" si="15"/>
        <v>0</v>
      </c>
      <c r="S13" s="478"/>
      <c r="T13" s="402">
        <v>85</v>
      </c>
      <c r="U13" s="480"/>
      <c r="V13" s="402">
        <v>69</v>
      </c>
      <c r="W13" s="1332"/>
      <c r="X13" s="22">
        <f t="shared" si="2"/>
        <v>-0.18823529411764706</v>
      </c>
      <c r="Y13" s="478"/>
      <c r="Z13" s="402">
        <v>114</v>
      </c>
      <c r="AA13" s="402"/>
      <c r="AB13" s="402">
        <v>105</v>
      </c>
      <c r="AC13" s="1332"/>
      <c r="AD13" s="22">
        <f t="shared" si="3"/>
        <v>-7.8947368421052655E-2</v>
      </c>
      <c r="AE13" s="478"/>
      <c r="AF13" s="402">
        <v>99</v>
      </c>
      <c r="AG13" s="402"/>
      <c r="AH13" s="402">
        <v>86</v>
      </c>
      <c r="AI13" s="1295"/>
      <c r="AJ13" s="22">
        <f t="shared" si="4"/>
        <v>-0.13131313131313127</v>
      </c>
      <c r="AK13" s="478"/>
      <c r="AL13" s="402">
        <v>47</v>
      </c>
      <c r="AM13" s="402"/>
      <c r="AN13" s="402">
        <v>38</v>
      </c>
      <c r="AO13" s="1295"/>
      <c r="AP13" s="22">
        <f t="shared" si="5"/>
        <v>-0.19148936170212771</v>
      </c>
      <c r="AQ13" s="478"/>
      <c r="AR13" s="402">
        <v>72</v>
      </c>
      <c r="AS13" s="402"/>
      <c r="AT13" s="402">
        <v>57</v>
      </c>
      <c r="AU13" s="1295"/>
      <c r="AV13" s="22">
        <f t="shared" si="6"/>
        <v>-0.20833333333333337</v>
      </c>
      <c r="AW13" s="478"/>
      <c r="AX13" s="402">
        <v>91</v>
      </c>
      <c r="AY13" s="402"/>
      <c r="AZ13" s="402">
        <v>79</v>
      </c>
      <c r="BA13" s="1295"/>
      <c r="BB13" s="22">
        <f t="shared" si="7"/>
        <v>-0.13186813186813184</v>
      </c>
      <c r="BC13" s="478"/>
      <c r="BD13" s="402">
        <v>62</v>
      </c>
      <c r="BE13" s="402"/>
      <c r="BF13" s="402">
        <v>50</v>
      </c>
      <c r="BG13" s="1295"/>
      <c r="BH13" s="22">
        <f t="shared" si="8"/>
        <v>-0.19354838709677424</v>
      </c>
      <c r="BI13" s="478"/>
      <c r="BJ13" s="402">
        <v>86</v>
      </c>
      <c r="BK13" s="402"/>
      <c r="BL13" s="402">
        <v>75</v>
      </c>
      <c r="BM13" s="1295"/>
      <c r="BN13" s="22">
        <f t="shared" si="9"/>
        <v>-0.12790697674418605</v>
      </c>
      <c r="BO13" s="478"/>
      <c r="BP13" s="402">
        <v>76</v>
      </c>
      <c r="BQ13" s="402"/>
      <c r="BR13" s="402">
        <v>62</v>
      </c>
      <c r="BS13" s="1295"/>
      <c r="BT13" s="22">
        <f t="shared" si="10"/>
        <v>-0.18421052631578949</v>
      </c>
      <c r="BU13" s="478"/>
      <c r="BV13" s="402">
        <v>50</v>
      </c>
      <c r="BW13" s="402"/>
      <c r="BX13" s="402">
        <v>48</v>
      </c>
      <c r="BY13" s="1349"/>
      <c r="BZ13" s="1265">
        <f t="shared" si="11"/>
        <v>-4.0000000000000036E-2</v>
      </c>
    </row>
    <row r="14" spans="1:78" ht="15.75" customHeight="1">
      <c r="A14" s="1677"/>
      <c r="B14" s="1677"/>
      <c r="C14" s="1464">
        <v>4.2</v>
      </c>
      <c r="D14" s="1464" t="s">
        <v>1228</v>
      </c>
      <c r="E14" s="472" t="s">
        <v>206</v>
      </c>
      <c r="F14" s="473"/>
      <c r="G14" s="474"/>
      <c r="H14" s="473"/>
      <c r="I14" s="474"/>
      <c r="J14" s="476">
        <f t="shared" si="16"/>
        <v>3.8</v>
      </c>
      <c r="K14" s="476"/>
      <c r="L14" s="476">
        <f t="shared" si="17"/>
        <v>4.0999999999999996</v>
      </c>
      <c r="M14" s="476"/>
      <c r="N14" s="480">
        <f t="shared" si="12"/>
        <v>0</v>
      </c>
      <c r="O14" s="414">
        <f t="shared" si="1"/>
        <v>0</v>
      </c>
      <c r="P14" s="477">
        <f t="shared" si="13"/>
        <v>0</v>
      </c>
      <c r="Q14" s="477">
        <f t="shared" si="14"/>
        <v>0</v>
      </c>
      <c r="R14" s="477">
        <f t="shared" si="15"/>
        <v>0</v>
      </c>
      <c r="S14" s="478"/>
      <c r="T14" s="402">
        <v>3</v>
      </c>
      <c r="U14" s="480"/>
      <c r="V14" s="402">
        <v>3</v>
      </c>
      <c r="W14" s="1332"/>
      <c r="X14" s="22">
        <f t="shared" si="2"/>
        <v>0</v>
      </c>
      <c r="Y14" s="478"/>
      <c r="Z14" s="402">
        <v>5</v>
      </c>
      <c r="AA14" s="402"/>
      <c r="AB14" s="402">
        <v>5</v>
      </c>
      <c r="AC14" s="1332"/>
      <c r="AD14" s="22">
        <f t="shared" si="3"/>
        <v>0</v>
      </c>
      <c r="AE14" s="478"/>
      <c r="AF14" s="402">
        <v>5</v>
      </c>
      <c r="AG14" s="402"/>
      <c r="AH14" s="402">
        <v>5</v>
      </c>
      <c r="AI14" s="1295"/>
      <c r="AJ14" s="22">
        <f t="shared" si="4"/>
        <v>0</v>
      </c>
      <c r="AK14" s="478"/>
      <c r="AL14" s="402">
        <v>2</v>
      </c>
      <c r="AM14" s="402"/>
      <c r="AN14" s="402">
        <v>3</v>
      </c>
      <c r="AO14" s="1295"/>
      <c r="AP14" s="22">
        <f t="shared" si="5"/>
        <v>0.5</v>
      </c>
      <c r="AQ14" s="478"/>
      <c r="AR14" s="402">
        <v>5</v>
      </c>
      <c r="AS14" s="402"/>
      <c r="AT14" s="402">
        <v>5</v>
      </c>
      <c r="AU14" s="1295"/>
      <c r="AV14" s="22">
        <f t="shared" si="6"/>
        <v>0</v>
      </c>
      <c r="AW14" s="478"/>
      <c r="AX14" s="402">
        <v>5</v>
      </c>
      <c r="AY14" s="402"/>
      <c r="AZ14" s="402">
        <v>5</v>
      </c>
      <c r="BA14" s="1295"/>
      <c r="BB14" s="22">
        <f t="shared" si="7"/>
        <v>0</v>
      </c>
      <c r="BC14" s="478"/>
      <c r="BD14" s="402">
        <v>3</v>
      </c>
      <c r="BE14" s="402"/>
      <c r="BF14" s="402">
        <v>3</v>
      </c>
      <c r="BG14" s="1295"/>
      <c r="BH14" s="22">
        <f t="shared" si="8"/>
        <v>0</v>
      </c>
      <c r="BI14" s="478"/>
      <c r="BJ14" s="402">
        <v>4</v>
      </c>
      <c r="BK14" s="402"/>
      <c r="BL14" s="402">
        <v>5</v>
      </c>
      <c r="BM14" s="1295"/>
      <c r="BN14" s="22">
        <f t="shared" si="9"/>
        <v>0.25</v>
      </c>
      <c r="BO14" s="478"/>
      <c r="BP14" s="402">
        <v>3</v>
      </c>
      <c r="BQ14" s="402"/>
      <c r="BR14" s="402">
        <v>3</v>
      </c>
      <c r="BS14" s="1295"/>
      <c r="BT14" s="22">
        <f t="shared" si="10"/>
        <v>0</v>
      </c>
      <c r="BU14" s="478"/>
      <c r="BV14" s="402">
        <v>3</v>
      </c>
      <c r="BW14" s="402"/>
      <c r="BX14" s="402">
        <v>4</v>
      </c>
      <c r="BY14" s="1349"/>
      <c r="BZ14" s="1265">
        <f t="shared" si="11"/>
        <v>0.33333333333333326</v>
      </c>
    </row>
    <row r="15" spans="1:78" ht="18.75" customHeight="1">
      <c r="A15" s="480" t="s">
        <v>1230</v>
      </c>
      <c r="B15" s="480" t="s">
        <v>1231</v>
      </c>
      <c r="C15" s="1455">
        <v>5</v>
      </c>
      <c r="D15" s="471" t="s">
        <v>1229</v>
      </c>
      <c r="E15" s="472" t="s">
        <v>206</v>
      </c>
      <c r="F15" s="473"/>
      <c r="G15" s="474" t="s">
        <v>399</v>
      </c>
      <c r="H15" s="473" t="s">
        <v>232</v>
      </c>
      <c r="I15" s="475">
        <v>2</v>
      </c>
      <c r="J15" s="1380" t="s">
        <v>1232</v>
      </c>
      <c r="K15" s="476">
        <f>AVERAGE(BW15,BQ15,BK15,BE15,AY15,AS15,AM15,AG15,AA15,U15)</f>
        <v>2</v>
      </c>
      <c r="L15" s="1380" t="s">
        <v>1232</v>
      </c>
      <c r="M15" s="476">
        <f>AVERAGE(BY15,BS15,BM15,BG15,BA15,AU15,AO15,AI15,AC15,W15)</f>
        <v>2</v>
      </c>
      <c r="N15" s="480">
        <f t="shared" si="12"/>
        <v>0</v>
      </c>
      <c r="O15" s="414">
        <f t="shared" si="1"/>
        <v>0</v>
      </c>
      <c r="P15" s="477">
        <f t="shared" si="13"/>
        <v>0</v>
      </c>
      <c r="Q15" s="477">
        <f t="shared" si="14"/>
        <v>0</v>
      </c>
      <c r="R15" s="477">
        <f t="shared" si="15"/>
        <v>0</v>
      </c>
      <c r="S15" s="478"/>
      <c r="T15" s="360" t="s">
        <v>1232</v>
      </c>
      <c r="U15" s="380">
        <v>2</v>
      </c>
      <c r="V15" s="360" t="s">
        <v>1232</v>
      </c>
      <c r="W15" s="1332">
        <v>2</v>
      </c>
      <c r="X15" s="22">
        <f>IF((V15=T15)=TRUE,0,1)</f>
        <v>0</v>
      </c>
      <c r="Y15" s="478"/>
      <c r="Z15" s="360" t="s">
        <v>1232</v>
      </c>
      <c r="AA15" s="402">
        <v>2</v>
      </c>
      <c r="AB15" s="360" t="s">
        <v>1232</v>
      </c>
      <c r="AC15" s="1332">
        <v>2</v>
      </c>
      <c r="AD15" s="22">
        <f>IF((AB15=Z15)=TRUE,0,1)</f>
        <v>0</v>
      </c>
      <c r="AE15" s="478"/>
      <c r="AF15" s="360" t="s">
        <v>1232</v>
      </c>
      <c r="AG15" s="402">
        <v>2</v>
      </c>
      <c r="AH15" s="360" t="s">
        <v>1232</v>
      </c>
      <c r="AI15" s="1295">
        <v>2</v>
      </c>
      <c r="AJ15" s="22">
        <f>IF((AH15=AF15)=TRUE,0,1)</f>
        <v>0</v>
      </c>
      <c r="AK15" s="478"/>
      <c r="AL15" s="360" t="s">
        <v>1232</v>
      </c>
      <c r="AM15" s="402">
        <v>2</v>
      </c>
      <c r="AN15" s="360" t="s">
        <v>1232</v>
      </c>
      <c r="AO15" s="1295">
        <v>2</v>
      </c>
      <c r="AP15" s="22">
        <f>IF((AN15=AL15)=TRUE,0,1)</f>
        <v>0</v>
      </c>
      <c r="AQ15" s="478"/>
      <c r="AR15" s="360" t="s">
        <v>1232</v>
      </c>
      <c r="AS15" s="402">
        <v>2</v>
      </c>
      <c r="AT15" s="360" t="s">
        <v>1232</v>
      </c>
      <c r="AU15" s="1295">
        <v>2</v>
      </c>
      <c r="AV15" s="22">
        <f>IF((AT15=AR15)=TRUE,0,1)</f>
        <v>0</v>
      </c>
      <c r="AW15" s="478"/>
      <c r="AX15" s="360" t="s">
        <v>1232</v>
      </c>
      <c r="AY15" s="402">
        <v>2</v>
      </c>
      <c r="AZ15" s="360" t="s">
        <v>1232</v>
      </c>
      <c r="BA15" s="1295">
        <v>2</v>
      </c>
      <c r="BB15" s="22">
        <f>IF((AZ15=AX15)=TRUE,0,1)</f>
        <v>0</v>
      </c>
      <c r="BC15" s="478"/>
      <c r="BD15" s="360" t="s">
        <v>1232</v>
      </c>
      <c r="BE15" s="402">
        <v>2</v>
      </c>
      <c r="BF15" s="360" t="s">
        <v>1232</v>
      </c>
      <c r="BG15" s="1295">
        <v>2</v>
      </c>
      <c r="BH15" s="22">
        <f>IF((BF15=BD15)=TRUE,0,1)</f>
        <v>0</v>
      </c>
      <c r="BI15" s="478"/>
      <c r="BJ15" s="360" t="s">
        <v>1232</v>
      </c>
      <c r="BK15" s="402">
        <v>2</v>
      </c>
      <c r="BL15" s="360" t="s">
        <v>1232</v>
      </c>
      <c r="BM15" s="1295">
        <v>2</v>
      </c>
      <c r="BN15" s="22">
        <f>IF((BL15=BJ15)=TRUE,0,1)</f>
        <v>0</v>
      </c>
      <c r="BO15" s="478"/>
      <c r="BP15" s="360" t="s">
        <v>1232</v>
      </c>
      <c r="BQ15" s="402">
        <v>2</v>
      </c>
      <c r="BR15" s="360" t="s">
        <v>2190</v>
      </c>
      <c r="BS15" s="1295">
        <v>2</v>
      </c>
      <c r="BT15" s="22">
        <f>IF((BR15=BP15)=TRUE,0,1)</f>
        <v>0</v>
      </c>
      <c r="BU15" s="478"/>
      <c r="BV15" s="360" t="s">
        <v>1232</v>
      </c>
      <c r="BW15" s="402">
        <v>2</v>
      </c>
      <c r="BX15" s="360" t="s">
        <v>1232</v>
      </c>
      <c r="BY15" s="1332">
        <v>2</v>
      </c>
      <c r="BZ15" s="1265">
        <f>IF((BX15=BV15)=TRUE,0,1)</f>
        <v>0</v>
      </c>
    </row>
    <row r="16" spans="1:78" ht="14.25">
      <c r="A16" s="615" t="s">
        <v>1233</v>
      </c>
      <c r="B16" s="615" t="s">
        <v>1234</v>
      </c>
      <c r="C16" s="1455">
        <v>6</v>
      </c>
      <c r="D16" s="471" t="s">
        <v>117</v>
      </c>
      <c r="E16" s="472" t="s">
        <v>452</v>
      </c>
      <c r="F16" s="473"/>
      <c r="G16" s="474" t="s">
        <v>399</v>
      </c>
      <c r="H16" s="473" t="s">
        <v>232</v>
      </c>
      <c r="I16" s="475">
        <v>2</v>
      </c>
      <c r="J16" s="1380" t="s">
        <v>1235</v>
      </c>
      <c r="K16" s="476">
        <f>AVERAGE(BW16,BQ16,BK16,BE16,AY16,AS16,AM16,AG16,AA16,U16)</f>
        <v>2</v>
      </c>
      <c r="L16" s="1380" t="s">
        <v>1235</v>
      </c>
      <c r="M16" s="476">
        <f>AVERAGE(BY16,BS16,BM16,BG16,BA16,AU16,AO16,AI16,AC16,W16)</f>
        <v>2</v>
      </c>
      <c r="N16" s="480">
        <f t="shared" si="12"/>
        <v>0</v>
      </c>
      <c r="O16" s="414">
        <f t="shared" si="1"/>
        <v>0</v>
      </c>
      <c r="P16" s="477">
        <f t="shared" si="13"/>
        <v>0</v>
      </c>
      <c r="Q16" s="477">
        <f t="shared" si="14"/>
        <v>0</v>
      </c>
      <c r="R16" s="477">
        <f t="shared" si="15"/>
        <v>0</v>
      </c>
      <c r="S16" s="478"/>
      <c r="T16" s="360" t="s">
        <v>1235</v>
      </c>
      <c r="U16" s="380">
        <v>2</v>
      </c>
      <c r="V16" s="360" t="s">
        <v>1235</v>
      </c>
      <c r="W16" s="1332">
        <v>2</v>
      </c>
      <c r="X16" s="22">
        <f>IF((V16=T16)=TRUE,0,1)</f>
        <v>0</v>
      </c>
      <c r="Y16" s="478"/>
      <c r="Z16" s="360" t="s">
        <v>1235</v>
      </c>
      <c r="AA16" s="402">
        <v>2</v>
      </c>
      <c r="AB16" s="360" t="s">
        <v>1235</v>
      </c>
      <c r="AC16" s="1332">
        <v>2</v>
      </c>
      <c r="AD16" s="22">
        <f>IF((AB16=Z16)=TRUE,0,1)</f>
        <v>0</v>
      </c>
      <c r="AE16" s="478"/>
      <c r="AF16" s="360" t="s">
        <v>1235</v>
      </c>
      <c r="AG16" s="402">
        <v>2</v>
      </c>
      <c r="AH16" s="360" t="s">
        <v>1235</v>
      </c>
      <c r="AI16" s="1295">
        <v>2</v>
      </c>
      <c r="AJ16" s="22">
        <f>IF((AH16=AF16)=TRUE,0,1)</f>
        <v>0</v>
      </c>
      <c r="AK16" s="478"/>
      <c r="AL16" s="360" t="s">
        <v>1235</v>
      </c>
      <c r="AM16" s="402">
        <v>2</v>
      </c>
      <c r="AN16" s="360" t="s">
        <v>1235</v>
      </c>
      <c r="AO16" s="1295">
        <v>2</v>
      </c>
      <c r="AP16" s="22">
        <f>IF((AN16=AL16)=TRUE,0,1)</f>
        <v>0</v>
      </c>
      <c r="AQ16" s="478"/>
      <c r="AR16" s="360" t="s">
        <v>1235</v>
      </c>
      <c r="AS16" s="402">
        <v>2</v>
      </c>
      <c r="AT16" s="360" t="s">
        <v>1235</v>
      </c>
      <c r="AU16" s="1295">
        <v>2</v>
      </c>
      <c r="AV16" s="22">
        <f>IF((AT16=AR16)=TRUE,0,1)</f>
        <v>0</v>
      </c>
      <c r="AW16" s="478"/>
      <c r="AX16" s="360" t="s">
        <v>1235</v>
      </c>
      <c r="AY16" s="402">
        <v>2</v>
      </c>
      <c r="AZ16" s="360" t="s">
        <v>1235</v>
      </c>
      <c r="BA16" s="1295">
        <v>2</v>
      </c>
      <c r="BB16" s="22">
        <f>IF((AZ16=AX16)=TRUE,0,1)</f>
        <v>0</v>
      </c>
      <c r="BC16" s="478"/>
      <c r="BD16" s="360" t="s">
        <v>1235</v>
      </c>
      <c r="BE16" s="402">
        <v>2</v>
      </c>
      <c r="BF16" s="360" t="s">
        <v>1235</v>
      </c>
      <c r="BG16" s="1295">
        <v>2</v>
      </c>
      <c r="BH16" s="22">
        <f>IF((BF16=BD16)=TRUE,0,1)</f>
        <v>0</v>
      </c>
      <c r="BI16" s="478"/>
      <c r="BJ16" s="360" t="s">
        <v>1235</v>
      </c>
      <c r="BK16" s="402">
        <v>2</v>
      </c>
      <c r="BL16" s="360" t="s">
        <v>1235</v>
      </c>
      <c r="BM16" s="1295">
        <v>2</v>
      </c>
      <c r="BN16" s="22">
        <f>IF((BL16=BJ16)=TRUE,0,1)</f>
        <v>0</v>
      </c>
      <c r="BO16" s="478"/>
      <c r="BP16" s="360" t="s">
        <v>1235</v>
      </c>
      <c r="BQ16" s="402">
        <v>2</v>
      </c>
      <c r="BR16" s="360" t="s">
        <v>1235</v>
      </c>
      <c r="BS16" s="1295">
        <v>2</v>
      </c>
      <c r="BT16" s="22">
        <f>IF((BR16=BP16)=TRUE,0,1)</f>
        <v>0</v>
      </c>
      <c r="BU16" s="478"/>
      <c r="BV16" s="360" t="s">
        <v>1235</v>
      </c>
      <c r="BW16" s="402">
        <v>2</v>
      </c>
      <c r="BX16" s="360" t="s">
        <v>1235</v>
      </c>
      <c r="BY16" s="1332">
        <v>2</v>
      </c>
      <c r="BZ16" s="1265">
        <f>IF((BX16=BV16)=TRUE,0,1)</f>
        <v>0</v>
      </c>
    </row>
    <row r="17" spans="1:78" ht="19.5" customHeight="1">
      <c r="A17" s="1721" t="s">
        <v>1236</v>
      </c>
      <c r="B17" s="1720" t="s">
        <v>2141</v>
      </c>
      <c r="C17" s="1455">
        <v>7</v>
      </c>
      <c r="D17" s="471" t="s">
        <v>1856</v>
      </c>
      <c r="E17" s="472" t="s">
        <v>206</v>
      </c>
      <c r="F17" s="473"/>
      <c r="G17" s="474" t="s">
        <v>403</v>
      </c>
      <c r="H17" s="473" t="s">
        <v>232</v>
      </c>
      <c r="I17" s="1715">
        <v>4</v>
      </c>
      <c r="J17" s="476">
        <f>AVERAGE(BV17,BP17,BJ17,BD17,AX17,AR17,AL17,AF17,Z17,T17)</f>
        <v>0</v>
      </c>
      <c r="K17" s="1726">
        <f>AVERAGE(BW17,BQ17,BK17,BE17,AY17,AS17,AM17,AG17,AA17,U17)</f>
        <v>4</v>
      </c>
      <c r="L17" s="476">
        <f>AVERAGE(BX17,BR17,BL17,BF17,AZ17,AT17,AN17,AH17,AB17,V17)</f>
        <v>0</v>
      </c>
      <c r="M17" s="1726">
        <f>AVERAGE(BY17,BS17,BM17,BG17,BA17,AU17,AO17,AI17,AC17,W17)</f>
        <v>4</v>
      </c>
      <c r="N17" s="480">
        <f t="shared" si="12"/>
        <v>0</v>
      </c>
      <c r="O17" s="414">
        <f t="shared" si="1"/>
        <v>0</v>
      </c>
      <c r="P17" s="477">
        <f t="shared" si="13"/>
        <v>0</v>
      </c>
      <c r="Q17" s="477">
        <f t="shared" si="14"/>
        <v>0</v>
      </c>
      <c r="R17" s="477">
        <f t="shared" si="15"/>
        <v>0</v>
      </c>
      <c r="S17" s="478"/>
      <c r="T17" s="402">
        <v>0</v>
      </c>
      <c r="U17" s="1669">
        <f>IF(T18&lt;&gt;0,0,(IF(T17=0,4,(IF(T17&lt;=2,2,0)))))</f>
        <v>4</v>
      </c>
      <c r="V17" s="402">
        <v>0</v>
      </c>
      <c r="W17" s="1670">
        <f>IF(V18&lt;&gt;0,0,(IF(V17=0,4,(IF(V17&lt;=2,2,0)))))</f>
        <v>4</v>
      </c>
      <c r="X17" s="22">
        <f>IF(AND(T17=0,V17&lt;&gt;0),1,IF(AND(T17=0,V17=0),0,V17/T17-1))</f>
        <v>0</v>
      </c>
      <c r="Y17" s="478"/>
      <c r="Z17" s="402">
        <v>0</v>
      </c>
      <c r="AA17" s="1714">
        <v>4</v>
      </c>
      <c r="AB17" s="402">
        <v>0</v>
      </c>
      <c r="AC17" s="1670">
        <f>IF(AB18&lt;&gt;0,0,(IF(AB17=0,4,(IF(AB17&lt;=2,2,0)))))</f>
        <v>4</v>
      </c>
      <c r="AD17" s="22">
        <f>IF(AND(Z17=0,AB17&lt;&gt;0),1,IF(AND(Z17=0,AB17=0),0,AB17/Z17-1))</f>
        <v>0</v>
      </c>
      <c r="AE17" s="478"/>
      <c r="AF17" s="402">
        <v>0</v>
      </c>
      <c r="AG17" s="1714">
        <f>IF(AF18&lt;&gt;0,0,(IF(AF17=0,4,(IF(AF17&lt;=2,2,0)))))</f>
        <v>4</v>
      </c>
      <c r="AH17" s="402">
        <v>0</v>
      </c>
      <c r="AI17" s="1716">
        <f>IF(AH18&lt;&gt;0,0,(IF(AH17=0,4,(IF(AH17&lt;=2,2,0)))))</f>
        <v>4</v>
      </c>
      <c r="AJ17" s="22">
        <f>IF(AND(AF17=0,AH17&lt;&gt;0),1,IF(AND(AF17=0,AH17=0),0,AH17/AF17-1))</f>
        <v>0</v>
      </c>
      <c r="AK17" s="478"/>
      <c r="AL17" s="402">
        <v>0</v>
      </c>
      <c r="AM17" s="1714">
        <v>4</v>
      </c>
      <c r="AN17" s="402">
        <v>0</v>
      </c>
      <c r="AO17" s="1716">
        <f>IF(AN18&lt;&gt;0,0,(IF(AN17=0,4,(IF(AN17&lt;=2,2,0)))))</f>
        <v>4</v>
      </c>
      <c r="AP17" s="22">
        <f>IF(AND(AL17=0,AN17&lt;&gt;0),1,IF(AND(AL17=0,AN17=0),0,AN17/AL17-1))</f>
        <v>0</v>
      </c>
      <c r="AQ17" s="478"/>
      <c r="AR17" s="402">
        <v>0</v>
      </c>
      <c r="AS17" s="1714">
        <v>4</v>
      </c>
      <c r="AT17" s="402">
        <v>0</v>
      </c>
      <c r="AU17" s="1716">
        <f>IF(AT18&lt;&gt;0,0,(IF(AT17=0,4,(IF(AT17&lt;=2,2,0)))))</f>
        <v>4</v>
      </c>
      <c r="AV17" s="22">
        <f>IF(AND(AR17=0,AT17&lt;&gt;0),1,IF(AND(AR17=0,AT17=0),0,AT17/AR17-1))</f>
        <v>0</v>
      </c>
      <c r="AW17" s="478"/>
      <c r="AX17" s="402">
        <v>0</v>
      </c>
      <c r="AY17" s="1714">
        <v>4</v>
      </c>
      <c r="AZ17" s="402">
        <v>0</v>
      </c>
      <c r="BA17" s="1716">
        <f>IF(AZ18&lt;&gt;0,0,(IF(AZ17=0,4,(IF(AZ17&lt;=2,2,0)))))</f>
        <v>4</v>
      </c>
      <c r="BB17" s="22">
        <f>IF(AND(AX17=0,AZ17&lt;&gt;0),1,IF(AND(AX17=0,AZ17=0),0,AZ17/AX17-1))</f>
        <v>0</v>
      </c>
      <c r="BC17" s="478"/>
      <c r="BD17" s="402">
        <v>0</v>
      </c>
      <c r="BE17" s="1714">
        <v>4</v>
      </c>
      <c r="BF17" s="402">
        <v>0</v>
      </c>
      <c r="BG17" s="1716">
        <f>IF(BF18&lt;&gt;0,0,(IF(BF17=0,4,(IF(BF17&lt;=2,2,0)))))</f>
        <v>4</v>
      </c>
      <c r="BH17" s="22">
        <f>IF(AND(BD17=0,BF17&lt;&gt;0),1,IF(AND(BD17=0,BF17=0),0,BF17/BD17-1))</f>
        <v>0</v>
      </c>
      <c r="BI17" s="478"/>
      <c r="BJ17" s="402">
        <v>0</v>
      </c>
      <c r="BK17" s="1714">
        <v>4</v>
      </c>
      <c r="BL17" s="402">
        <v>0</v>
      </c>
      <c r="BM17" s="1716">
        <f>IF(BL18&lt;&gt;0,0,(IF(BL17=0,4,(IF(BL17&lt;=2,2,0)))))</f>
        <v>4</v>
      </c>
      <c r="BN17" s="22">
        <f>IF(AND(BJ17=0,BL17&lt;&gt;0),1,IF(AND(BJ17=0,BL17=0),0,BL17/BJ17-1))</f>
        <v>0</v>
      </c>
      <c r="BO17" s="478"/>
      <c r="BP17" s="402">
        <v>0</v>
      </c>
      <c r="BQ17" s="1714">
        <v>4</v>
      </c>
      <c r="BR17" s="402">
        <v>0</v>
      </c>
      <c r="BS17" s="1716">
        <f>IF(BR18&lt;&gt;0,0,(IF(BR17=0,4,(IF(BR17&lt;=2,2,0)))))</f>
        <v>4</v>
      </c>
      <c r="BT17" s="22">
        <f>IF(AND(BP17=0,BR17&lt;&gt;0),1,IF(AND(BP17=0,BR17=0),0,BR17/BP17-1))</f>
        <v>0</v>
      </c>
      <c r="BU17" s="478"/>
      <c r="BV17" s="402">
        <v>0</v>
      </c>
      <c r="BW17" s="1714">
        <v>4</v>
      </c>
      <c r="BX17" s="402">
        <v>0</v>
      </c>
      <c r="BY17" s="1670">
        <f>IF(BX18&lt;&gt;0,0,(IF(BX17=0,4,(IF(BX17&lt;=2,2,0)))))</f>
        <v>4</v>
      </c>
      <c r="BZ17" s="1265">
        <f>IF(AND(BV17=0,BX17&lt;&gt;0),1,IF(AND(BV17=0,BX17=0),0,BX17/BV17-1))</f>
        <v>0</v>
      </c>
    </row>
    <row r="18" spans="1:78" ht="14.25">
      <c r="A18" s="1677"/>
      <c r="B18" s="1725"/>
      <c r="C18" s="1455">
        <v>8</v>
      </c>
      <c r="D18" s="471" t="s">
        <v>1237</v>
      </c>
      <c r="E18" s="472" t="s">
        <v>206</v>
      </c>
      <c r="F18" s="473"/>
      <c r="G18" s="474" t="s">
        <v>403</v>
      </c>
      <c r="H18" s="473" t="s">
        <v>232</v>
      </c>
      <c r="I18" s="1715"/>
      <c r="J18" s="476">
        <f>AVERAGE(BV18,BP18,BJ18,BD18,AX18,AR18,AL18,AF18,Z18,T18)</f>
        <v>0</v>
      </c>
      <c r="K18" s="1728"/>
      <c r="L18" s="476">
        <f>AVERAGE(BX18,BR18,BL18,BF18,AZ18,AT18,AN18,AH18,AB18,V18)</f>
        <v>0</v>
      </c>
      <c r="M18" s="1728"/>
      <c r="N18" s="480">
        <f t="shared" si="12"/>
        <v>0</v>
      </c>
      <c r="O18" s="414">
        <f t="shared" si="1"/>
        <v>0</v>
      </c>
      <c r="P18" s="477">
        <f t="shared" si="13"/>
        <v>0</v>
      </c>
      <c r="Q18" s="477">
        <f t="shared" si="14"/>
        <v>0</v>
      </c>
      <c r="R18" s="477">
        <f t="shared" si="15"/>
        <v>0</v>
      </c>
      <c r="S18" s="478"/>
      <c r="T18" s="402">
        <v>0</v>
      </c>
      <c r="U18" s="1669"/>
      <c r="V18" s="402">
        <v>0</v>
      </c>
      <c r="W18" s="1670"/>
      <c r="X18" s="22">
        <f>IF(AND(T18=0,V18&lt;&gt;0),1,IF(AND(T18=0,V18=0),0,V18/T18-1))</f>
        <v>0</v>
      </c>
      <c r="Y18" s="478"/>
      <c r="Z18" s="402">
        <v>0</v>
      </c>
      <c r="AA18" s="1714"/>
      <c r="AB18" s="402">
        <v>0</v>
      </c>
      <c r="AC18" s="1670"/>
      <c r="AD18" s="22">
        <f>IF(AND(Z18=0,AB18&lt;&gt;0),1,IF(AND(Z18=0,AB18=0),0,AB18/Z18-1))</f>
        <v>0</v>
      </c>
      <c r="AE18" s="478"/>
      <c r="AF18" s="402">
        <v>0</v>
      </c>
      <c r="AG18" s="1714"/>
      <c r="AH18" s="402">
        <v>0</v>
      </c>
      <c r="AI18" s="1716"/>
      <c r="AJ18" s="22">
        <f>IF(AND(AF18=0,AH18&lt;&gt;0),1,IF(AND(AF18=0,AH18=0),0,AH18/AF18-1))</f>
        <v>0</v>
      </c>
      <c r="AK18" s="478"/>
      <c r="AL18" s="402">
        <v>0</v>
      </c>
      <c r="AM18" s="1714"/>
      <c r="AN18" s="402">
        <v>0</v>
      </c>
      <c r="AO18" s="1716"/>
      <c r="AP18" s="22">
        <f>IF(AND(AL18=0,AN18&lt;&gt;0),1,IF(AND(AL18=0,AN18=0),0,AN18/AL18-1))</f>
        <v>0</v>
      </c>
      <c r="AQ18" s="478"/>
      <c r="AR18" s="402">
        <v>0</v>
      </c>
      <c r="AS18" s="1714"/>
      <c r="AT18" s="402">
        <v>0</v>
      </c>
      <c r="AU18" s="1716"/>
      <c r="AV18" s="22">
        <f>IF(AND(AR18=0,AT18&lt;&gt;0),1,IF(AND(AR18=0,AT18=0),0,AT18/AR18-1))</f>
        <v>0</v>
      </c>
      <c r="AW18" s="478"/>
      <c r="AX18" s="402">
        <v>0</v>
      </c>
      <c r="AY18" s="1714"/>
      <c r="AZ18" s="402">
        <v>0</v>
      </c>
      <c r="BA18" s="1716"/>
      <c r="BB18" s="22">
        <f>IF(AND(AX18=0,AZ18&lt;&gt;0),1,IF(AND(AX18=0,AZ18=0),0,AZ18/AX18-1))</f>
        <v>0</v>
      </c>
      <c r="BC18" s="478"/>
      <c r="BD18" s="402">
        <v>0</v>
      </c>
      <c r="BE18" s="1714"/>
      <c r="BF18" s="402">
        <v>0</v>
      </c>
      <c r="BG18" s="1716"/>
      <c r="BH18" s="22">
        <f>IF(AND(BD18=0,BF18&lt;&gt;0),1,IF(AND(BD18=0,BF18=0),0,BF18/BD18-1))</f>
        <v>0</v>
      </c>
      <c r="BI18" s="478"/>
      <c r="BJ18" s="402">
        <v>0</v>
      </c>
      <c r="BK18" s="1714"/>
      <c r="BL18" s="402">
        <v>0</v>
      </c>
      <c r="BM18" s="1716"/>
      <c r="BN18" s="22">
        <f>IF(AND(BJ18=0,BL18&lt;&gt;0),1,IF(AND(BJ18=0,BL18=0),0,BL18/BJ18-1))</f>
        <v>0</v>
      </c>
      <c r="BO18" s="478"/>
      <c r="BP18" s="402">
        <v>0</v>
      </c>
      <c r="BQ18" s="1714"/>
      <c r="BR18" s="402">
        <v>0</v>
      </c>
      <c r="BS18" s="1716"/>
      <c r="BT18" s="22">
        <f>IF(AND(BP18=0,BR18&lt;&gt;0),1,IF(AND(BP18=0,BR18=0),0,BR18/BP18-1))</f>
        <v>0</v>
      </c>
      <c r="BU18" s="478"/>
      <c r="BV18" s="402">
        <v>0</v>
      </c>
      <c r="BW18" s="1714"/>
      <c r="BX18" s="402">
        <v>0</v>
      </c>
      <c r="BY18" s="1670"/>
      <c r="BZ18" s="1265">
        <f>IF(AND(BV18=0,BX18&lt;&gt;0),1,IF(AND(BV18=0,BX18=0),0,BX18/BV18-1))</f>
        <v>0</v>
      </c>
    </row>
    <row r="19" spans="1:78" ht="16.5" customHeight="1">
      <c r="A19" s="1677"/>
      <c r="B19" s="1725"/>
      <c r="C19" s="1455">
        <v>9</v>
      </c>
      <c r="D19" s="471" t="s">
        <v>2140</v>
      </c>
      <c r="E19" s="472" t="s">
        <v>206</v>
      </c>
      <c r="F19" s="473"/>
      <c r="G19" s="474" t="s">
        <v>403</v>
      </c>
      <c r="H19" s="473" t="s">
        <v>232</v>
      </c>
      <c r="I19" s="1715"/>
      <c r="J19" s="486" t="s">
        <v>1238</v>
      </c>
      <c r="K19" s="1727"/>
      <c r="L19" s="1418" t="s">
        <v>1238</v>
      </c>
      <c r="M19" s="1727"/>
      <c r="N19" s="480">
        <f t="shared" si="12"/>
        <v>0</v>
      </c>
      <c r="O19" s="414">
        <f t="shared" si="1"/>
        <v>0</v>
      </c>
      <c r="P19" s="477">
        <f t="shared" si="13"/>
        <v>0</v>
      </c>
      <c r="Q19" s="477">
        <f t="shared" si="14"/>
        <v>0</v>
      </c>
      <c r="R19" s="477">
        <f t="shared" si="15"/>
        <v>0</v>
      </c>
      <c r="S19" s="478"/>
      <c r="T19" s="360" t="s">
        <v>1238</v>
      </c>
      <c r="U19" s="1669"/>
      <c r="V19" s="938" t="s">
        <v>1470</v>
      </c>
      <c r="W19" s="1670"/>
      <c r="X19" s="22">
        <f>IF((V19=T19)=TRUE,0,1)</f>
        <v>0</v>
      </c>
      <c r="Y19" s="478"/>
      <c r="Z19" s="360" t="s">
        <v>1238</v>
      </c>
      <c r="AA19" s="1714"/>
      <c r="AB19" s="360" t="s">
        <v>1238</v>
      </c>
      <c r="AC19" s="1670"/>
      <c r="AD19" s="22">
        <f>IF((AB19=Z19)=TRUE,0,1)</f>
        <v>0</v>
      </c>
      <c r="AE19" s="478"/>
      <c r="AF19" s="360" t="s">
        <v>1238</v>
      </c>
      <c r="AG19" s="1714"/>
      <c r="AH19" s="360" t="s">
        <v>1238</v>
      </c>
      <c r="AI19" s="1716"/>
      <c r="AJ19" s="22">
        <f>IF((AH19=AF19)=TRUE,0,1)</f>
        <v>0</v>
      </c>
      <c r="AK19" s="478"/>
      <c r="AL19" s="360" t="s">
        <v>1238</v>
      </c>
      <c r="AM19" s="1714"/>
      <c r="AN19" s="360" t="s">
        <v>1238</v>
      </c>
      <c r="AO19" s="1716"/>
      <c r="AP19" s="22">
        <f>IF((AN19=AL19)=TRUE,0,1)</f>
        <v>0</v>
      </c>
      <c r="AQ19" s="478"/>
      <c r="AR19" s="360" t="s">
        <v>1238</v>
      </c>
      <c r="AS19" s="1714"/>
      <c r="AT19" s="360" t="s">
        <v>1470</v>
      </c>
      <c r="AU19" s="1716"/>
      <c r="AV19" s="22">
        <f>IF((AT19=AR19)=TRUE,0,1)</f>
        <v>0</v>
      </c>
      <c r="AW19" s="478"/>
      <c r="AX19" s="360" t="s">
        <v>1238</v>
      </c>
      <c r="AY19" s="1714"/>
      <c r="AZ19" s="360" t="s">
        <v>1238</v>
      </c>
      <c r="BA19" s="1716"/>
      <c r="BB19" s="22">
        <f>IF((AZ19=AX19)=TRUE,0,1)</f>
        <v>0</v>
      </c>
      <c r="BC19" s="478"/>
      <c r="BD19" s="360" t="s">
        <v>1238</v>
      </c>
      <c r="BE19" s="1714"/>
      <c r="BF19" s="360" t="s">
        <v>1238</v>
      </c>
      <c r="BG19" s="1716"/>
      <c r="BH19" s="22">
        <f>IF((BF19=BD19)=TRUE,0,1)</f>
        <v>0</v>
      </c>
      <c r="BI19" s="478"/>
      <c r="BJ19" s="360" t="s">
        <v>1238</v>
      </c>
      <c r="BK19" s="1714"/>
      <c r="BL19" s="360" t="s">
        <v>1238</v>
      </c>
      <c r="BM19" s="1716"/>
      <c r="BN19" s="22">
        <f>IF((BL19=BJ19)=TRUE,0,1)</f>
        <v>0</v>
      </c>
      <c r="BO19" s="478"/>
      <c r="BP19" s="360" t="s">
        <v>1238</v>
      </c>
      <c r="BQ19" s="1714"/>
      <c r="BR19" s="360" t="s">
        <v>2139</v>
      </c>
      <c r="BS19" s="1716"/>
      <c r="BT19" s="22">
        <f>IF((BR19=BP19)=TRUE,0,1)</f>
        <v>0</v>
      </c>
      <c r="BU19" s="478"/>
      <c r="BV19" s="360" t="s">
        <v>1238</v>
      </c>
      <c r="BW19" s="1714"/>
      <c r="BX19" s="360" t="s">
        <v>1238</v>
      </c>
      <c r="BY19" s="1670"/>
      <c r="BZ19" s="1265">
        <f>IF((BX19=BV19)=TRUE,0,1)</f>
        <v>0</v>
      </c>
    </row>
    <row r="20" spans="1:78" ht="19.5" customHeight="1">
      <c r="A20" s="1721" t="s">
        <v>1240</v>
      </c>
      <c r="B20" s="1721" t="s">
        <v>1241</v>
      </c>
      <c r="C20" s="1455">
        <v>10</v>
      </c>
      <c r="D20" s="471" t="s">
        <v>1239</v>
      </c>
      <c r="E20" s="472" t="s">
        <v>206</v>
      </c>
      <c r="F20" s="473"/>
      <c r="G20" s="474" t="s">
        <v>403</v>
      </c>
      <c r="H20" s="473" t="s">
        <v>232</v>
      </c>
      <c r="I20" s="1715">
        <v>6</v>
      </c>
      <c r="J20" s="476">
        <f>AVERAGE(BV20,BP20,BJ20,BD20,AX20,AR20,AL20,AF20,Z20,T20)</f>
        <v>0</v>
      </c>
      <c r="K20" s="1726">
        <f>AVERAGE(BW20,BQ20,BK20,BE20,AY20,AS20,AM20,AG20,AA20,U20)</f>
        <v>6</v>
      </c>
      <c r="L20" s="476">
        <f>AVERAGE(BX20,BR20,BL20,BF20,AZ20,AT20,AN20,AH20,AB20,V20)</f>
        <v>0</v>
      </c>
      <c r="M20" s="1726">
        <f>AVERAGE(BY20,BS20,BM20,BG20,BA20,AU20,AO20,AI20,AC20,W20)</f>
        <v>6</v>
      </c>
      <c r="N20" s="480">
        <f t="shared" si="12"/>
        <v>0</v>
      </c>
      <c r="O20" s="414">
        <f t="shared" si="1"/>
        <v>0</v>
      </c>
      <c r="P20" s="477">
        <f t="shared" si="13"/>
        <v>0</v>
      </c>
      <c r="Q20" s="477">
        <f t="shared" si="14"/>
        <v>0</v>
      </c>
      <c r="R20" s="477">
        <f t="shared" si="15"/>
        <v>0</v>
      </c>
      <c r="S20" s="478"/>
      <c r="T20" s="402">
        <v>0</v>
      </c>
      <c r="U20" s="1669">
        <f>6-T20*3-T21*0.5</f>
        <v>6</v>
      </c>
      <c r="V20" s="402">
        <v>0</v>
      </c>
      <c r="W20" s="1670">
        <f>6-V20*3-V21*0.5</f>
        <v>6</v>
      </c>
      <c r="X20" s="22">
        <f>IF(AND(T20=0,V20&lt;&gt;0),1,IF(AND(T20=0,V20=0),0,V20/T20-1))</f>
        <v>0</v>
      </c>
      <c r="Y20" s="478"/>
      <c r="Z20" s="402">
        <v>0</v>
      </c>
      <c r="AA20" s="1714">
        <f>6-Z20*3-Z21*0.5</f>
        <v>6</v>
      </c>
      <c r="AB20" s="402">
        <v>0</v>
      </c>
      <c r="AC20" s="1670">
        <f>6-AB20*3-AB21*0.5</f>
        <v>6</v>
      </c>
      <c r="AD20" s="22">
        <f>IF(AND(Z20=0,AB20&lt;&gt;0),1,IF(AND(Z20=0,AB20=0),0,AB20/Z20-1))</f>
        <v>0</v>
      </c>
      <c r="AE20" s="478"/>
      <c r="AF20" s="402">
        <v>0</v>
      </c>
      <c r="AG20" s="1714">
        <f>6-AF20*3-AF21*0.5</f>
        <v>6</v>
      </c>
      <c r="AH20" s="402">
        <v>0</v>
      </c>
      <c r="AI20" s="1716">
        <f>6-AH20*3-AH21*0.5</f>
        <v>6</v>
      </c>
      <c r="AJ20" s="22">
        <f>IF(AND(AF20=0,AH20&lt;&gt;0),1,IF(AND(AF20=0,AH20=0),0,AH20/AF20-1))</f>
        <v>0</v>
      </c>
      <c r="AK20" s="478"/>
      <c r="AL20" s="402">
        <v>0</v>
      </c>
      <c r="AM20" s="1714">
        <f>6-AL20*3-AL21*0.5</f>
        <v>6</v>
      </c>
      <c r="AN20" s="402">
        <v>0</v>
      </c>
      <c r="AO20" s="1716">
        <f>6-AN20*3-AN21*0.5</f>
        <v>6</v>
      </c>
      <c r="AP20" s="22">
        <f>IF(AND(AL20=0,AN20&lt;&gt;0),1,IF(AND(AL20=0,AN20=0),0,AN20/AL20-1))</f>
        <v>0</v>
      </c>
      <c r="AQ20" s="478"/>
      <c r="AR20" s="402">
        <v>0</v>
      </c>
      <c r="AS20" s="1714">
        <f>6-AR20*3-AR21*0.5</f>
        <v>6</v>
      </c>
      <c r="AT20" s="402">
        <v>0</v>
      </c>
      <c r="AU20" s="1716">
        <f>6-AT20*3-AT21*0.5</f>
        <v>6</v>
      </c>
      <c r="AV20" s="22">
        <f>IF(AND(AR20=0,AT20&lt;&gt;0),1,IF(AND(AR20=0,AT20=0),0,AT20/AR20-1))</f>
        <v>0</v>
      </c>
      <c r="AW20" s="478"/>
      <c r="AX20" s="402">
        <v>0</v>
      </c>
      <c r="AY20" s="1714">
        <f>6-AX20*3-AX21*0.5</f>
        <v>6</v>
      </c>
      <c r="AZ20" s="402">
        <v>0</v>
      </c>
      <c r="BA20" s="1716">
        <f>6-AZ20*3-AZ21*0.5</f>
        <v>6</v>
      </c>
      <c r="BB20" s="22">
        <f>IF(AND(AX20=0,AZ20&lt;&gt;0),1,IF(AND(AX20=0,AZ20=0),0,AZ20/AX20-1))</f>
        <v>0</v>
      </c>
      <c r="BC20" s="478"/>
      <c r="BD20" s="402">
        <v>0</v>
      </c>
      <c r="BE20" s="1714">
        <f>6-BD20*3-BD21*0.5</f>
        <v>6</v>
      </c>
      <c r="BF20" s="402">
        <v>0</v>
      </c>
      <c r="BG20" s="1716">
        <f>6-BF20*3-BF21*0.5</f>
        <v>6</v>
      </c>
      <c r="BH20" s="22">
        <f>IF(AND(BD20=0,BF20&lt;&gt;0),1,IF(AND(BD20=0,BF20=0),0,BF20/BD20-1))</f>
        <v>0</v>
      </c>
      <c r="BI20" s="478"/>
      <c r="BJ20" s="402">
        <v>0</v>
      </c>
      <c r="BK20" s="1714">
        <f>6-BJ20*3-BJ21*0.5</f>
        <v>6</v>
      </c>
      <c r="BL20" s="402">
        <v>0</v>
      </c>
      <c r="BM20" s="1716">
        <f>6-BL20*3-BL21*0.5</f>
        <v>6</v>
      </c>
      <c r="BN20" s="22">
        <f>IF(AND(BJ20=0,BL20&lt;&gt;0),1,IF(AND(BJ20=0,BL20=0),0,BL20/BJ20-1))</f>
        <v>0</v>
      </c>
      <c r="BO20" s="478"/>
      <c r="BP20" s="402">
        <v>0</v>
      </c>
      <c r="BQ20" s="1714">
        <f>6-BP20*3-BP21*0.5</f>
        <v>6</v>
      </c>
      <c r="BR20" s="402">
        <v>0</v>
      </c>
      <c r="BS20" s="1716">
        <f>6-BR20*3-BR21*0.5</f>
        <v>6</v>
      </c>
      <c r="BT20" s="22">
        <f>IF(AND(BP20=0,BR20&lt;&gt;0),1,IF(AND(BP20=0,BR20=0),0,BR20/BP20-1))</f>
        <v>0</v>
      </c>
      <c r="BU20" s="478"/>
      <c r="BV20" s="402">
        <v>0</v>
      </c>
      <c r="BW20" s="1714">
        <f>6-BV20*3-BV21*0.5</f>
        <v>6</v>
      </c>
      <c r="BX20" s="402">
        <v>0</v>
      </c>
      <c r="BY20" s="1670">
        <f>6-BX20*3-BX21*0.5</f>
        <v>6</v>
      </c>
      <c r="BZ20" s="1265">
        <f>IF(AND(BV20=0,BX20&lt;&gt;0),1,IF(AND(BV20=0,BX20=0),0,BX20/BV20-1))</f>
        <v>0</v>
      </c>
    </row>
    <row r="21" spans="1:78" ht="15" customHeight="1">
      <c r="A21" s="1721"/>
      <c r="B21" s="1721"/>
      <c r="C21" s="1455">
        <v>11</v>
      </c>
      <c r="D21" s="471" t="s">
        <v>1242</v>
      </c>
      <c r="E21" s="472" t="s">
        <v>206</v>
      </c>
      <c r="F21" s="473"/>
      <c r="G21" s="474" t="s">
        <v>403</v>
      </c>
      <c r="H21" s="473" t="s">
        <v>232</v>
      </c>
      <c r="I21" s="1715"/>
      <c r="J21" s="476">
        <f>AVERAGE(BV21,BP21,BJ21,BD21,AX21,AR21,AL21,AF21,Z21,T21)</f>
        <v>0</v>
      </c>
      <c r="K21" s="1727"/>
      <c r="L21" s="476">
        <f>AVERAGE(BX21,BR21,BL21,BF21,AZ21,AT21,AN21,AH21,AB21,V21)</f>
        <v>0</v>
      </c>
      <c r="M21" s="1727"/>
      <c r="N21" s="480">
        <f t="shared" si="12"/>
        <v>0</v>
      </c>
      <c r="O21" s="414">
        <f t="shared" si="1"/>
        <v>0</v>
      </c>
      <c r="P21" s="477">
        <f t="shared" si="13"/>
        <v>0</v>
      </c>
      <c r="Q21" s="477">
        <f t="shared" si="14"/>
        <v>0</v>
      </c>
      <c r="R21" s="477">
        <f t="shared" si="15"/>
        <v>0</v>
      </c>
      <c r="S21" s="478"/>
      <c r="T21" s="402">
        <v>0</v>
      </c>
      <c r="U21" s="1669"/>
      <c r="V21" s="402">
        <v>0</v>
      </c>
      <c r="W21" s="1670"/>
      <c r="X21" s="22">
        <f>IF(AND(T21=0,V21&lt;&gt;0),1,IF(AND(T21=0,V21=0),0,V21/T21-1))</f>
        <v>0</v>
      </c>
      <c r="Y21" s="478"/>
      <c r="Z21" s="402">
        <v>0</v>
      </c>
      <c r="AA21" s="1714"/>
      <c r="AB21" s="402">
        <v>0</v>
      </c>
      <c r="AC21" s="1670"/>
      <c r="AD21" s="22">
        <f>IF(AND(Z21=0,AB21&lt;&gt;0),1,IF(AND(Z21=0,AB21=0),0,AB21/Z21-1))</f>
        <v>0</v>
      </c>
      <c r="AE21" s="478"/>
      <c r="AF21" s="402">
        <v>0</v>
      </c>
      <c r="AG21" s="1714"/>
      <c r="AH21" s="402">
        <v>0</v>
      </c>
      <c r="AI21" s="1716"/>
      <c r="AJ21" s="22">
        <f>IF(AND(AF21=0,AH21&lt;&gt;0),1,IF(AND(AF21=0,AH21=0),0,AH21/AF21-1))</f>
        <v>0</v>
      </c>
      <c r="AK21" s="478"/>
      <c r="AL21" s="402">
        <v>0</v>
      </c>
      <c r="AM21" s="1714"/>
      <c r="AN21" s="402">
        <v>0</v>
      </c>
      <c r="AO21" s="1716"/>
      <c r="AP21" s="22">
        <f>IF(AND(AL21=0,AN21&lt;&gt;0),1,IF(AND(AL21=0,AN21=0),0,AN21/AL21-1))</f>
        <v>0</v>
      </c>
      <c r="AQ21" s="478"/>
      <c r="AR21" s="402">
        <v>0</v>
      </c>
      <c r="AS21" s="1714"/>
      <c r="AT21" s="402">
        <v>0</v>
      </c>
      <c r="AU21" s="1716"/>
      <c r="AV21" s="22">
        <f>IF(AND(AR21=0,AT21&lt;&gt;0),1,IF(AND(AR21=0,AT21=0),0,AT21/AR21-1))</f>
        <v>0</v>
      </c>
      <c r="AW21" s="478"/>
      <c r="AX21" s="402">
        <v>0</v>
      </c>
      <c r="AY21" s="1714"/>
      <c r="AZ21" s="402">
        <v>0</v>
      </c>
      <c r="BA21" s="1716"/>
      <c r="BB21" s="22">
        <f>IF(AND(AX21=0,AZ21&lt;&gt;0),1,IF(AND(AX21=0,AZ21=0),0,AZ21/AX21-1))</f>
        <v>0</v>
      </c>
      <c r="BC21" s="478"/>
      <c r="BD21" s="402">
        <v>0</v>
      </c>
      <c r="BE21" s="1714"/>
      <c r="BF21" s="402">
        <v>0</v>
      </c>
      <c r="BG21" s="1716"/>
      <c r="BH21" s="22">
        <f>IF(AND(BD21=0,BF21&lt;&gt;0),1,IF(AND(BD21=0,BF21=0),0,BF21/BD21-1))</f>
        <v>0</v>
      </c>
      <c r="BI21" s="478"/>
      <c r="BJ21" s="402">
        <v>0</v>
      </c>
      <c r="BK21" s="1714"/>
      <c r="BL21" s="402">
        <v>0</v>
      </c>
      <c r="BM21" s="1716"/>
      <c r="BN21" s="22">
        <f>IF(AND(BJ21=0,BL21&lt;&gt;0),1,IF(AND(BJ21=0,BL21=0),0,BL21/BJ21-1))</f>
        <v>0</v>
      </c>
      <c r="BO21" s="478"/>
      <c r="BP21" s="402">
        <v>0</v>
      </c>
      <c r="BQ21" s="1714"/>
      <c r="BR21" s="402">
        <v>0</v>
      </c>
      <c r="BS21" s="1716"/>
      <c r="BT21" s="22">
        <f>IF(AND(BP21=0,BR21&lt;&gt;0),1,IF(AND(BP21=0,BR21=0),0,BR21/BP21-1))</f>
        <v>0</v>
      </c>
      <c r="BU21" s="478"/>
      <c r="BV21" s="402">
        <v>0</v>
      </c>
      <c r="BW21" s="1714"/>
      <c r="BX21" s="402">
        <v>0</v>
      </c>
      <c r="BY21" s="1670"/>
      <c r="BZ21" s="1265">
        <f>IF(AND(BV21=0,BX21&lt;&gt;0),1,IF(AND(BV21=0,BX21=0),0,BX21/BV21-1))</f>
        <v>0</v>
      </c>
    </row>
    <row r="22" spans="1:78" ht="14.25">
      <c r="A22" s="480" t="s">
        <v>1243</v>
      </c>
      <c r="B22" s="480" t="s">
        <v>1244</v>
      </c>
      <c r="C22" s="1455">
        <v>12</v>
      </c>
      <c r="D22" s="1421" t="s">
        <v>1700</v>
      </c>
      <c r="E22" s="472" t="s">
        <v>206</v>
      </c>
      <c r="F22" s="473"/>
      <c r="G22" s="474" t="s">
        <v>399</v>
      </c>
      <c r="H22" s="473" t="s">
        <v>232</v>
      </c>
      <c r="I22" s="475">
        <v>1</v>
      </c>
      <c r="J22" s="1380" t="s">
        <v>1245</v>
      </c>
      <c r="K22" s="479">
        <f>AVERAGE(BW22,BQ22,BK22,BE22,AY22,AS22,AM22,AG22,AA22,U22)</f>
        <v>0.9</v>
      </c>
      <c r="L22" s="476" t="s">
        <v>1245</v>
      </c>
      <c r="M22" s="479">
        <f>AVERAGE(BY22,BS22,BM22,BG22,BA22,AU22,AO22,AI22,AC22,W22)</f>
        <v>0.9</v>
      </c>
      <c r="N22" s="467">
        <f t="shared" si="12"/>
        <v>0</v>
      </c>
      <c r="O22" s="414">
        <f t="shared" si="1"/>
        <v>9.9999999999999978E-2</v>
      </c>
      <c r="P22" s="477">
        <f t="shared" si="13"/>
        <v>3.9999999999999994E-2</v>
      </c>
      <c r="Q22" s="477">
        <f t="shared" si="14"/>
        <v>4.4444444444444436E-3</v>
      </c>
      <c r="R22" s="477">
        <f t="shared" si="15"/>
        <v>2.2222222222222218E-3</v>
      </c>
      <c r="S22" s="478"/>
      <c r="T22" s="360" t="s">
        <v>1245</v>
      </c>
      <c r="U22" s="380">
        <f>IF(LEFT(T22,1)="1",1,0)</f>
        <v>1</v>
      </c>
      <c r="V22" s="360" t="s">
        <v>1245</v>
      </c>
      <c r="W22" s="1332">
        <f>IF(LEFT(V22)="1",1,0)</f>
        <v>1</v>
      </c>
      <c r="X22" s="22">
        <f>IF((V22=T22)=TRUE,0,1)</f>
        <v>0</v>
      </c>
      <c r="Y22" s="478"/>
      <c r="Z22" s="360" t="s">
        <v>1245</v>
      </c>
      <c r="AA22" s="402">
        <f>IF(LEFT(Z22,1)="1",1,0)</f>
        <v>1</v>
      </c>
      <c r="AB22" s="360" t="s">
        <v>1245</v>
      </c>
      <c r="AC22" s="1332">
        <f>IF(LEFT(AB22)="1",1,0)</f>
        <v>1</v>
      </c>
      <c r="AD22" s="22">
        <f>IF((AB22=Z22)=TRUE,0,1)</f>
        <v>0</v>
      </c>
      <c r="AE22" s="478"/>
      <c r="AF22" s="360" t="s">
        <v>1245</v>
      </c>
      <c r="AG22" s="402">
        <f>IF(LEFT(AF22,1)="1",1,0)</f>
        <v>1</v>
      </c>
      <c r="AH22" s="360" t="s">
        <v>1245</v>
      </c>
      <c r="AI22" s="1295">
        <f>IF(LEFT(AH22)="1",1,0)</f>
        <v>1</v>
      </c>
      <c r="AJ22" s="22">
        <f>IF((AH22=AF22)=TRUE,0,1)</f>
        <v>0</v>
      </c>
      <c r="AK22" s="478"/>
      <c r="AL22" s="360" t="s">
        <v>1245</v>
      </c>
      <c r="AM22" s="402">
        <f>IF(LEFT(AL22,1)="1",1,0)</f>
        <v>1</v>
      </c>
      <c r="AN22" s="360" t="s">
        <v>1245</v>
      </c>
      <c r="AO22" s="1295">
        <f>IF(LEFT(AN22)="1",1,0)</f>
        <v>1</v>
      </c>
      <c r="AP22" s="22">
        <f>IF((AN22=AL22)=TRUE,0,1)</f>
        <v>0</v>
      </c>
      <c r="AQ22" s="478"/>
      <c r="AR22" s="360" t="s">
        <v>1246</v>
      </c>
      <c r="AS22" s="402">
        <f>IF(LEFT(AR22,1)="1",1,0)</f>
        <v>0</v>
      </c>
      <c r="AT22" s="360" t="s">
        <v>1246</v>
      </c>
      <c r="AU22" s="1295">
        <f>IF(LEFT(AT22)="1",1,0)</f>
        <v>0</v>
      </c>
      <c r="AV22" s="22">
        <f>IF((AT22=AR22)=TRUE,0,1)</f>
        <v>0</v>
      </c>
      <c r="AW22" s="478"/>
      <c r="AX22" s="360" t="s">
        <v>1245</v>
      </c>
      <c r="AY22" s="402">
        <f>IF(LEFT(AX22,1)="1",1,0)</f>
        <v>1</v>
      </c>
      <c r="AZ22" s="360" t="s">
        <v>1245</v>
      </c>
      <c r="BA22" s="1295">
        <f>IF(LEFT(AZ22)="1",1,0)</f>
        <v>1</v>
      </c>
      <c r="BB22" s="22">
        <f>IF((AZ22=AX22)=TRUE,0,1)</f>
        <v>0</v>
      </c>
      <c r="BC22" s="478"/>
      <c r="BD22" s="360" t="s">
        <v>1245</v>
      </c>
      <c r="BE22" s="402">
        <f>IF(LEFT(BD22,1)="1",1,0)</f>
        <v>1</v>
      </c>
      <c r="BF22" s="360" t="s">
        <v>1245</v>
      </c>
      <c r="BG22" s="1295">
        <f>IF(LEFT(BF22)="1",1,0)</f>
        <v>1</v>
      </c>
      <c r="BH22" s="22">
        <f>IF((BF22=BD22)=TRUE,0,1)</f>
        <v>0</v>
      </c>
      <c r="BI22" s="478"/>
      <c r="BJ22" s="360" t="s">
        <v>1245</v>
      </c>
      <c r="BK22" s="402">
        <f>IF(LEFT(BJ22,1)="1",1,0)</f>
        <v>1</v>
      </c>
      <c r="BL22" s="360" t="s">
        <v>1245</v>
      </c>
      <c r="BM22" s="1295">
        <f>IF(LEFT(BL22)="1",1,0)</f>
        <v>1</v>
      </c>
      <c r="BN22" s="22">
        <f>IF((BL22=BJ22)=TRUE,0,1)</f>
        <v>0</v>
      </c>
      <c r="BO22" s="478"/>
      <c r="BP22" s="360" t="s">
        <v>1245</v>
      </c>
      <c r="BQ22" s="402">
        <f>IF(LEFT(BP22,1)="1",1,0)</f>
        <v>1</v>
      </c>
      <c r="BR22" s="360" t="s">
        <v>1245</v>
      </c>
      <c r="BS22" s="1295">
        <f>IF(LEFT(BR22)="1",1,0)</f>
        <v>1</v>
      </c>
      <c r="BT22" s="22">
        <f>IF((BR22=BP22)=TRUE,0,1)</f>
        <v>0</v>
      </c>
      <c r="BU22" s="478"/>
      <c r="BV22" s="360" t="s">
        <v>1245</v>
      </c>
      <c r="BW22" s="402">
        <f>IF(LEFT(BV22,1)="1",1,0)</f>
        <v>1</v>
      </c>
      <c r="BX22" s="360" t="s">
        <v>1245</v>
      </c>
      <c r="BY22" s="1332">
        <f>IF(LEFT(BX22)="1",1,0)</f>
        <v>1</v>
      </c>
      <c r="BZ22" s="1265">
        <f>IF((BX22=BV22)=TRUE,0,1)</f>
        <v>0</v>
      </c>
    </row>
    <row r="23" spans="1:78" ht="14.25">
      <c r="A23" s="1677" t="s">
        <v>1248</v>
      </c>
      <c r="B23" s="1725" t="s">
        <v>1249</v>
      </c>
      <c r="C23" s="1455">
        <v>13</v>
      </c>
      <c r="D23" s="471" t="s">
        <v>1247</v>
      </c>
      <c r="E23" s="413"/>
      <c r="F23" s="473"/>
      <c r="G23" s="474" t="s">
        <v>408</v>
      </c>
      <c r="H23" s="473" t="s">
        <v>232</v>
      </c>
      <c r="I23" s="475">
        <v>3</v>
      </c>
      <c r="J23" s="1422">
        <f t="shared" ref="J23:J36" si="18">AVERAGE(BV23,BP23,BJ23,BD23,AX23,AR23,AL23,AF23,Z23,T23)</f>
        <v>1</v>
      </c>
      <c r="K23" s="476">
        <f>AVERAGE(BW23,BQ23,BK23,BE23,AY23,AS23,AM23,AG23,AA23,U23)</f>
        <v>3</v>
      </c>
      <c r="L23" s="1422">
        <f t="shared" ref="L23:L36" si="19">AVERAGE(BX23,BR23,BL23,BF23,AZ23,AT23,AN23,AH23,AB23,V23)</f>
        <v>1</v>
      </c>
      <c r="M23" s="476">
        <f>AVERAGE(BY23,BS23,BM23,BG23,BA23,AU23,AO23,AI23,AC23,W23)</f>
        <v>3</v>
      </c>
      <c r="N23" s="480">
        <f t="shared" si="12"/>
        <v>0</v>
      </c>
      <c r="O23" s="414">
        <f t="shared" si="1"/>
        <v>0</v>
      </c>
      <c r="P23" s="477">
        <f t="shared" si="13"/>
        <v>0</v>
      </c>
      <c r="Q23" s="477">
        <f t="shared" si="14"/>
        <v>0</v>
      </c>
      <c r="R23" s="477">
        <f t="shared" si="15"/>
        <v>0</v>
      </c>
      <c r="S23" s="478"/>
      <c r="T23" s="22">
        <v>1</v>
      </c>
      <c r="U23" s="380">
        <f>IF(T23&gt;=0.95,3,IF(T23&gt;=0.9,1,0))</f>
        <v>3</v>
      </c>
      <c r="V23" s="22">
        <f>IF(SUM(V25:V27)=0,"",V24/SUM(V25:V27))</f>
        <v>1</v>
      </c>
      <c r="W23" s="1332">
        <f>IF(V23&gt;=0.95,3,IF(V23&gt;=0.9,1,0))</f>
        <v>3</v>
      </c>
      <c r="X23" s="22">
        <f t="shared" ref="X23:X35" si="20">IF(AND(T23=0,V23&lt;&gt;0),1,IF(AND(T23=0,V23=0),0,V23/T23-1))</f>
        <v>0</v>
      </c>
      <c r="Y23" s="478"/>
      <c r="Z23" s="22">
        <v>1</v>
      </c>
      <c r="AA23" s="402">
        <f>IF(Z23&gt;=0.95,3,IF(Z23&gt;=0.9,1,0))</f>
        <v>3</v>
      </c>
      <c r="AB23" s="22">
        <f>IF(SUM(AB25:AB27)=0,"",AB24/SUM(AB25:AB27))</f>
        <v>1</v>
      </c>
      <c r="AC23" s="1332">
        <f>IF(AB23&gt;=0.95,3,IF(AB23&gt;=0.9,1,0))</f>
        <v>3</v>
      </c>
      <c r="AD23" s="22">
        <f t="shared" ref="AD23:AD36" si="21">IF(AND(Z23=0,AB23&lt;&gt;0),1,IF(AND(Z23=0,AB23=0),0,AB23/Z23-1))</f>
        <v>0</v>
      </c>
      <c r="AE23" s="478"/>
      <c r="AF23" s="22">
        <v>1</v>
      </c>
      <c r="AG23" s="402">
        <f>IF(AF23&gt;=0.95,3,IF(AF23&gt;=0.9,1,0))</f>
        <v>3</v>
      </c>
      <c r="AH23" s="22">
        <f>IF(SUM(AH25:AH27)=0,"",AH24/SUM(AH25:AH27))</f>
        <v>1</v>
      </c>
      <c r="AI23" s="1295">
        <f>IF(AH23&gt;=0.95,3,IF(AH23&gt;=0.9,1,0))</f>
        <v>3</v>
      </c>
      <c r="AJ23" s="22">
        <f t="shared" ref="AJ23:AJ36" si="22">IF(AND(AF23=0,AH23&lt;&gt;0),1,IF(AND(AF23=0,AH23=0),0,AH23/AF23-1))</f>
        <v>0</v>
      </c>
      <c r="AK23" s="478"/>
      <c r="AL23" s="22">
        <v>1</v>
      </c>
      <c r="AM23" s="402">
        <f>IF(AL23&gt;=0.95,3,IF(AL23&gt;=0.9,1,0))</f>
        <v>3</v>
      </c>
      <c r="AN23" s="22">
        <f>IF(SUM(AN25:AN27)=0,"",AN24/SUM(AN25:AN27))</f>
        <v>1</v>
      </c>
      <c r="AO23" s="1295">
        <f>IF(AN23&gt;=0.95,3,IF(AN23&gt;=0.9,1,0))</f>
        <v>3</v>
      </c>
      <c r="AP23" s="22">
        <f t="shared" ref="AP23:AP36" si="23">IF(AND(AL23=0,AN23&lt;&gt;0),1,IF(AND(AL23=0,AN23=0),0,AN23/AL23-1))</f>
        <v>0</v>
      </c>
      <c r="AQ23" s="478"/>
      <c r="AR23" s="22">
        <v>1</v>
      </c>
      <c r="AS23" s="402">
        <f>IF(AR23&gt;=0.95,3,IF(AR23&gt;=0.9,1,0))</f>
        <v>3</v>
      </c>
      <c r="AT23" s="22">
        <f>IF(SUM(AT25:AT27)=0,"",AT24/SUM(AT25:AT27))</f>
        <v>1</v>
      </c>
      <c r="AU23" s="1295">
        <f>IF(AT23&gt;=0.95,3,IF(AT23&gt;=0.9,1,0))</f>
        <v>3</v>
      </c>
      <c r="AV23" s="22">
        <f t="shared" ref="AV23:AV36" si="24">IF(AND(AR23=0,AT23&lt;&gt;0),1,IF(AND(AR23=0,AT23=0),0,AT23/AR23-1))</f>
        <v>0</v>
      </c>
      <c r="AW23" s="478"/>
      <c r="AX23" s="22">
        <v>1</v>
      </c>
      <c r="AY23" s="402">
        <f>IF(AX23&gt;=0.95,3,IF(AX23&gt;=0.9,1,0))</f>
        <v>3</v>
      </c>
      <c r="AZ23" s="22">
        <f>IF(SUM(AZ25:AZ27)=0,"",AZ24/SUM(AZ25:AZ27))</f>
        <v>1</v>
      </c>
      <c r="BA23" s="1295">
        <f>IF(AZ23&gt;=0.95,3,IF(AZ23&gt;=0.9,1,0))</f>
        <v>3</v>
      </c>
      <c r="BB23" s="22">
        <f t="shared" ref="BB23:BB36" si="25">IF(AND(AX23=0,AZ23&lt;&gt;0),1,IF(AND(AX23=0,AZ23=0),0,AZ23/AX23-1))</f>
        <v>0</v>
      </c>
      <c r="BC23" s="478"/>
      <c r="BD23" s="22">
        <v>1</v>
      </c>
      <c r="BE23" s="402">
        <f>IF(BD23&gt;=0.95,3,IF(BD23&gt;=0.9,1,0))</f>
        <v>3</v>
      </c>
      <c r="BF23" s="22">
        <f>IF(SUM(BF25:BF27)=0,"",BF24/SUM(BF25:BF27))</f>
        <v>1</v>
      </c>
      <c r="BG23" s="1295">
        <f>IF(BF23&gt;=0.95,3,IF(BF23&gt;=0.9,1,0))</f>
        <v>3</v>
      </c>
      <c r="BH23" s="22">
        <f t="shared" ref="BH23:BH36" si="26">IF(AND(BD23=0,BF23&lt;&gt;0),1,IF(AND(BD23=0,BF23=0),0,BF23/BD23-1))</f>
        <v>0</v>
      </c>
      <c r="BI23" s="478"/>
      <c r="BJ23" s="22">
        <v>1</v>
      </c>
      <c r="BK23" s="402">
        <f>IF(BJ23&gt;=0.95,3,IF(BJ23&gt;=0.9,1,0))</f>
        <v>3</v>
      </c>
      <c r="BL23" s="22">
        <f>IF(SUM(BL25:BL27)=0,"",BL24/SUM(BL25:BL27))</f>
        <v>1</v>
      </c>
      <c r="BM23" s="1295">
        <f>IF(BL23&gt;=0.95,3,IF(BL23&gt;=0.9,1,0))</f>
        <v>3</v>
      </c>
      <c r="BN23" s="22">
        <f t="shared" ref="BN23:BN36" si="27">IF(AND(BJ23=0,BL23&lt;&gt;0),1,IF(AND(BJ23=0,BL23=0),0,BL23/BJ23-1))</f>
        <v>0</v>
      </c>
      <c r="BO23" s="478"/>
      <c r="BP23" s="22">
        <v>1</v>
      </c>
      <c r="BQ23" s="402">
        <f>IF(BP23&gt;=0.95,3,IF(BP23&gt;=0.9,1,0))</f>
        <v>3</v>
      </c>
      <c r="BR23" s="22">
        <f>IF(SUM(BR25:BR27)=0,"",BR24/SUM(BR25:BR27))</f>
        <v>1</v>
      </c>
      <c r="BS23" s="1295">
        <f>IF(BR23&gt;=0.95,3,IF(BR23&gt;=0.9,1,0))</f>
        <v>3</v>
      </c>
      <c r="BT23" s="22">
        <f t="shared" ref="BT23:BT36" si="28">IF(AND(BP23=0,BR23&lt;&gt;0),1,IF(AND(BP23=0,BR23=0),0,BR23/BP23-1))</f>
        <v>0</v>
      </c>
      <c r="BU23" s="478"/>
      <c r="BV23" s="22">
        <v>1</v>
      </c>
      <c r="BW23" s="402">
        <f>IF(BV23&gt;=0.95,3,IF(BV23&gt;=0.9,1,0))</f>
        <v>3</v>
      </c>
      <c r="BX23" s="22">
        <f>IF(SUM(BX25:BX27)=0,"",BX24/SUM(BX25:BX27))</f>
        <v>1</v>
      </c>
      <c r="BY23" s="1332">
        <f>IF(BX23&gt;=0.95,3,IF(BX23&gt;=0.9,1,0))</f>
        <v>3</v>
      </c>
      <c r="BZ23" s="1265">
        <f t="shared" ref="BZ23:BZ36" si="29">IF(AND(BV23=0,BX23&lt;&gt;0),1,IF(AND(BV23=0,BX23=0),0,BX23/BV23-1))</f>
        <v>0</v>
      </c>
    </row>
    <row r="24" spans="1:78" ht="14.25">
      <c r="A24" s="1677"/>
      <c r="B24" s="1725"/>
      <c r="C24" s="1464">
        <v>13.1</v>
      </c>
      <c r="D24" s="1464" t="s">
        <v>2146</v>
      </c>
      <c r="E24" s="472" t="s">
        <v>206</v>
      </c>
      <c r="F24" s="473"/>
      <c r="G24" s="474"/>
      <c r="H24" s="473"/>
      <c r="I24" s="487"/>
      <c r="J24" s="476">
        <f t="shared" si="18"/>
        <v>106446040.586</v>
      </c>
      <c r="K24" s="476"/>
      <c r="L24" s="476">
        <f t="shared" si="19"/>
        <v>86299874.187999994</v>
      </c>
      <c r="M24" s="476"/>
      <c r="N24" s="480">
        <f t="shared" si="12"/>
        <v>0</v>
      </c>
      <c r="O24" s="414">
        <f t="shared" si="1"/>
        <v>0</v>
      </c>
      <c r="P24" s="477">
        <f t="shared" si="13"/>
        <v>0</v>
      </c>
      <c r="Q24" s="477">
        <f t="shared" si="14"/>
        <v>0</v>
      </c>
      <c r="R24" s="477">
        <f t="shared" si="15"/>
        <v>0</v>
      </c>
      <c r="S24" s="478"/>
      <c r="T24" s="402">
        <v>66998697.420000002</v>
      </c>
      <c r="U24" s="407"/>
      <c r="V24" s="402">
        <v>53807081.710000001</v>
      </c>
      <c r="W24" s="1341"/>
      <c r="X24" s="22">
        <f t="shared" si="20"/>
        <v>-0.19689361462215726</v>
      </c>
      <c r="Y24" s="478"/>
      <c r="Z24" s="402">
        <v>228035027.16999999</v>
      </c>
      <c r="AA24" s="488"/>
      <c r="AB24" s="402">
        <v>230962883.17000002</v>
      </c>
      <c r="AC24" s="1341"/>
      <c r="AD24" s="22">
        <f t="shared" si="21"/>
        <v>1.2839501178112167E-2</v>
      </c>
      <c r="AE24" s="478"/>
      <c r="AF24" s="402">
        <v>165652434.89000002</v>
      </c>
      <c r="AG24" s="488"/>
      <c r="AH24" s="402">
        <v>114070272.40000001</v>
      </c>
      <c r="AI24" s="1348"/>
      <c r="AJ24" s="22">
        <f t="shared" si="22"/>
        <v>-0.31138789190906047</v>
      </c>
      <c r="AK24" s="478"/>
      <c r="AL24" s="972">
        <v>99980091.889999986</v>
      </c>
      <c r="AM24" s="488"/>
      <c r="AN24" s="402">
        <v>68979665.75</v>
      </c>
      <c r="AO24" s="1348"/>
      <c r="AP24" s="22">
        <f t="shared" si="23"/>
        <v>-0.31006598967829768</v>
      </c>
      <c r="AQ24" s="478"/>
      <c r="AR24" s="402">
        <v>144809260.65000004</v>
      </c>
      <c r="AS24" s="488"/>
      <c r="AT24" s="402">
        <v>120701611.91999999</v>
      </c>
      <c r="AU24" s="1348"/>
      <c r="AV24" s="22">
        <f t="shared" si="24"/>
        <v>-0.16647863970708043</v>
      </c>
      <c r="AW24" s="478"/>
      <c r="AX24" s="402">
        <v>145396607.28999996</v>
      </c>
      <c r="AY24" s="488"/>
      <c r="AZ24" s="402">
        <v>114346366.48999998</v>
      </c>
      <c r="BA24" s="1348"/>
      <c r="BB24" s="22">
        <f t="shared" si="25"/>
        <v>-0.21355546995721097</v>
      </c>
      <c r="BC24" s="478"/>
      <c r="BD24" s="402">
        <v>23054191.740000002</v>
      </c>
      <c r="BE24" s="488"/>
      <c r="BF24" s="402">
        <v>20932191.25</v>
      </c>
      <c r="BG24" s="1348"/>
      <c r="BH24" s="22">
        <f t="shared" si="26"/>
        <v>-9.2044020190837572E-2</v>
      </c>
      <c r="BI24" s="478"/>
      <c r="BJ24" s="402">
        <v>119863520.97999999</v>
      </c>
      <c r="BK24" s="488"/>
      <c r="BL24" s="402">
        <v>84716215.310000017</v>
      </c>
      <c r="BM24" s="1348"/>
      <c r="BN24" s="22">
        <f t="shared" si="27"/>
        <v>-0.2932277091698694</v>
      </c>
      <c r="BO24" s="478"/>
      <c r="BP24" s="402">
        <v>29712777.68</v>
      </c>
      <c r="BQ24" s="488"/>
      <c r="BR24" s="402">
        <v>21575578.960000001</v>
      </c>
      <c r="BS24" s="1348"/>
      <c r="BT24" s="22">
        <f t="shared" si="28"/>
        <v>-0.27386193265523062</v>
      </c>
      <c r="BU24" s="478"/>
      <c r="BV24" s="402">
        <v>40957796.149999999</v>
      </c>
      <c r="BW24" s="488"/>
      <c r="BX24" s="402">
        <v>32906874.919999994</v>
      </c>
      <c r="BY24" s="1341"/>
      <c r="BZ24" s="1265">
        <f t="shared" si="29"/>
        <v>-0.19656627032653473</v>
      </c>
    </row>
    <row r="25" spans="1:78" ht="14.25">
      <c r="A25" s="1677"/>
      <c r="B25" s="1725"/>
      <c r="C25" s="1464">
        <v>13.2</v>
      </c>
      <c r="D25" s="1464" t="s">
        <v>1250</v>
      </c>
      <c r="E25" s="472" t="s">
        <v>206</v>
      </c>
      <c r="F25" s="473"/>
      <c r="G25" s="474"/>
      <c r="H25" s="473"/>
      <c r="I25" s="487"/>
      <c r="J25" s="476">
        <f t="shared" si="18"/>
        <v>101959257.04899999</v>
      </c>
      <c r="K25" s="476"/>
      <c r="L25" s="476">
        <f t="shared" si="19"/>
        <v>83450215.834000006</v>
      </c>
      <c r="M25" s="476"/>
      <c r="N25" s="480">
        <f t="shared" si="12"/>
        <v>0</v>
      </c>
      <c r="O25" s="414">
        <f t="shared" si="1"/>
        <v>0</v>
      </c>
      <c r="P25" s="477">
        <f t="shared" si="13"/>
        <v>0</v>
      </c>
      <c r="Q25" s="477">
        <f t="shared" si="14"/>
        <v>0</v>
      </c>
      <c r="R25" s="477">
        <f t="shared" si="15"/>
        <v>0</v>
      </c>
      <c r="S25" s="478"/>
      <c r="T25" s="402">
        <v>65832997.420000002</v>
      </c>
      <c r="U25" s="407"/>
      <c r="V25" s="402">
        <v>52631781.710000001</v>
      </c>
      <c r="W25" s="1341"/>
      <c r="X25" s="22">
        <f t="shared" si="20"/>
        <v>-0.20052581877411957</v>
      </c>
      <c r="Y25" s="478"/>
      <c r="Z25" s="402">
        <v>219168218.59999999</v>
      </c>
      <c r="AA25" s="488"/>
      <c r="AB25" s="402">
        <v>224058764.38</v>
      </c>
      <c r="AC25" s="1341"/>
      <c r="AD25" s="22">
        <f t="shared" si="21"/>
        <v>2.231411931547278E-2</v>
      </c>
      <c r="AE25" s="478"/>
      <c r="AF25" s="402">
        <v>157337595.79000002</v>
      </c>
      <c r="AG25" s="488"/>
      <c r="AH25" s="402">
        <v>107819616.7</v>
      </c>
      <c r="AI25" s="1348"/>
      <c r="AJ25" s="22">
        <f t="shared" si="22"/>
        <v>-0.31472439146770825</v>
      </c>
      <c r="AK25" s="478"/>
      <c r="AL25" s="402">
        <v>99966025.789999992</v>
      </c>
      <c r="AM25" s="488"/>
      <c r="AN25" s="402">
        <v>68979665.75</v>
      </c>
      <c r="AO25" s="1348"/>
      <c r="AP25" s="22">
        <f t="shared" si="23"/>
        <v>-0.30996890988838011</v>
      </c>
      <c r="AQ25" s="478"/>
      <c r="AR25" s="402">
        <v>130652764.95000005</v>
      </c>
      <c r="AS25" s="488"/>
      <c r="AT25" s="402">
        <v>114783572.27</v>
      </c>
      <c r="AU25" s="1348"/>
      <c r="AV25" s="22">
        <f t="shared" si="24"/>
        <v>-0.12146082546414605</v>
      </c>
      <c r="AW25" s="478"/>
      <c r="AX25" s="402">
        <v>141561242.88999996</v>
      </c>
      <c r="AY25" s="488"/>
      <c r="AZ25" s="402">
        <v>109515430.28999998</v>
      </c>
      <c r="BA25" s="1348"/>
      <c r="BB25" s="22">
        <f t="shared" si="25"/>
        <v>-0.22637419639569811</v>
      </c>
      <c r="BC25" s="478"/>
      <c r="BD25" s="402">
        <v>21280366.440000001</v>
      </c>
      <c r="BE25" s="488"/>
      <c r="BF25" s="402">
        <v>19201191.25</v>
      </c>
      <c r="BG25" s="1348"/>
      <c r="BH25" s="22">
        <f t="shared" si="26"/>
        <v>-9.7703918579702842E-2</v>
      </c>
      <c r="BI25" s="478"/>
      <c r="BJ25" s="402">
        <v>118550612.38</v>
      </c>
      <c r="BK25" s="488"/>
      <c r="BL25" s="402">
        <v>84352463.51000002</v>
      </c>
      <c r="BM25" s="1348"/>
      <c r="BN25" s="22">
        <f t="shared" si="27"/>
        <v>-0.28846876606914396</v>
      </c>
      <c r="BO25" s="478"/>
      <c r="BP25" s="402">
        <v>29612068.079999998</v>
      </c>
      <c r="BQ25" s="488"/>
      <c r="BR25" s="402">
        <v>21256297.560000002</v>
      </c>
      <c r="BS25" s="1348"/>
      <c r="BT25" s="22">
        <f t="shared" si="28"/>
        <v>-0.28217450052546267</v>
      </c>
      <c r="BU25" s="478"/>
      <c r="BV25" s="402">
        <v>35630678.149999999</v>
      </c>
      <c r="BW25" s="488"/>
      <c r="BX25" s="402">
        <v>31903374.919999994</v>
      </c>
      <c r="BY25" s="1341"/>
      <c r="BZ25" s="1265">
        <f t="shared" si="29"/>
        <v>-0.10460938223821048</v>
      </c>
    </row>
    <row r="26" spans="1:78" ht="14.25">
      <c r="A26" s="1677"/>
      <c r="B26" s="1725"/>
      <c r="C26" s="1464">
        <v>13.3</v>
      </c>
      <c r="D26" s="1464" t="s">
        <v>1251</v>
      </c>
      <c r="E26" s="472" t="s">
        <v>206</v>
      </c>
      <c r="F26" s="473"/>
      <c r="G26" s="474"/>
      <c r="H26" s="473"/>
      <c r="I26" s="487"/>
      <c r="J26" s="476">
        <f t="shared" si="18"/>
        <v>4437847.8569999998</v>
      </c>
      <c r="K26" s="476"/>
      <c r="L26" s="476">
        <f t="shared" si="19"/>
        <v>2812446.9539999999</v>
      </c>
      <c r="M26" s="476"/>
      <c r="N26" s="480">
        <f t="shared" si="12"/>
        <v>0</v>
      </c>
      <c r="O26" s="414">
        <f t="shared" si="1"/>
        <v>0</v>
      </c>
      <c r="P26" s="477">
        <f t="shared" si="13"/>
        <v>0</v>
      </c>
      <c r="Q26" s="477">
        <f t="shared" si="14"/>
        <v>0</v>
      </c>
      <c r="R26" s="477">
        <f t="shared" si="15"/>
        <v>0</v>
      </c>
      <c r="S26" s="478"/>
      <c r="T26" s="402">
        <v>1165700</v>
      </c>
      <c r="U26" s="407"/>
      <c r="V26" s="402">
        <v>1175300</v>
      </c>
      <c r="W26" s="1341"/>
      <c r="X26" s="22">
        <f t="shared" si="20"/>
        <v>8.2353950416058641E-3</v>
      </c>
      <c r="Y26" s="478"/>
      <c r="Z26" s="402">
        <v>8782995.5700000003</v>
      </c>
      <c r="AA26" s="488"/>
      <c r="AB26" s="402">
        <v>6800306.9900000002</v>
      </c>
      <c r="AC26" s="1341"/>
      <c r="AD26" s="22">
        <f t="shared" si="21"/>
        <v>-0.22574172606579146</v>
      </c>
      <c r="AE26" s="478"/>
      <c r="AF26" s="402">
        <v>8180200</v>
      </c>
      <c r="AG26" s="488"/>
      <c r="AH26" s="402">
        <v>6178500</v>
      </c>
      <c r="AI26" s="1348"/>
      <c r="AJ26" s="22">
        <f t="shared" si="22"/>
        <v>-0.24470061856678316</v>
      </c>
      <c r="AK26" s="478"/>
      <c r="AL26" s="402">
        <v>3000</v>
      </c>
      <c r="AM26" s="488"/>
      <c r="AN26" s="402">
        <v>0</v>
      </c>
      <c r="AO26" s="1348"/>
      <c r="AP26" s="22">
        <f t="shared" si="23"/>
        <v>-1</v>
      </c>
      <c r="AQ26" s="478"/>
      <c r="AR26" s="402">
        <v>14051183</v>
      </c>
      <c r="AS26" s="488"/>
      <c r="AT26" s="402">
        <v>5890801.5499999998</v>
      </c>
      <c r="AU26" s="1348"/>
      <c r="AV26" s="22">
        <f t="shared" si="24"/>
        <v>-0.58076116793867105</v>
      </c>
      <c r="AW26" s="478"/>
      <c r="AX26" s="402">
        <v>3782400</v>
      </c>
      <c r="AY26" s="488"/>
      <c r="AZ26" s="402">
        <v>4784500</v>
      </c>
      <c r="BA26" s="1348"/>
      <c r="BB26" s="22">
        <f t="shared" si="25"/>
        <v>0.2649376057529611</v>
      </c>
      <c r="BC26" s="478"/>
      <c r="BD26" s="402">
        <v>1772800</v>
      </c>
      <c r="BE26" s="488"/>
      <c r="BF26" s="402">
        <v>1731000</v>
      </c>
      <c r="BG26" s="1348"/>
      <c r="BH26" s="22">
        <f t="shared" si="26"/>
        <v>-2.357851985559567E-2</v>
      </c>
      <c r="BI26" s="478"/>
      <c r="BJ26" s="402">
        <v>1281700</v>
      </c>
      <c r="BK26" s="488"/>
      <c r="BL26" s="402">
        <v>302300</v>
      </c>
      <c r="BM26" s="1348"/>
      <c r="BN26" s="22">
        <f t="shared" si="27"/>
        <v>-0.76414137473667787</v>
      </c>
      <c r="BO26" s="478"/>
      <c r="BP26" s="402">
        <v>33400</v>
      </c>
      <c r="BQ26" s="488"/>
      <c r="BR26" s="402">
        <v>258261</v>
      </c>
      <c r="BS26" s="1348"/>
      <c r="BT26" s="22">
        <f t="shared" si="28"/>
        <v>6.7323652694610781</v>
      </c>
      <c r="BU26" s="478"/>
      <c r="BV26" s="402">
        <v>5325100</v>
      </c>
      <c r="BW26" s="488"/>
      <c r="BX26" s="402">
        <v>1003500</v>
      </c>
      <c r="BY26" s="1341"/>
      <c r="BZ26" s="1265">
        <f t="shared" si="29"/>
        <v>-0.81155283468855044</v>
      </c>
    </row>
    <row r="27" spans="1:78" ht="14.25">
      <c r="A27" s="1677"/>
      <c r="B27" s="1725"/>
      <c r="C27" s="1464">
        <v>13.4</v>
      </c>
      <c r="D27" s="1464" t="s">
        <v>1252</v>
      </c>
      <c r="E27" s="472" t="s">
        <v>206</v>
      </c>
      <c r="F27" s="473"/>
      <c r="G27" s="474"/>
      <c r="H27" s="473"/>
      <c r="I27" s="487"/>
      <c r="J27" s="476">
        <f t="shared" si="18"/>
        <v>48935.680000000008</v>
      </c>
      <c r="K27" s="476"/>
      <c r="L27" s="476">
        <f t="shared" si="19"/>
        <v>37211.4</v>
      </c>
      <c r="M27" s="476"/>
      <c r="N27" s="480">
        <f t="shared" si="12"/>
        <v>0</v>
      </c>
      <c r="O27" s="414">
        <f t="shared" si="1"/>
        <v>0</v>
      </c>
      <c r="P27" s="477">
        <f t="shared" si="13"/>
        <v>0</v>
      </c>
      <c r="Q27" s="477">
        <f t="shared" si="14"/>
        <v>0</v>
      </c>
      <c r="R27" s="477">
        <f t="shared" si="15"/>
        <v>0</v>
      </c>
      <c r="S27" s="478"/>
      <c r="T27" s="402">
        <v>0</v>
      </c>
      <c r="U27" s="407"/>
      <c r="V27" s="402">
        <v>0</v>
      </c>
      <c r="W27" s="1341"/>
      <c r="X27" s="22">
        <f t="shared" si="20"/>
        <v>0</v>
      </c>
      <c r="Y27" s="478"/>
      <c r="Z27" s="402">
        <v>83813</v>
      </c>
      <c r="AA27" s="488"/>
      <c r="AB27" s="402">
        <v>103811.8</v>
      </c>
      <c r="AC27" s="1341"/>
      <c r="AD27" s="22">
        <f t="shared" si="21"/>
        <v>0.23861214847338719</v>
      </c>
      <c r="AE27" s="478"/>
      <c r="AF27" s="402">
        <v>134639.1</v>
      </c>
      <c r="AG27" s="488"/>
      <c r="AH27" s="402">
        <v>72155.7</v>
      </c>
      <c r="AI27" s="1348"/>
      <c r="AJ27" s="22">
        <f t="shared" si="22"/>
        <v>-0.46408064225028245</v>
      </c>
      <c r="AK27" s="478"/>
      <c r="AL27" s="402">
        <v>11066.1</v>
      </c>
      <c r="AM27" s="488"/>
      <c r="AN27" s="402">
        <v>0</v>
      </c>
      <c r="AO27" s="1348"/>
      <c r="AP27" s="22">
        <f t="shared" si="23"/>
        <v>-1</v>
      </c>
      <c r="AQ27" s="478"/>
      <c r="AR27" s="402">
        <v>105312.7</v>
      </c>
      <c r="AS27" s="488"/>
      <c r="AT27" s="402">
        <v>27238.1</v>
      </c>
      <c r="AU27" s="1348"/>
      <c r="AV27" s="22">
        <f t="shared" si="24"/>
        <v>-0.74135977902000416</v>
      </c>
      <c r="AW27" s="478"/>
      <c r="AX27" s="402">
        <v>52964.4</v>
      </c>
      <c r="AY27" s="488"/>
      <c r="AZ27" s="402">
        <v>46436.2</v>
      </c>
      <c r="BA27" s="1348"/>
      <c r="BB27" s="22">
        <f t="shared" si="25"/>
        <v>-0.1232563759808476</v>
      </c>
      <c r="BC27" s="478"/>
      <c r="BD27" s="402">
        <v>1025.3</v>
      </c>
      <c r="BE27" s="488"/>
      <c r="BF27" s="402">
        <v>0</v>
      </c>
      <c r="BG27" s="1348"/>
      <c r="BH27" s="22">
        <f t="shared" si="26"/>
        <v>-1</v>
      </c>
      <c r="BI27" s="478"/>
      <c r="BJ27" s="402">
        <v>31208.6</v>
      </c>
      <c r="BK27" s="488"/>
      <c r="BL27" s="402">
        <v>61451.8</v>
      </c>
      <c r="BM27" s="1348"/>
      <c r="BN27" s="22">
        <f t="shared" si="27"/>
        <v>0.96906621892683442</v>
      </c>
      <c r="BO27" s="478"/>
      <c r="BP27" s="402">
        <v>67309.600000000006</v>
      </c>
      <c r="BQ27" s="488"/>
      <c r="BR27" s="402">
        <v>61020.399999999994</v>
      </c>
      <c r="BS27" s="1348"/>
      <c r="BT27" s="22">
        <f t="shared" si="28"/>
        <v>-9.3436894588587838E-2</v>
      </c>
      <c r="BU27" s="478"/>
      <c r="BV27" s="402">
        <v>2018</v>
      </c>
      <c r="BW27" s="488"/>
      <c r="BX27" s="402">
        <v>0</v>
      </c>
      <c r="BY27" s="1341"/>
      <c r="BZ27" s="1265">
        <f t="shared" si="29"/>
        <v>-1</v>
      </c>
    </row>
    <row r="28" spans="1:78" ht="14.25">
      <c r="A28" s="1677" t="s">
        <v>1254</v>
      </c>
      <c r="B28" s="1725" t="s">
        <v>1255</v>
      </c>
      <c r="C28" s="1455">
        <v>14</v>
      </c>
      <c r="D28" s="471" t="s">
        <v>2129</v>
      </c>
      <c r="E28" s="413"/>
      <c r="F28" s="473"/>
      <c r="G28" s="474" t="s">
        <v>408</v>
      </c>
      <c r="H28" s="473" t="s">
        <v>232</v>
      </c>
      <c r="I28" s="475">
        <v>3</v>
      </c>
      <c r="J28" s="1422">
        <f t="shared" si="18"/>
        <v>1</v>
      </c>
      <c r="K28" s="476">
        <f>AVERAGE(BW28,BQ28,BK28,BE28,AY28,AS28,AM28,AG28,AA28,U28)</f>
        <v>3</v>
      </c>
      <c r="L28" s="1422">
        <f t="shared" si="19"/>
        <v>1</v>
      </c>
      <c r="M28" s="476">
        <f>AVERAGE(BY28,BS28,BM28,BG28,BA28,AU28,AO28,AI28,AC28,W28)</f>
        <v>3</v>
      </c>
      <c r="N28" s="480">
        <f t="shared" si="12"/>
        <v>0</v>
      </c>
      <c r="O28" s="414">
        <f t="shared" si="1"/>
        <v>0</v>
      </c>
      <c r="P28" s="477">
        <f t="shared" si="13"/>
        <v>0</v>
      </c>
      <c r="Q28" s="477">
        <f t="shared" si="14"/>
        <v>0</v>
      </c>
      <c r="R28" s="477">
        <f t="shared" si="15"/>
        <v>0</v>
      </c>
      <c r="S28" s="478"/>
      <c r="T28" s="22">
        <v>1</v>
      </c>
      <c r="U28" s="380">
        <f>IF(T28&gt;=0.95,3,IF(T28&gt;=0.9,1,0))</f>
        <v>3</v>
      </c>
      <c r="V28" s="22">
        <f>IF(SUM(V30:V31)=0,"",V29/SUM(V30:V31))</f>
        <v>1</v>
      </c>
      <c r="W28" s="1332">
        <f>IF(V28&gt;=0.95,3,IF(V28&gt;=0.9,1,0))</f>
        <v>3</v>
      </c>
      <c r="X28" s="22">
        <f t="shared" si="20"/>
        <v>0</v>
      </c>
      <c r="Y28" s="478"/>
      <c r="Z28" s="22">
        <v>1</v>
      </c>
      <c r="AA28" s="402">
        <f>IF(Z28&gt;=0.95,3,IF(Z28&gt;=0.9,1,0))</f>
        <v>3</v>
      </c>
      <c r="AB28" s="22">
        <f>IF(SUM(AB30:AB31)=0,"",AB29/SUM(AB30:AB31))</f>
        <v>1</v>
      </c>
      <c r="AC28" s="1332">
        <f>IF(AB28&gt;=0.95,3,IF(AB28&gt;=0.9,1,0))</f>
        <v>3</v>
      </c>
      <c r="AD28" s="22">
        <f t="shared" si="21"/>
        <v>0</v>
      </c>
      <c r="AE28" s="478"/>
      <c r="AF28" s="22">
        <v>1</v>
      </c>
      <c r="AG28" s="402">
        <f>IF(AF28&gt;=0.95,3,IF(AF28&gt;=0.9,1,0))</f>
        <v>3</v>
      </c>
      <c r="AH28" s="22">
        <f>IF(SUM(AH30:AH31)=0,"",AH29/SUM(AH30:AH31))</f>
        <v>1</v>
      </c>
      <c r="AI28" s="1295">
        <f>IF(AH28&gt;=0.95,3,IF(AH28&gt;=0.9,1,0))</f>
        <v>3</v>
      </c>
      <c r="AJ28" s="22">
        <f t="shared" si="22"/>
        <v>0</v>
      </c>
      <c r="AK28" s="478"/>
      <c r="AL28" s="22">
        <v>1</v>
      </c>
      <c r="AM28" s="402">
        <f>IF(AL28&gt;=0.95,3,IF(AL28&gt;=0.9,1,0))</f>
        <v>3</v>
      </c>
      <c r="AN28" s="22">
        <f>IF(SUM(AN30:AN31)=0,"",AN29/SUM(AN30:AN31))</f>
        <v>1</v>
      </c>
      <c r="AO28" s="1295">
        <f>IF(AN28&gt;=0.95,3,IF(AN28&gt;=0.9,1,0))</f>
        <v>3</v>
      </c>
      <c r="AP28" s="22">
        <f t="shared" si="23"/>
        <v>0</v>
      </c>
      <c r="AQ28" s="478"/>
      <c r="AR28" s="22">
        <v>1</v>
      </c>
      <c r="AS28" s="402">
        <f>IF(AR28&gt;=0.95,3,IF(AR28&gt;=0.9,1,0))</f>
        <v>3</v>
      </c>
      <c r="AT28" s="22">
        <f>IF(SUM(AT30:AT31)=0,"",AT29/SUM(AT30:AT31))</f>
        <v>1</v>
      </c>
      <c r="AU28" s="1295">
        <f>IF(AT28&gt;=0.95,3,IF(AT28&gt;=0.9,1,0))</f>
        <v>3</v>
      </c>
      <c r="AV28" s="22">
        <f t="shared" si="24"/>
        <v>0</v>
      </c>
      <c r="AW28" s="478"/>
      <c r="AX28" s="22">
        <v>1</v>
      </c>
      <c r="AY28" s="402">
        <f>IF(AX28&gt;=0.95,3,IF(AX28&gt;=0.9,1,0))</f>
        <v>3</v>
      </c>
      <c r="AZ28" s="22">
        <f>IF(SUM(AZ30:AZ31)=0,"",AZ29/SUM(AZ30:AZ31))</f>
        <v>1</v>
      </c>
      <c r="BA28" s="1295">
        <f>IF(AZ28&gt;=0.95,3,IF(AZ28&gt;=0.9,1,0))</f>
        <v>3</v>
      </c>
      <c r="BB28" s="22">
        <f t="shared" si="25"/>
        <v>0</v>
      </c>
      <c r="BC28" s="478"/>
      <c r="BD28" s="22">
        <v>1</v>
      </c>
      <c r="BE28" s="402">
        <f>IF(BD28&gt;=0.95,3,IF(BD28&gt;=0.9,1,0))</f>
        <v>3</v>
      </c>
      <c r="BF28" s="22">
        <f>IF(SUM(BF30:BF31)=0,"",BF29/SUM(BF30:BF31))</f>
        <v>1</v>
      </c>
      <c r="BG28" s="1295">
        <f>IF(BF28&gt;=0.95,3,IF(BF28&gt;=0.9,1,0))</f>
        <v>3</v>
      </c>
      <c r="BH28" s="22">
        <f t="shared" si="26"/>
        <v>0</v>
      </c>
      <c r="BI28" s="478"/>
      <c r="BJ28" s="22">
        <v>1</v>
      </c>
      <c r="BK28" s="402">
        <f>IF(BJ28&gt;=0.95,3,IF(BJ28&gt;=0.9,1,0))</f>
        <v>3</v>
      </c>
      <c r="BL28" s="22">
        <f>IF(SUM(BL30:BL31)=0,"",BL29/SUM(BL30:BL31))</f>
        <v>1</v>
      </c>
      <c r="BM28" s="1295">
        <f>IF(BL28&gt;=0.95,3,IF(BL28&gt;=0.9,1,0))</f>
        <v>3</v>
      </c>
      <c r="BN28" s="22">
        <f t="shared" si="27"/>
        <v>0</v>
      </c>
      <c r="BO28" s="478"/>
      <c r="BP28" s="22">
        <v>1</v>
      </c>
      <c r="BQ28" s="402">
        <f>IF(BP28&gt;=0.95,3,IF(BP28&gt;=0.9,1,0))</f>
        <v>3</v>
      </c>
      <c r="BR28" s="22">
        <f>IF(SUM(BR30:BR31)=0,"",BR29/SUM(BR30:BR31))</f>
        <v>1</v>
      </c>
      <c r="BS28" s="1295">
        <f>IF(BR28&gt;=0.95,3,IF(BR28&gt;=0.9,1,0))</f>
        <v>3</v>
      </c>
      <c r="BT28" s="22">
        <f t="shared" si="28"/>
        <v>0</v>
      </c>
      <c r="BU28" s="478"/>
      <c r="BV28" s="22">
        <v>1</v>
      </c>
      <c r="BW28" s="402">
        <f>IF(BV28&gt;=0.95,3,IF(BV28&gt;=0.9,1,0))</f>
        <v>3</v>
      </c>
      <c r="BX28" s="22">
        <f>IF(SUM(BX30:BX31)=0,"",BX29/SUM(BX30:BX31))</f>
        <v>1</v>
      </c>
      <c r="BY28" s="1332">
        <f>IF(BX28&gt;=0.95,3,IF(BX28&gt;=0.9,1,0))</f>
        <v>3</v>
      </c>
      <c r="BZ28" s="1265">
        <f t="shared" si="29"/>
        <v>0</v>
      </c>
    </row>
    <row r="29" spans="1:78" ht="14.25">
      <c r="A29" s="1677"/>
      <c r="B29" s="1725"/>
      <c r="C29" s="1464">
        <v>14.1</v>
      </c>
      <c r="D29" s="1464" t="s">
        <v>2145</v>
      </c>
      <c r="E29" s="472" t="s">
        <v>206</v>
      </c>
      <c r="F29" s="473"/>
      <c r="G29" s="474"/>
      <c r="H29" s="473"/>
      <c r="I29" s="487"/>
      <c r="J29" s="476">
        <f t="shared" si="18"/>
        <v>40386843.550999999</v>
      </c>
      <c r="K29" s="476"/>
      <c r="L29" s="476">
        <f t="shared" si="19"/>
        <v>31771880.286000002</v>
      </c>
      <c r="M29" s="476"/>
      <c r="N29" s="480">
        <f t="shared" si="12"/>
        <v>0</v>
      </c>
      <c r="O29" s="414">
        <f t="shared" si="1"/>
        <v>0</v>
      </c>
      <c r="P29" s="477">
        <f t="shared" si="13"/>
        <v>0</v>
      </c>
      <c r="Q29" s="477">
        <f t="shared" si="14"/>
        <v>0</v>
      </c>
      <c r="R29" s="477">
        <f t="shared" si="15"/>
        <v>0</v>
      </c>
      <c r="S29" s="478"/>
      <c r="T29" s="402">
        <v>62167343.890000001</v>
      </c>
      <c r="U29" s="480"/>
      <c r="V29" s="402">
        <v>34138496.340000004</v>
      </c>
      <c r="W29" s="1332"/>
      <c r="X29" s="22">
        <f t="shared" si="20"/>
        <v>-0.45086126889375777</v>
      </c>
      <c r="Y29" s="478"/>
      <c r="Z29" s="402">
        <v>50699086.369999997</v>
      </c>
      <c r="AA29" s="402"/>
      <c r="AB29" s="402">
        <v>64191137.980000004</v>
      </c>
      <c r="AC29" s="1332"/>
      <c r="AD29" s="22">
        <f t="shared" si="21"/>
        <v>0.26612021194101065</v>
      </c>
      <c r="AE29" s="478"/>
      <c r="AF29" s="402">
        <v>65568549.140000001</v>
      </c>
      <c r="AG29" s="402"/>
      <c r="AH29" s="402">
        <v>36282171.650000006</v>
      </c>
      <c r="AI29" s="1295"/>
      <c r="AJ29" s="22">
        <f t="shared" si="22"/>
        <v>-0.44665282172812149</v>
      </c>
      <c r="AK29" s="478"/>
      <c r="AL29" s="402">
        <v>32845351.960000001</v>
      </c>
      <c r="AM29" s="402"/>
      <c r="AN29" s="402">
        <v>26057281.359999999</v>
      </c>
      <c r="AO29" s="1295"/>
      <c r="AP29" s="22">
        <f t="shared" si="23"/>
        <v>-0.20666761641850284</v>
      </c>
      <c r="AQ29" s="478"/>
      <c r="AR29" s="402">
        <v>78792537.390000001</v>
      </c>
      <c r="AS29" s="402"/>
      <c r="AT29" s="402">
        <v>54444442.280000001</v>
      </c>
      <c r="AU29" s="1295"/>
      <c r="AV29" s="22">
        <f t="shared" si="24"/>
        <v>-0.30901524327721619</v>
      </c>
      <c r="AW29" s="478"/>
      <c r="AX29" s="402">
        <v>46559287.799999997</v>
      </c>
      <c r="AY29" s="402"/>
      <c r="AZ29" s="402">
        <v>43708400.969999999</v>
      </c>
      <c r="BA29" s="1295"/>
      <c r="BB29" s="22">
        <f t="shared" si="25"/>
        <v>-6.1231323860585274E-2</v>
      </c>
      <c r="BC29" s="478"/>
      <c r="BD29" s="402">
        <v>9830962.0999999996</v>
      </c>
      <c r="BE29" s="402"/>
      <c r="BF29" s="402">
        <v>10295792.57</v>
      </c>
      <c r="BG29" s="1295"/>
      <c r="BH29" s="22">
        <f t="shared" si="26"/>
        <v>4.7282297019535902E-2</v>
      </c>
      <c r="BI29" s="478"/>
      <c r="BJ29" s="402">
        <v>33866597.570000008</v>
      </c>
      <c r="BK29" s="402"/>
      <c r="BL29" s="402">
        <v>34337121.480000004</v>
      </c>
      <c r="BM29" s="1295"/>
      <c r="BN29" s="22">
        <f t="shared" si="27"/>
        <v>1.3893450885565262E-2</v>
      </c>
      <c r="BO29" s="478"/>
      <c r="BP29" s="402">
        <v>6092023.2199999997</v>
      </c>
      <c r="BQ29" s="402"/>
      <c r="BR29" s="402">
        <v>5006073</v>
      </c>
      <c r="BS29" s="1295"/>
      <c r="BT29" s="22">
        <f t="shared" si="28"/>
        <v>-0.17825772830852737</v>
      </c>
      <c r="BU29" s="478"/>
      <c r="BV29" s="402">
        <v>17446696.07</v>
      </c>
      <c r="BW29" s="402"/>
      <c r="BX29" s="402">
        <v>9257885.2300000004</v>
      </c>
      <c r="BY29" s="1349"/>
      <c r="BZ29" s="1265">
        <f t="shared" si="29"/>
        <v>-0.46936169502493086</v>
      </c>
    </row>
    <row r="30" spans="1:78" ht="14.25">
      <c r="A30" s="1677"/>
      <c r="B30" s="1725"/>
      <c r="C30" s="1464">
        <v>14.2</v>
      </c>
      <c r="D30" s="1464" t="s">
        <v>2130</v>
      </c>
      <c r="E30" s="472" t="s">
        <v>206</v>
      </c>
      <c r="F30" s="473"/>
      <c r="G30" s="474"/>
      <c r="H30" s="473"/>
      <c r="I30" s="487"/>
      <c r="J30" s="476">
        <f t="shared" si="18"/>
        <v>29741567.181000002</v>
      </c>
      <c r="K30" s="476"/>
      <c r="L30" s="476">
        <f t="shared" si="19"/>
        <v>23224960.484999999</v>
      </c>
      <c r="M30" s="476"/>
      <c r="N30" s="480">
        <f t="shared" si="12"/>
        <v>0</v>
      </c>
      <c r="O30" s="414">
        <f t="shared" si="1"/>
        <v>0</v>
      </c>
      <c r="P30" s="477">
        <f t="shared" si="13"/>
        <v>0</v>
      </c>
      <c r="Q30" s="477">
        <f t="shared" si="14"/>
        <v>0</v>
      </c>
      <c r="R30" s="477">
        <f t="shared" si="15"/>
        <v>0</v>
      </c>
      <c r="S30" s="478"/>
      <c r="T30" s="402">
        <v>59047778.640000001</v>
      </c>
      <c r="U30" s="480"/>
      <c r="V30" s="402">
        <v>28602530.860000003</v>
      </c>
      <c r="W30" s="1332"/>
      <c r="X30" s="22">
        <f t="shared" si="20"/>
        <v>-0.51560360916567749</v>
      </c>
      <c r="Y30" s="478"/>
      <c r="Z30" s="402">
        <v>38521797.299999997</v>
      </c>
      <c r="AA30" s="402"/>
      <c r="AB30" s="402">
        <v>44478191.850000001</v>
      </c>
      <c r="AC30" s="1332"/>
      <c r="AD30" s="22">
        <f t="shared" si="21"/>
        <v>0.15462400426472334</v>
      </c>
      <c r="AE30" s="478"/>
      <c r="AF30" s="402">
        <v>33673452.600000001</v>
      </c>
      <c r="AG30" s="402"/>
      <c r="AH30" s="402">
        <v>22006551.950000003</v>
      </c>
      <c r="AI30" s="1295"/>
      <c r="AJ30" s="22">
        <f t="shared" si="22"/>
        <v>-0.34647176779253097</v>
      </c>
      <c r="AK30" s="478"/>
      <c r="AL30" s="402">
        <v>16594449.16</v>
      </c>
      <c r="AM30" s="402"/>
      <c r="AN30" s="402">
        <v>16325016.310000001</v>
      </c>
      <c r="AO30" s="1295"/>
      <c r="AP30" s="22">
        <f t="shared" si="23"/>
        <v>-1.6236323809376674E-2</v>
      </c>
      <c r="AQ30" s="478"/>
      <c r="AR30" s="402">
        <v>68886468.109999999</v>
      </c>
      <c r="AS30" s="402"/>
      <c r="AT30" s="402">
        <v>44249687.020000003</v>
      </c>
      <c r="AU30" s="1295"/>
      <c r="AV30" s="22">
        <f t="shared" si="24"/>
        <v>-0.3576432609472624</v>
      </c>
      <c r="AW30" s="478"/>
      <c r="AX30" s="402">
        <v>32983714.329999998</v>
      </c>
      <c r="AY30" s="402"/>
      <c r="AZ30" s="402">
        <v>33657934.859999999</v>
      </c>
      <c r="BA30" s="1295"/>
      <c r="BB30" s="22">
        <f t="shared" si="25"/>
        <v>2.0441012896681876E-2</v>
      </c>
      <c r="BC30" s="478"/>
      <c r="BD30" s="402">
        <v>7461160.4499999993</v>
      </c>
      <c r="BE30" s="402"/>
      <c r="BF30" s="402">
        <v>8188429.1500000004</v>
      </c>
      <c r="BG30" s="1295"/>
      <c r="BH30" s="22">
        <f t="shared" si="26"/>
        <v>9.7473939191322634E-2</v>
      </c>
      <c r="BI30" s="478"/>
      <c r="BJ30" s="402">
        <v>21924266.910000004</v>
      </c>
      <c r="BK30" s="402"/>
      <c r="BL30" s="402">
        <v>24936501.560000002</v>
      </c>
      <c r="BM30" s="1295"/>
      <c r="BN30" s="22">
        <f t="shared" si="27"/>
        <v>0.13739271932627628</v>
      </c>
      <c r="BO30" s="478"/>
      <c r="BP30" s="402">
        <v>3431695.88</v>
      </c>
      <c r="BQ30" s="402"/>
      <c r="BR30" s="402">
        <v>3409100.63</v>
      </c>
      <c r="BS30" s="1295"/>
      <c r="BT30" s="22">
        <f t="shared" si="28"/>
        <v>-6.5842810056933043E-3</v>
      </c>
      <c r="BU30" s="478"/>
      <c r="BV30" s="402">
        <v>14890888.43</v>
      </c>
      <c r="BW30" s="402"/>
      <c r="BX30" s="402">
        <v>6395660.6600000001</v>
      </c>
      <c r="BY30" s="1349"/>
      <c r="BZ30" s="1265">
        <f t="shared" si="29"/>
        <v>-0.57049838294974053</v>
      </c>
    </row>
    <row r="31" spans="1:78" ht="14.25">
      <c r="A31" s="1677"/>
      <c r="B31" s="1725"/>
      <c r="C31" s="1464">
        <v>14.3</v>
      </c>
      <c r="D31" s="1464" t="s">
        <v>2126</v>
      </c>
      <c r="E31" s="472" t="s">
        <v>206</v>
      </c>
      <c r="F31" s="473"/>
      <c r="G31" s="474"/>
      <c r="H31" s="473"/>
      <c r="I31" s="487"/>
      <c r="J31" s="476">
        <f t="shared" si="18"/>
        <v>10645276.369999999</v>
      </c>
      <c r="K31" s="476"/>
      <c r="L31" s="476">
        <f t="shared" si="19"/>
        <v>8546919.800999999</v>
      </c>
      <c r="M31" s="476"/>
      <c r="N31" s="480">
        <f t="shared" si="12"/>
        <v>0</v>
      </c>
      <c r="O31" s="414">
        <f t="shared" si="1"/>
        <v>0</v>
      </c>
      <c r="P31" s="477">
        <f t="shared" si="13"/>
        <v>0</v>
      </c>
      <c r="Q31" s="477">
        <f t="shared" si="14"/>
        <v>0</v>
      </c>
      <c r="R31" s="477">
        <f t="shared" si="15"/>
        <v>0</v>
      </c>
      <c r="S31" s="478"/>
      <c r="T31" s="402">
        <v>3119565.25</v>
      </c>
      <c r="U31" s="480"/>
      <c r="V31" s="402">
        <v>5535965.4800000004</v>
      </c>
      <c r="W31" s="1332"/>
      <c r="X31" s="22">
        <f>IF(AND(T31=0,V31&lt;&gt;0),1,IF(AND(T31=0,V31=0),0,V31/T31-1))</f>
        <v>0.77459518758262891</v>
      </c>
      <c r="Y31" s="478"/>
      <c r="Z31" s="402">
        <v>12177289.07</v>
      </c>
      <c r="AA31" s="402"/>
      <c r="AB31" s="402">
        <v>19712946.129999999</v>
      </c>
      <c r="AC31" s="1332"/>
      <c r="AD31" s="22">
        <f t="shared" si="21"/>
        <v>0.61882878994511703</v>
      </c>
      <c r="AE31" s="478"/>
      <c r="AF31" s="402">
        <v>31895096.539999999</v>
      </c>
      <c r="AG31" s="402"/>
      <c r="AH31" s="402">
        <v>14275619.699999999</v>
      </c>
      <c r="AI31" s="1295"/>
      <c r="AJ31" s="22">
        <f t="shared" si="22"/>
        <v>-0.55241961151938246</v>
      </c>
      <c r="AK31" s="478"/>
      <c r="AL31" s="402">
        <v>16250902.800000001</v>
      </c>
      <c r="AM31" s="402"/>
      <c r="AN31" s="402">
        <v>9732265.0499999989</v>
      </c>
      <c r="AO31" s="1295"/>
      <c r="AP31" s="22">
        <f t="shared" si="23"/>
        <v>-0.40112465321003588</v>
      </c>
      <c r="AQ31" s="478"/>
      <c r="AR31" s="402">
        <v>9906069.2799999993</v>
      </c>
      <c r="AS31" s="402"/>
      <c r="AT31" s="402">
        <v>10194755.26</v>
      </c>
      <c r="AU31" s="1295"/>
      <c r="AV31" s="22">
        <f t="shared" si="24"/>
        <v>2.9142334041903695E-2</v>
      </c>
      <c r="AW31" s="478"/>
      <c r="AX31" s="402">
        <v>13575573.469999999</v>
      </c>
      <c r="AY31" s="402"/>
      <c r="AZ31" s="402">
        <v>10050466.110000001</v>
      </c>
      <c r="BA31" s="1295"/>
      <c r="BB31" s="22">
        <f t="shared" si="25"/>
        <v>-0.25966544748845866</v>
      </c>
      <c r="BC31" s="478"/>
      <c r="BD31" s="402">
        <v>2369801.6500000004</v>
      </c>
      <c r="BE31" s="402"/>
      <c r="BF31" s="402">
        <v>2107363.42</v>
      </c>
      <c r="BG31" s="1295"/>
      <c r="BH31" s="22">
        <f t="shared" si="26"/>
        <v>-0.11074269865581388</v>
      </c>
      <c r="BI31" s="478"/>
      <c r="BJ31" s="402">
        <v>11942330.66</v>
      </c>
      <c r="BK31" s="402"/>
      <c r="BL31" s="402">
        <v>9400619.9199999999</v>
      </c>
      <c r="BM31" s="1295"/>
      <c r="BN31" s="22">
        <f t="shared" si="27"/>
        <v>-0.21283205199746158</v>
      </c>
      <c r="BO31" s="478"/>
      <c r="BP31" s="402">
        <v>2660327.34</v>
      </c>
      <c r="BQ31" s="402"/>
      <c r="BR31" s="402">
        <v>1596972.3699999999</v>
      </c>
      <c r="BS31" s="1295"/>
      <c r="BT31" s="22">
        <f t="shared" si="28"/>
        <v>-0.39970831935291096</v>
      </c>
      <c r="BU31" s="478"/>
      <c r="BV31" s="402">
        <v>2555807.6399999997</v>
      </c>
      <c r="BW31" s="402"/>
      <c r="BX31" s="402">
        <v>2862224.5700000003</v>
      </c>
      <c r="BY31" s="1349"/>
      <c r="BZ31" s="1265">
        <f t="shared" si="29"/>
        <v>0.11989045075395444</v>
      </c>
    </row>
    <row r="32" spans="1:78" ht="14.25">
      <c r="A32" s="1720" t="s">
        <v>2108</v>
      </c>
      <c r="B32" s="1720" t="s">
        <v>2114</v>
      </c>
      <c r="C32" s="1455">
        <v>15</v>
      </c>
      <c r="D32" s="471" t="s">
        <v>2187</v>
      </c>
      <c r="E32" s="413"/>
      <c r="F32" s="473"/>
      <c r="G32" s="474" t="s">
        <v>399</v>
      </c>
      <c r="H32" s="473" t="s">
        <v>232</v>
      </c>
      <c r="I32" s="475">
        <v>3</v>
      </c>
      <c r="J32" s="1422">
        <f>AVERAGE(BV32,BP32,BJ32,BD32,AX32,AR32,AL32,AF32,Z32,T32)</f>
        <v>2.8225575649161072E-3</v>
      </c>
      <c r="K32" s="489">
        <f>AVERAGE(BW32,BQ32,BK32,BE32,AY32,AS32,AM32,AG32,AA32,U32)</f>
        <v>3</v>
      </c>
      <c r="L32" s="1422">
        <f>AVERAGE(BX32,BR32,BL32,BF32,AZ32,AT32,AN32,AH32,AB32,V32)</f>
        <v>9.7970755233399995E-4</v>
      </c>
      <c r="M32" s="489">
        <f>AVERAGE(BY32,BS32,BM32,BG32,BA32,AU32,AO32,AI32,AC32,W32)</f>
        <v>3</v>
      </c>
      <c r="N32" s="480">
        <f t="shared" si="12"/>
        <v>0</v>
      </c>
      <c r="O32" s="414">
        <f t="shared" si="1"/>
        <v>0</v>
      </c>
      <c r="P32" s="477">
        <f t="shared" si="13"/>
        <v>0</v>
      </c>
      <c r="Q32" s="477">
        <f t="shared" si="14"/>
        <v>0</v>
      </c>
      <c r="R32" s="477">
        <f t="shared" si="15"/>
        <v>0</v>
      </c>
      <c r="S32" s="478"/>
      <c r="T32" s="22">
        <v>2.5364143224596153E-2</v>
      </c>
      <c r="U32" s="380">
        <f>IF(T32&lt;=0.03,3,IF(T32&lt;=0.05,1,0))</f>
        <v>3</v>
      </c>
      <c r="V32" s="22">
        <f>IF(V34=0,"&lt;不适用&gt;",V33/V34)</f>
        <v>2.7158915286125199E-3</v>
      </c>
      <c r="W32" s="1332">
        <f>IF(V32&lt;=0.03,3,IF(V32&lt;=0.05,1,0))</f>
        <v>3</v>
      </c>
      <c r="X32" s="22">
        <f t="shared" si="20"/>
        <v>-0.8929239791557847</v>
      </c>
      <c r="Y32" s="478"/>
      <c r="Z32" s="22">
        <v>3.887485964881209E-5</v>
      </c>
      <c r="AA32" s="402">
        <f>IF(Z32&lt;=0.03,3,IF(Z32&lt;=0.05,1,0))</f>
        <v>3</v>
      </c>
      <c r="AB32" s="22">
        <f>IF(AB34=0,"&lt;不适用&gt;",AB33/AB34)</f>
        <v>1.9816322630863909E-3</v>
      </c>
      <c r="AC32" s="1332">
        <f>IF(AB32&lt;=0.03,3,IF(AB32&lt;=0.05,1,0))</f>
        <v>3</v>
      </c>
      <c r="AD32" s="22">
        <f t="shared" si="21"/>
        <v>49.974647393921693</v>
      </c>
      <c r="AE32" s="478"/>
      <c r="AF32" s="22">
        <v>0</v>
      </c>
      <c r="AG32" s="402">
        <v>3</v>
      </c>
      <c r="AH32" s="22">
        <f>IF(AH34=0,"&lt;不适用&gt;",AH33/AH34)</f>
        <v>0</v>
      </c>
      <c r="AI32" s="1295">
        <v>3</v>
      </c>
      <c r="AJ32" s="22">
        <f t="shared" si="22"/>
        <v>0</v>
      </c>
      <c r="AK32" s="478"/>
      <c r="AL32" s="402" t="s">
        <v>1368</v>
      </c>
      <c r="AM32" s="402">
        <v>3</v>
      </c>
      <c r="AN32" s="402" t="str">
        <f>IF(AN34=0,"&lt;不适用&gt;",AN33/AN34)</f>
        <v>&lt;不适用&gt;</v>
      </c>
      <c r="AO32" s="1295">
        <v>3</v>
      </c>
      <c r="AP32" s="22" t="e">
        <f t="shared" si="23"/>
        <v>#VALUE!</v>
      </c>
      <c r="AQ32" s="478"/>
      <c r="AR32" s="22">
        <v>0</v>
      </c>
      <c r="AS32" s="402">
        <f>IF(AR32&lt;=0.03,3,IF(AR32&lt;=0.05,1,0))</f>
        <v>3</v>
      </c>
      <c r="AT32" s="22">
        <f>IF(AT34=0,"&lt;不适用&gt;",AT33/AT34)</f>
        <v>4.1198441793070884E-3</v>
      </c>
      <c r="AU32" s="1295">
        <f>IF(AT32&lt;=0.03,3,IF(AT32&lt;=0.05,1,0))</f>
        <v>3</v>
      </c>
      <c r="AV32" s="22">
        <f t="shared" si="24"/>
        <v>1</v>
      </c>
      <c r="AW32" s="478"/>
      <c r="AX32" s="22">
        <v>0</v>
      </c>
      <c r="AY32" s="402">
        <f>IF(AX32&lt;=0.03,3,IF(AX32&lt;=0.05,1,0))</f>
        <v>3</v>
      </c>
      <c r="AZ32" s="22">
        <f>IF(AZ34=0,"&lt;不适用&gt;",AZ33/AZ34)</f>
        <v>0</v>
      </c>
      <c r="BA32" s="1295">
        <f>IF(AZ32&lt;=0.03,3,IF(AZ32&lt;=0.05,1,0))</f>
        <v>3</v>
      </c>
      <c r="BB32" s="22">
        <f t="shared" si="25"/>
        <v>0</v>
      </c>
      <c r="BC32" s="478"/>
      <c r="BD32" s="22">
        <v>0</v>
      </c>
      <c r="BE32" s="402">
        <f>IF(BD32&lt;=0.03,3,IF(BD32&lt;=0.05,1,0))</f>
        <v>3</v>
      </c>
      <c r="BF32" s="22">
        <f>IF(BF34=0,"&lt;不适用&gt;",BF33/BF34)</f>
        <v>0</v>
      </c>
      <c r="BG32" s="1295">
        <f>IF(BF32&lt;=0.03,3,IF(BF32&lt;=0.05,1,0))</f>
        <v>3</v>
      </c>
      <c r="BH32" s="22">
        <f t="shared" si="26"/>
        <v>0</v>
      </c>
      <c r="BI32" s="478"/>
      <c r="BJ32" s="22">
        <v>0</v>
      </c>
      <c r="BK32" s="402">
        <v>3</v>
      </c>
      <c r="BL32" s="22">
        <f>IF(BL34=0,"&lt;不适用&gt;",BL33/BL34)</f>
        <v>0</v>
      </c>
      <c r="BM32" s="1295">
        <v>3</v>
      </c>
      <c r="BN32" s="22">
        <f t="shared" si="27"/>
        <v>0</v>
      </c>
      <c r="BO32" s="478"/>
      <c r="BP32" s="22">
        <v>0</v>
      </c>
      <c r="BQ32" s="402">
        <v>3</v>
      </c>
      <c r="BR32" s="22">
        <f>IF(BR34=0,"&lt;不适用&gt;",BR33/BR34)</f>
        <v>0</v>
      </c>
      <c r="BS32" s="1295">
        <v>3</v>
      </c>
      <c r="BT32" s="22">
        <f t="shared" si="28"/>
        <v>0</v>
      </c>
      <c r="BU32" s="478"/>
      <c r="BV32" s="22">
        <v>0</v>
      </c>
      <c r="BW32" s="402">
        <f>IF(BV32&lt;=0.03,3,IF(BV32&lt;=0.05,1,0))</f>
        <v>3</v>
      </c>
      <c r="BX32" s="22">
        <f>IF(BX34=0,"&lt;不适用&gt;",BX33/BX34)</f>
        <v>0</v>
      </c>
      <c r="BY32" s="1332">
        <f>IF(BX32&lt;=0.03,3,IF(BX32&lt;=0.05,1,0))</f>
        <v>3</v>
      </c>
      <c r="BZ32" s="1265">
        <f t="shared" si="29"/>
        <v>0</v>
      </c>
    </row>
    <row r="33" spans="1:81" ht="16.5" customHeight="1">
      <c r="A33" s="1677"/>
      <c r="B33" s="1725"/>
      <c r="C33" s="1464">
        <v>15.1</v>
      </c>
      <c r="D33" s="1464" t="s">
        <v>2103</v>
      </c>
      <c r="E33" s="472" t="s">
        <v>206</v>
      </c>
      <c r="F33" s="473"/>
      <c r="G33" s="474"/>
      <c r="H33" s="473"/>
      <c r="I33" s="487"/>
      <c r="J33" s="476">
        <f t="shared" si="18"/>
        <v>1680.3200000000002</v>
      </c>
      <c r="K33" s="476"/>
      <c r="L33" s="476">
        <f t="shared" si="19"/>
        <v>292.95</v>
      </c>
      <c r="M33" s="476"/>
      <c r="N33" s="480">
        <f t="shared" si="12"/>
        <v>0</v>
      </c>
      <c r="O33" s="414">
        <f t="shared" si="1"/>
        <v>0</v>
      </c>
      <c r="P33" s="477">
        <f t="shared" si="13"/>
        <v>0</v>
      </c>
      <c r="Q33" s="477">
        <f t="shared" si="14"/>
        <v>0</v>
      </c>
      <c r="R33" s="477">
        <f t="shared" si="15"/>
        <v>0</v>
      </c>
      <c r="S33" s="478"/>
      <c r="T33" s="488">
        <v>16793.740000000002</v>
      </c>
      <c r="U33" s="490"/>
      <c r="V33" s="488">
        <v>2015.67</v>
      </c>
      <c r="W33" s="1341"/>
      <c r="X33" s="22">
        <f t="shared" si="20"/>
        <v>-0.87997491922585436</v>
      </c>
      <c r="Y33" s="478"/>
      <c r="Z33" s="402">
        <v>9.4600000000000009</v>
      </c>
      <c r="AA33" s="402"/>
      <c r="AB33" s="402">
        <v>749.46</v>
      </c>
      <c r="AC33" s="1332"/>
      <c r="AD33" s="22">
        <f t="shared" si="21"/>
        <v>78.224101479915433</v>
      </c>
      <c r="AE33" s="478"/>
      <c r="AF33" s="994">
        <v>0</v>
      </c>
      <c r="AG33" s="488"/>
      <c r="AH33" s="994">
        <v>0</v>
      </c>
      <c r="AI33" s="1348"/>
      <c r="AJ33" s="22">
        <f t="shared" si="22"/>
        <v>0</v>
      </c>
      <c r="AK33" s="478"/>
      <c r="AL33" s="402">
        <v>0</v>
      </c>
      <c r="AM33" s="402"/>
      <c r="AN33" s="402">
        <v>0</v>
      </c>
      <c r="AO33" s="1295"/>
      <c r="AP33" s="22">
        <f t="shared" si="23"/>
        <v>0</v>
      </c>
      <c r="AQ33" s="478"/>
      <c r="AR33" s="994">
        <v>0</v>
      </c>
      <c r="AS33" s="488"/>
      <c r="AT33" s="994">
        <v>164.37</v>
      </c>
      <c r="AU33" s="1348"/>
      <c r="AV33" s="22">
        <f t="shared" si="24"/>
        <v>1</v>
      </c>
      <c r="AW33" s="478"/>
      <c r="AX33" s="402">
        <v>0</v>
      </c>
      <c r="AY33" s="402"/>
      <c r="AZ33" s="402">
        <v>0</v>
      </c>
      <c r="BA33" s="1295"/>
      <c r="BB33" s="22">
        <f t="shared" si="25"/>
        <v>0</v>
      </c>
      <c r="BC33" s="478"/>
      <c r="BD33" s="488">
        <v>0</v>
      </c>
      <c r="BE33" s="488"/>
      <c r="BF33" s="1383">
        <v>0</v>
      </c>
      <c r="BG33" s="1348"/>
      <c r="BH33" s="22">
        <f t="shared" si="26"/>
        <v>0</v>
      </c>
      <c r="BI33" s="478"/>
      <c r="BJ33" s="402">
        <v>0</v>
      </c>
      <c r="BK33" s="402"/>
      <c r="BL33" s="402">
        <v>0</v>
      </c>
      <c r="BM33" s="1295"/>
      <c r="BN33" s="22">
        <f t="shared" si="27"/>
        <v>0</v>
      </c>
      <c r="BO33" s="478"/>
      <c r="BP33" s="994">
        <v>0</v>
      </c>
      <c r="BQ33" s="488"/>
      <c r="BR33" s="994">
        <v>0</v>
      </c>
      <c r="BS33" s="1348"/>
      <c r="BT33" s="22">
        <f t="shared" si="28"/>
        <v>0</v>
      </c>
      <c r="BU33" s="478"/>
      <c r="BV33" s="402">
        <v>0</v>
      </c>
      <c r="BW33" s="402"/>
      <c r="BX33" s="402">
        <v>0</v>
      </c>
      <c r="BY33" s="1349"/>
      <c r="BZ33" s="1265">
        <f t="shared" si="29"/>
        <v>0</v>
      </c>
    </row>
    <row r="34" spans="1:81" ht="15" customHeight="1">
      <c r="A34" s="1677"/>
      <c r="B34" s="1725"/>
      <c r="C34" s="1464">
        <v>15.2</v>
      </c>
      <c r="D34" s="1464" t="s">
        <v>2107</v>
      </c>
      <c r="E34" s="472" t="s">
        <v>206</v>
      </c>
      <c r="F34" s="473"/>
      <c r="G34" s="474"/>
      <c r="H34" s="473"/>
      <c r="I34" s="487"/>
      <c r="J34" s="476">
        <f t="shared" si="18"/>
        <v>297667.82399999996</v>
      </c>
      <c r="K34" s="476"/>
      <c r="L34" s="476">
        <f>AVERAGE(BX34,BR34,BL34,BF34,AZ34,AT34,AN34,AH34,AB34,V34)</f>
        <v>216030.54100000003</v>
      </c>
      <c r="M34" s="476"/>
      <c r="N34" s="480">
        <f t="shared" si="12"/>
        <v>0</v>
      </c>
      <c r="O34" s="414">
        <f t="shared" si="1"/>
        <v>0</v>
      </c>
      <c r="P34" s="477">
        <f t="shared" si="13"/>
        <v>0</v>
      </c>
      <c r="Q34" s="477">
        <f t="shared" si="14"/>
        <v>0</v>
      </c>
      <c r="R34" s="477">
        <f t="shared" si="15"/>
        <v>0</v>
      </c>
      <c r="S34" s="478"/>
      <c r="T34" s="488">
        <v>662105.5499999997</v>
      </c>
      <c r="U34" s="490"/>
      <c r="V34" s="488">
        <v>742176.17999999982</v>
      </c>
      <c r="W34" s="1341"/>
      <c r="X34" s="22">
        <f t="shared" si="20"/>
        <v>0.12093333155114028</v>
      </c>
      <c r="Y34" s="478"/>
      <c r="Z34" s="402">
        <v>243344.92999999996</v>
      </c>
      <c r="AA34" s="402"/>
      <c r="AB34" s="402">
        <v>378203.37000000017</v>
      </c>
      <c r="AC34" s="1332"/>
      <c r="AD34" s="22">
        <f t="shared" si="21"/>
        <v>0.55418635596804999</v>
      </c>
      <c r="AE34" s="478"/>
      <c r="AF34" s="488">
        <v>1385.2</v>
      </c>
      <c r="AG34" s="488"/>
      <c r="AH34" s="488">
        <v>1803.7</v>
      </c>
      <c r="AI34" s="1348"/>
      <c r="AJ34" s="22">
        <f t="shared" si="22"/>
        <v>0.30212243719318499</v>
      </c>
      <c r="AK34" s="478"/>
      <c r="AL34" s="402">
        <v>0</v>
      </c>
      <c r="AM34" s="402"/>
      <c r="AN34" s="402">
        <v>0</v>
      </c>
      <c r="AO34" s="1295"/>
      <c r="AP34" s="22">
        <f t="shared" si="23"/>
        <v>0</v>
      </c>
      <c r="AQ34" s="478"/>
      <c r="AR34" s="488">
        <v>1587903.3499999999</v>
      </c>
      <c r="AS34" s="488"/>
      <c r="AT34" s="488">
        <v>39897.14</v>
      </c>
      <c r="AU34" s="1348"/>
      <c r="AV34" s="22">
        <f t="shared" si="24"/>
        <v>-0.97487432720637557</v>
      </c>
      <c r="AW34" s="478"/>
      <c r="AX34" s="491">
        <v>136466.18999999994</v>
      </c>
      <c r="AY34" s="402"/>
      <c r="AZ34" s="491">
        <v>167445.48999999993</v>
      </c>
      <c r="BA34" s="1295"/>
      <c r="BB34" s="22">
        <f t="shared" si="25"/>
        <v>0.22701080758538073</v>
      </c>
      <c r="BC34" s="478"/>
      <c r="BD34" s="488">
        <v>130104.81</v>
      </c>
      <c r="BE34" s="488"/>
      <c r="BF34" s="488">
        <v>380726.9</v>
      </c>
      <c r="BG34" s="1348"/>
      <c r="BH34" s="22">
        <f t="shared" si="26"/>
        <v>1.9263091810364279</v>
      </c>
      <c r="BI34" s="478"/>
      <c r="BJ34" s="402">
        <v>203.29</v>
      </c>
      <c r="BK34" s="402"/>
      <c r="BL34" s="402">
        <v>245.79</v>
      </c>
      <c r="BM34" s="1295"/>
      <c r="BN34" s="22">
        <f t="shared" si="27"/>
        <v>0.2090609474150229</v>
      </c>
      <c r="BO34" s="478"/>
      <c r="BP34" s="488">
        <v>3426.92</v>
      </c>
      <c r="BQ34" s="488"/>
      <c r="BR34" s="488">
        <v>3426.92</v>
      </c>
      <c r="BS34" s="1348"/>
      <c r="BT34" s="22">
        <f t="shared" si="28"/>
        <v>0</v>
      </c>
      <c r="BU34" s="478"/>
      <c r="BV34" s="402">
        <v>211738</v>
      </c>
      <c r="BW34" s="402"/>
      <c r="BX34" s="402">
        <v>446379.92</v>
      </c>
      <c r="BY34" s="1349"/>
      <c r="BZ34" s="1265">
        <f t="shared" si="29"/>
        <v>1.1081710415702424</v>
      </c>
    </row>
    <row r="35" spans="1:81" ht="15" customHeight="1">
      <c r="A35" s="1721" t="s">
        <v>1257</v>
      </c>
      <c r="B35" s="1721" t="s">
        <v>1258</v>
      </c>
      <c r="C35" s="1455">
        <v>16</v>
      </c>
      <c r="D35" s="471" t="s">
        <v>1676</v>
      </c>
      <c r="E35" s="472" t="s">
        <v>206</v>
      </c>
      <c r="F35" s="473"/>
      <c r="G35" s="474" t="s">
        <v>403</v>
      </c>
      <c r="H35" s="473" t="s">
        <v>232</v>
      </c>
      <c r="I35" s="1715">
        <v>10</v>
      </c>
      <c r="J35" s="1423">
        <f t="shared" si="18"/>
        <v>0</v>
      </c>
      <c r="K35" s="1730">
        <f>AVERAGE(BW35,BQ35,BK35,BE35,AY35,AS35,AM35,AG35,AA35,U35)</f>
        <v>10</v>
      </c>
      <c r="L35" s="1424">
        <f t="shared" si="19"/>
        <v>0</v>
      </c>
      <c r="M35" s="1730">
        <f>AVERAGE(BY35,BS35,BM35,BG35,BA35,AU35,AO35,AI35,AC35,W35)</f>
        <v>10</v>
      </c>
      <c r="N35" s="480">
        <f t="shared" si="12"/>
        <v>0</v>
      </c>
      <c r="O35" s="414">
        <f t="shared" si="1"/>
        <v>0</v>
      </c>
      <c r="P35" s="477">
        <f t="shared" si="13"/>
        <v>0</v>
      </c>
      <c r="Q35" s="477">
        <f t="shared" si="14"/>
        <v>0</v>
      </c>
      <c r="R35" s="477">
        <f t="shared" si="15"/>
        <v>0</v>
      </c>
      <c r="S35" s="478"/>
      <c r="T35" s="402">
        <v>0</v>
      </c>
      <c r="U35" s="1669">
        <f>10-3*T35-0.5*T36</f>
        <v>10</v>
      </c>
      <c r="V35" s="402">
        <v>0</v>
      </c>
      <c r="W35" s="1670">
        <f>10-V35*3-V36*0.5</f>
        <v>10</v>
      </c>
      <c r="X35" s="22">
        <f t="shared" si="20"/>
        <v>0</v>
      </c>
      <c r="Y35" s="478"/>
      <c r="Z35" s="402">
        <v>0</v>
      </c>
      <c r="AA35" s="1714">
        <f>10-3*Z35-0.5*Z36</f>
        <v>10</v>
      </c>
      <c r="AB35" s="402">
        <v>0</v>
      </c>
      <c r="AC35" s="1670">
        <f>10-AB35*3-AB36*0.5</f>
        <v>10</v>
      </c>
      <c r="AD35" s="22">
        <f t="shared" si="21"/>
        <v>0</v>
      </c>
      <c r="AE35" s="478"/>
      <c r="AF35" s="402">
        <v>0</v>
      </c>
      <c r="AG35" s="1714">
        <f>10-3*AF35-0.5*AF36</f>
        <v>10</v>
      </c>
      <c r="AH35" s="402">
        <v>0</v>
      </c>
      <c r="AI35" s="1716">
        <f>10-AH35*3-AH36*0.5</f>
        <v>10</v>
      </c>
      <c r="AJ35" s="22">
        <f t="shared" si="22"/>
        <v>0</v>
      </c>
      <c r="AK35" s="478"/>
      <c r="AL35" s="402">
        <v>0</v>
      </c>
      <c r="AM35" s="1714">
        <f>10-3*AL35-0.5*AL36</f>
        <v>10</v>
      </c>
      <c r="AN35" s="402">
        <v>0</v>
      </c>
      <c r="AO35" s="1716">
        <f>10-AN35*3-AN36*0.5</f>
        <v>10</v>
      </c>
      <c r="AP35" s="22">
        <f t="shared" si="23"/>
        <v>0</v>
      </c>
      <c r="AQ35" s="478"/>
      <c r="AR35" s="402">
        <v>0</v>
      </c>
      <c r="AS35" s="1714">
        <f>10-3*AR35-0.5*AR36</f>
        <v>10</v>
      </c>
      <c r="AT35" s="402">
        <v>0</v>
      </c>
      <c r="AU35" s="1716">
        <f>10-AT35*3-AT36*0.5</f>
        <v>10</v>
      </c>
      <c r="AV35" s="22">
        <f t="shared" si="24"/>
        <v>0</v>
      </c>
      <c r="AW35" s="478"/>
      <c r="AX35" s="402">
        <v>0</v>
      </c>
      <c r="AY35" s="1714">
        <f>10-3*AX35-0.5*AX36</f>
        <v>10</v>
      </c>
      <c r="AZ35" s="402">
        <v>0</v>
      </c>
      <c r="BA35" s="1716">
        <f>10-AZ35*3-AZ36*0.5</f>
        <v>10</v>
      </c>
      <c r="BB35" s="22">
        <f t="shared" si="25"/>
        <v>0</v>
      </c>
      <c r="BC35" s="478"/>
      <c r="BD35" s="402">
        <v>0</v>
      </c>
      <c r="BE35" s="1714">
        <f>10-3*BD35-0.5*BD36</f>
        <v>10</v>
      </c>
      <c r="BF35" s="402">
        <v>0</v>
      </c>
      <c r="BG35" s="1716">
        <f>10-BF35*3-BF36*0.5</f>
        <v>10</v>
      </c>
      <c r="BH35" s="22">
        <f t="shared" si="26"/>
        <v>0</v>
      </c>
      <c r="BI35" s="478"/>
      <c r="BJ35" s="402">
        <v>0</v>
      </c>
      <c r="BK35" s="1714">
        <f>10-3*BJ35-0.5*BJ36</f>
        <v>10</v>
      </c>
      <c r="BL35" s="402">
        <v>0</v>
      </c>
      <c r="BM35" s="1716">
        <f>10-BL35*3-BL36*0.5</f>
        <v>10</v>
      </c>
      <c r="BN35" s="22">
        <f t="shared" si="27"/>
        <v>0</v>
      </c>
      <c r="BO35" s="478"/>
      <c r="BP35" s="402">
        <v>0</v>
      </c>
      <c r="BQ35" s="1714">
        <f>10-3*BP35-0.5*BP36</f>
        <v>10</v>
      </c>
      <c r="BR35" s="402">
        <v>0</v>
      </c>
      <c r="BS35" s="1716">
        <f>10-BR35*3-BR36*0.5</f>
        <v>10</v>
      </c>
      <c r="BT35" s="22">
        <f t="shared" si="28"/>
        <v>0</v>
      </c>
      <c r="BU35" s="478"/>
      <c r="BV35" s="402">
        <v>0</v>
      </c>
      <c r="BW35" s="1714">
        <f>10-3*BV35-0.5*BV36</f>
        <v>10</v>
      </c>
      <c r="BX35" s="402">
        <v>0</v>
      </c>
      <c r="BY35" s="1670">
        <f>10-BX35*3-BX36*0.5</f>
        <v>10</v>
      </c>
      <c r="BZ35" s="1265">
        <f t="shared" si="29"/>
        <v>0</v>
      </c>
    </row>
    <row r="36" spans="1:81" ht="18" customHeight="1">
      <c r="A36" s="1721"/>
      <c r="B36" s="1721"/>
      <c r="C36" s="1455">
        <v>17</v>
      </c>
      <c r="D36" s="471" t="s">
        <v>1482</v>
      </c>
      <c r="E36" s="472" t="s">
        <v>206</v>
      </c>
      <c r="F36" s="473"/>
      <c r="G36" s="474" t="s">
        <v>403</v>
      </c>
      <c r="H36" s="473" t="s">
        <v>232</v>
      </c>
      <c r="I36" s="1715"/>
      <c r="J36" s="1423">
        <f t="shared" si="18"/>
        <v>0</v>
      </c>
      <c r="K36" s="1731"/>
      <c r="L36" s="1424">
        <f t="shared" si="19"/>
        <v>0</v>
      </c>
      <c r="M36" s="1731"/>
      <c r="N36" s="480">
        <f t="shared" si="12"/>
        <v>0</v>
      </c>
      <c r="O36" s="414">
        <f t="shared" si="1"/>
        <v>0</v>
      </c>
      <c r="P36" s="477">
        <f t="shared" si="13"/>
        <v>0</v>
      </c>
      <c r="Q36" s="477">
        <f t="shared" si="14"/>
        <v>0</v>
      </c>
      <c r="R36" s="477">
        <f t="shared" si="15"/>
        <v>0</v>
      </c>
      <c r="S36" s="478"/>
      <c r="T36" s="402">
        <v>0</v>
      </c>
      <c r="U36" s="1669"/>
      <c r="V36" s="402">
        <v>0</v>
      </c>
      <c r="W36" s="1670"/>
      <c r="X36" s="22">
        <f>IF(AND(T36=0,V36&lt;&gt;0),1,IF(AND(T36=0,V36=0),0,V36/T36-1))</f>
        <v>0</v>
      </c>
      <c r="Y36" s="478"/>
      <c r="Z36" s="402">
        <v>0</v>
      </c>
      <c r="AA36" s="1714"/>
      <c r="AB36" s="402">
        <v>0</v>
      </c>
      <c r="AC36" s="1670"/>
      <c r="AD36" s="22">
        <f t="shared" si="21"/>
        <v>0</v>
      </c>
      <c r="AE36" s="478"/>
      <c r="AF36" s="402">
        <v>0</v>
      </c>
      <c r="AG36" s="1714"/>
      <c r="AH36" s="402">
        <v>0</v>
      </c>
      <c r="AI36" s="1716"/>
      <c r="AJ36" s="22">
        <f t="shared" si="22"/>
        <v>0</v>
      </c>
      <c r="AK36" s="478"/>
      <c r="AL36" s="402">
        <v>0</v>
      </c>
      <c r="AM36" s="1714"/>
      <c r="AN36" s="402">
        <v>0</v>
      </c>
      <c r="AO36" s="1716"/>
      <c r="AP36" s="22">
        <f t="shared" si="23"/>
        <v>0</v>
      </c>
      <c r="AQ36" s="478"/>
      <c r="AR36" s="402">
        <v>0</v>
      </c>
      <c r="AS36" s="1714"/>
      <c r="AT36" s="402">
        <v>0</v>
      </c>
      <c r="AU36" s="1716"/>
      <c r="AV36" s="22">
        <f t="shared" si="24"/>
        <v>0</v>
      </c>
      <c r="AW36" s="478"/>
      <c r="AX36" s="402">
        <v>0</v>
      </c>
      <c r="AY36" s="1714"/>
      <c r="AZ36" s="402">
        <v>0</v>
      </c>
      <c r="BA36" s="1716"/>
      <c r="BB36" s="22">
        <f t="shared" si="25"/>
        <v>0</v>
      </c>
      <c r="BC36" s="478"/>
      <c r="BD36" s="402">
        <v>0</v>
      </c>
      <c r="BE36" s="1714"/>
      <c r="BF36" s="402">
        <v>0</v>
      </c>
      <c r="BG36" s="1716"/>
      <c r="BH36" s="22">
        <f t="shared" si="26"/>
        <v>0</v>
      </c>
      <c r="BI36" s="478"/>
      <c r="BJ36" s="402">
        <v>0</v>
      </c>
      <c r="BK36" s="1714"/>
      <c r="BL36" s="402">
        <v>0</v>
      </c>
      <c r="BM36" s="1716"/>
      <c r="BN36" s="22">
        <f t="shared" si="27"/>
        <v>0</v>
      </c>
      <c r="BO36" s="478"/>
      <c r="BP36" s="402">
        <v>0</v>
      </c>
      <c r="BQ36" s="1714"/>
      <c r="BR36" s="402">
        <v>0</v>
      </c>
      <c r="BS36" s="1716"/>
      <c r="BT36" s="22">
        <f t="shared" si="28"/>
        <v>0</v>
      </c>
      <c r="BU36" s="478"/>
      <c r="BV36" s="402">
        <v>0</v>
      </c>
      <c r="BW36" s="1714"/>
      <c r="BX36" s="402">
        <v>0</v>
      </c>
      <c r="BY36" s="1670"/>
      <c r="BZ36" s="1265">
        <f t="shared" si="29"/>
        <v>0</v>
      </c>
    </row>
    <row r="37" spans="1:81" ht="14.25">
      <c r="A37" s="480" t="s">
        <v>1260</v>
      </c>
      <c r="B37" s="480" t="s">
        <v>1261</v>
      </c>
      <c r="C37" s="1455">
        <v>18</v>
      </c>
      <c r="D37" s="471" t="s">
        <v>1259</v>
      </c>
      <c r="E37" s="472" t="s">
        <v>206</v>
      </c>
      <c r="F37" s="473"/>
      <c r="G37" s="474" t="s">
        <v>399</v>
      </c>
      <c r="H37" s="473" t="s">
        <v>232</v>
      </c>
      <c r="I37" s="475">
        <v>3</v>
      </c>
      <c r="J37" s="1380" t="s">
        <v>1262</v>
      </c>
      <c r="K37" s="476">
        <f>AVERAGE(BW37,BQ37,BK37,BE37,AY37,AS37,AM37,AG37,AA37,U37)</f>
        <v>3</v>
      </c>
      <c r="L37" s="476" t="s">
        <v>1262</v>
      </c>
      <c r="M37" s="476">
        <f>AVERAGE(BY37,BS37,BM37,BG37,BA37,AU37,AO37,AI37,AC37,W37)</f>
        <v>3</v>
      </c>
      <c r="N37" s="480">
        <f t="shared" si="12"/>
        <v>0</v>
      </c>
      <c r="O37" s="414">
        <f t="shared" si="1"/>
        <v>0</v>
      </c>
      <c r="P37" s="477">
        <f t="shared" si="13"/>
        <v>0</v>
      </c>
      <c r="Q37" s="477">
        <f t="shared" si="14"/>
        <v>0</v>
      </c>
      <c r="R37" s="477">
        <f t="shared" si="15"/>
        <v>0</v>
      </c>
      <c r="S37" s="478"/>
      <c r="T37" s="360" t="s">
        <v>1262</v>
      </c>
      <c r="U37" s="380">
        <f>IF(LEFT(T37,1)="1",3,0)</f>
        <v>3</v>
      </c>
      <c r="V37" s="360" t="s">
        <v>1262</v>
      </c>
      <c r="W37" s="1332">
        <f>IF(LEFT(V37)="1",3,0)</f>
        <v>3</v>
      </c>
      <c r="X37" s="22">
        <f>IF((V37=T37)=TRUE,0,1)</f>
        <v>0</v>
      </c>
      <c r="Y37" s="478"/>
      <c r="Z37" s="360" t="s">
        <v>1262</v>
      </c>
      <c r="AA37" s="402">
        <f>IF(LEFT(Z37,1)="1",3,0)</f>
        <v>3</v>
      </c>
      <c r="AB37" s="360" t="s">
        <v>1262</v>
      </c>
      <c r="AC37" s="1332">
        <f>IF(LEFT(AB37)="1",3,0)</f>
        <v>3</v>
      </c>
      <c r="AD37" s="22">
        <f>IF((AB37=Z37)=TRUE,0,1)</f>
        <v>0</v>
      </c>
      <c r="AE37" s="478"/>
      <c r="AF37" s="360" t="s">
        <v>1262</v>
      </c>
      <c r="AG37" s="402">
        <f>IF(LEFT(AF37,1)="1",3,0)</f>
        <v>3</v>
      </c>
      <c r="AH37" s="360" t="s">
        <v>1262</v>
      </c>
      <c r="AI37" s="1295">
        <f>IF(LEFT(AH37)="1",3,0)</f>
        <v>3</v>
      </c>
      <c r="AJ37" s="22">
        <f>IF((AH37=AF37)=TRUE,0,1)</f>
        <v>0</v>
      </c>
      <c r="AK37" s="478"/>
      <c r="AL37" s="360" t="s">
        <v>1262</v>
      </c>
      <c r="AM37" s="402">
        <f>IF(LEFT(AL37,1)="1",3,0)</f>
        <v>3</v>
      </c>
      <c r="AN37" s="360" t="s">
        <v>1262</v>
      </c>
      <c r="AO37" s="1295">
        <f>IF(LEFT(AN37)="1",3,0)</f>
        <v>3</v>
      </c>
      <c r="AP37" s="22">
        <f>IF((AN37=AL37)=TRUE,0,1)</f>
        <v>0</v>
      </c>
      <c r="AQ37" s="478"/>
      <c r="AR37" s="360" t="s">
        <v>1262</v>
      </c>
      <c r="AS37" s="402">
        <f>IF(LEFT(AR37,1)="1",3,0)</f>
        <v>3</v>
      </c>
      <c r="AT37" s="360" t="s">
        <v>1262</v>
      </c>
      <c r="AU37" s="1295">
        <f>IF(LEFT(AT37)="1",3,0)</f>
        <v>3</v>
      </c>
      <c r="AV37" s="22">
        <f>IF((AT37=AR37)=TRUE,0,1)</f>
        <v>0</v>
      </c>
      <c r="AW37" s="478"/>
      <c r="AX37" s="360" t="s">
        <v>1262</v>
      </c>
      <c r="AY37" s="402">
        <f>IF(LEFT(AX37,1)="1",3,0)</f>
        <v>3</v>
      </c>
      <c r="AZ37" s="360" t="s">
        <v>1262</v>
      </c>
      <c r="BA37" s="1295">
        <f>IF(LEFT(AZ37)="1",3,0)</f>
        <v>3</v>
      </c>
      <c r="BB37" s="22">
        <f>IF((AZ37=AX37)=TRUE,0,1)</f>
        <v>0</v>
      </c>
      <c r="BC37" s="478"/>
      <c r="BD37" s="360" t="s">
        <v>1262</v>
      </c>
      <c r="BE37" s="402">
        <f>IF(LEFT(BD37,1)="1",3,0)</f>
        <v>3</v>
      </c>
      <c r="BF37" s="360" t="s">
        <v>1262</v>
      </c>
      <c r="BG37" s="1295">
        <f>IF(LEFT(BF37)="1",3,0)</f>
        <v>3</v>
      </c>
      <c r="BH37" s="22">
        <f>IF((BF37=BD37)=TRUE,0,1)</f>
        <v>0</v>
      </c>
      <c r="BI37" s="478"/>
      <c r="BJ37" s="360" t="s">
        <v>1262</v>
      </c>
      <c r="BK37" s="402">
        <f>IF(LEFT(BJ37,1)="1",3,0)</f>
        <v>3</v>
      </c>
      <c r="BL37" s="360" t="s">
        <v>1262</v>
      </c>
      <c r="BM37" s="1295">
        <f>IF(LEFT(BL37)="1",3,0)</f>
        <v>3</v>
      </c>
      <c r="BN37" s="22">
        <f>IF((BL37=BJ37)=TRUE,0,1)</f>
        <v>0</v>
      </c>
      <c r="BO37" s="478"/>
      <c r="BP37" s="360" t="s">
        <v>1262</v>
      </c>
      <c r="BQ37" s="402">
        <f>IF(LEFT(BP37,1)="1",3,0)</f>
        <v>3</v>
      </c>
      <c r="BR37" s="360" t="s">
        <v>1262</v>
      </c>
      <c r="BS37" s="1295">
        <f>IF(LEFT(BR37)="1",3,0)</f>
        <v>3</v>
      </c>
      <c r="BT37" s="22">
        <f>IF((BR37=BP37)=TRUE,0,1)</f>
        <v>0</v>
      </c>
      <c r="BU37" s="478"/>
      <c r="BV37" s="360" t="s">
        <v>1262</v>
      </c>
      <c r="BW37" s="402">
        <f>IF(LEFT(BV37,1)="1",3,0)</f>
        <v>3</v>
      </c>
      <c r="BX37" s="360" t="s">
        <v>1262</v>
      </c>
      <c r="BY37" s="1332">
        <f>IF(LEFT(BX37)="1",3,0)</f>
        <v>3</v>
      </c>
      <c r="BZ37" s="1265">
        <f>IF((BX37=BV37)=TRUE,0,1)</f>
        <v>0</v>
      </c>
    </row>
    <row r="38" spans="1:81" ht="17.25" customHeight="1">
      <c r="A38" s="1721" t="s">
        <v>1263</v>
      </c>
      <c r="B38" s="1721" t="s">
        <v>1675</v>
      </c>
      <c r="C38" s="1455">
        <v>19</v>
      </c>
      <c r="D38" s="1421" t="s">
        <v>1704</v>
      </c>
      <c r="E38" s="472" t="s">
        <v>206</v>
      </c>
      <c r="F38" s="473"/>
      <c r="G38" s="474" t="s">
        <v>403</v>
      </c>
      <c r="H38" s="473" t="s">
        <v>232</v>
      </c>
      <c r="I38" s="1715">
        <v>12</v>
      </c>
      <c r="J38" s="477">
        <f t="shared" ref="J38:J51" si="30">AVERAGE(BV38,BP38,BJ38,BD38,AX38,AR38,AL38,AF38,Z38,T38)</f>
        <v>0.1</v>
      </c>
      <c r="K38" s="1722">
        <f>AVERAGE(BW38,BQ38,BK38,BE38,AY38,AS38,AM38,AG38,AA38,U38)</f>
        <v>11.7</v>
      </c>
      <c r="L38" s="477">
        <f t="shared" ref="L38:L43" si="31">AVERAGE(BX38,BR38,BL38,BF38,AZ38,AT38,AN38,AH38,AB38,V38)</f>
        <v>0.1</v>
      </c>
      <c r="M38" s="1722">
        <f>AVERAGE(BY38,BS38,BM38,BG38,BA38,AU38,AO38,AI38,AC38,W38)</f>
        <v>11.7</v>
      </c>
      <c r="N38" s="467">
        <f t="shared" si="12"/>
        <v>0</v>
      </c>
      <c r="O38" s="414">
        <f t="shared" si="1"/>
        <v>0.30000000000000071</v>
      </c>
      <c r="P38" s="477">
        <f t="shared" si="13"/>
        <v>0.12000000000000029</v>
      </c>
      <c r="Q38" s="477">
        <f t="shared" si="14"/>
        <v>1.3333333333333365E-2</v>
      </c>
      <c r="R38" s="477">
        <f t="shared" si="15"/>
        <v>6.6666666666666827E-3</v>
      </c>
      <c r="S38" s="478"/>
      <c r="T38" s="402">
        <v>0</v>
      </c>
      <c r="U38" s="1669">
        <f>12-T38*3-T39*0.5</f>
        <v>12</v>
      </c>
      <c r="V38" s="402">
        <v>0</v>
      </c>
      <c r="W38" s="1670">
        <f>12-V38*3-V39*0.5</f>
        <v>12</v>
      </c>
      <c r="X38" s="22">
        <f t="shared" ref="X38:X51" si="32">IF(AND(T38=0,V38&lt;&gt;0),1,IF(AND(T38=0,V38=0),0,V38/T38-1))</f>
        <v>0</v>
      </c>
      <c r="Y38" s="478"/>
      <c r="Z38" s="402">
        <v>0</v>
      </c>
      <c r="AA38" s="1714">
        <f>12-Z38*3-Z39*0.5</f>
        <v>12</v>
      </c>
      <c r="AB38" s="402">
        <v>0</v>
      </c>
      <c r="AC38" s="1670">
        <f>12-AB38*3-AB39*0.5</f>
        <v>12</v>
      </c>
      <c r="AD38" s="22">
        <f t="shared" ref="AD38:AD51" si="33">IF(AND(Z38=0,AB38&lt;&gt;0),1,IF(AND(Z38=0,AB38=0),0,AB38/Z38-1))</f>
        <v>0</v>
      </c>
      <c r="AE38" s="478"/>
      <c r="AF38" s="402">
        <v>0</v>
      </c>
      <c r="AG38" s="1714">
        <f>12-AF38*3-AF39*0.5</f>
        <v>12</v>
      </c>
      <c r="AH38" s="402">
        <v>0</v>
      </c>
      <c r="AI38" s="1716">
        <f>12-AH38*3-AH39*0.5</f>
        <v>12</v>
      </c>
      <c r="AJ38" s="22">
        <f t="shared" ref="AJ38:AJ51" si="34">IF(AND(AF38=0,AH38&lt;&gt;0),1,IF(AND(AF38=0,AH38=0),0,AH38/AF38-1))</f>
        <v>0</v>
      </c>
      <c r="AK38" s="478"/>
      <c r="AL38" s="402">
        <v>1</v>
      </c>
      <c r="AM38" s="1714">
        <f>12-AL38*3-AL39*0.5</f>
        <v>9</v>
      </c>
      <c r="AN38" s="402">
        <v>1</v>
      </c>
      <c r="AO38" s="1716">
        <f>12-AN38*3-AN39*0.5</f>
        <v>9</v>
      </c>
      <c r="AP38" s="22">
        <f t="shared" ref="AP38:AP51" si="35">IF(AND(AL38=0,AN38&lt;&gt;0),1,IF(AND(AL38=0,AN38=0),0,AN38/AL38-1))</f>
        <v>0</v>
      </c>
      <c r="AQ38" s="478"/>
      <c r="AR38" s="402">
        <v>0</v>
      </c>
      <c r="AS38" s="1714">
        <f>12-AR38*3-AR39*0.5</f>
        <v>12</v>
      </c>
      <c r="AT38" s="402">
        <v>0</v>
      </c>
      <c r="AU38" s="1716">
        <f>12-AT38*3-AT39*0.5</f>
        <v>12</v>
      </c>
      <c r="AV38" s="22">
        <f t="shared" ref="AV38:AV51" si="36">IF(AND(AR38=0,AT38&lt;&gt;0),1,IF(AND(AR38=0,AT38=0),0,AT38/AR38-1))</f>
        <v>0</v>
      </c>
      <c r="AW38" s="478"/>
      <c r="AX38" s="402">
        <v>0</v>
      </c>
      <c r="AY38" s="1714">
        <f>12-AX38*3-AX39*0.5</f>
        <v>12</v>
      </c>
      <c r="AZ38" s="402">
        <v>0</v>
      </c>
      <c r="BA38" s="1716">
        <f>12-AZ38*3-AZ39*0.5</f>
        <v>12</v>
      </c>
      <c r="BB38" s="22">
        <f t="shared" ref="BB38:BB51" si="37">IF(AND(AX38=0,AZ38&lt;&gt;0),1,IF(AND(AX38=0,AZ38=0),0,AZ38/AX38-1))</f>
        <v>0</v>
      </c>
      <c r="BC38" s="478"/>
      <c r="BD38" s="402">
        <v>0</v>
      </c>
      <c r="BE38" s="1714">
        <f>12-BD38*3-BD39*0.5</f>
        <v>12</v>
      </c>
      <c r="BF38" s="402">
        <v>0</v>
      </c>
      <c r="BG38" s="1716">
        <f>12-BF38*3-BF39*0.5</f>
        <v>12</v>
      </c>
      <c r="BH38" s="22">
        <f t="shared" ref="BH38:BH51" si="38">IF(AND(BD38=0,BF38&lt;&gt;0),1,IF(AND(BD38=0,BF38=0),0,BF38/BD38-1))</f>
        <v>0</v>
      </c>
      <c r="BI38" s="478"/>
      <c r="BJ38" s="402">
        <v>0</v>
      </c>
      <c r="BK38" s="1714">
        <f>12-BJ38*3-BJ39*0.5</f>
        <v>12</v>
      </c>
      <c r="BL38" s="402">
        <v>0</v>
      </c>
      <c r="BM38" s="1716">
        <f>12-BL38*3-BL39*0.5</f>
        <v>12</v>
      </c>
      <c r="BN38" s="22">
        <f t="shared" ref="BN38:BN51" si="39">IF(AND(BJ38=0,BL38&lt;&gt;0),1,IF(AND(BJ38=0,BL38=0),0,BL38/BJ38-1))</f>
        <v>0</v>
      </c>
      <c r="BO38" s="478"/>
      <c r="BP38" s="402">
        <v>0</v>
      </c>
      <c r="BQ38" s="1714">
        <f>12-BP38*3-BP39*0.5</f>
        <v>12</v>
      </c>
      <c r="BR38" s="402">
        <v>0</v>
      </c>
      <c r="BS38" s="1716">
        <f>12-BR38*3-BR39*0.5</f>
        <v>12</v>
      </c>
      <c r="BT38" s="22">
        <f t="shared" ref="BT38:BT51" si="40">IF(AND(BP38=0,BR38&lt;&gt;0),1,IF(AND(BP38=0,BR38=0),0,BR38/BP38-1))</f>
        <v>0</v>
      </c>
      <c r="BU38" s="478"/>
      <c r="BV38" s="402">
        <v>0</v>
      </c>
      <c r="BW38" s="1714">
        <f>12-BV38*3-BV39*0.5</f>
        <v>12</v>
      </c>
      <c r="BX38" s="402">
        <v>0</v>
      </c>
      <c r="BY38" s="1670">
        <f>12-BX38*3-BX39*0.5</f>
        <v>12</v>
      </c>
      <c r="BZ38" s="1265">
        <f t="shared" ref="BZ38:BZ51" si="41">IF(AND(BV38=0,BX38&lt;&gt;0),1,IF(AND(BV38=0,BX38=0),0,BX38/BV38-1))</f>
        <v>0</v>
      </c>
    </row>
    <row r="39" spans="1:81" ht="14.25">
      <c r="A39" s="1721"/>
      <c r="B39" s="1721"/>
      <c r="C39" s="1455">
        <v>20</v>
      </c>
      <c r="D39" s="492" t="s">
        <v>1264</v>
      </c>
      <c r="E39" s="472" t="s">
        <v>206</v>
      </c>
      <c r="F39" s="473"/>
      <c r="G39" s="474" t="s">
        <v>403</v>
      </c>
      <c r="H39" s="473" t="s">
        <v>232</v>
      </c>
      <c r="I39" s="1715"/>
      <c r="J39" s="1426">
        <f t="shared" si="30"/>
        <v>0</v>
      </c>
      <c r="K39" s="1723"/>
      <c r="L39" s="1426">
        <f t="shared" si="31"/>
        <v>0</v>
      </c>
      <c r="M39" s="1723"/>
      <c r="N39" s="480">
        <f t="shared" si="12"/>
        <v>0</v>
      </c>
      <c r="O39" s="414">
        <f t="shared" si="1"/>
        <v>0</v>
      </c>
      <c r="P39" s="477">
        <f t="shared" si="13"/>
        <v>0</v>
      </c>
      <c r="Q39" s="477">
        <f t="shared" si="14"/>
        <v>0</v>
      </c>
      <c r="R39" s="477">
        <f t="shared" si="15"/>
        <v>0</v>
      </c>
      <c r="S39" s="478"/>
      <c r="T39" s="402">
        <v>0</v>
      </c>
      <c r="U39" s="1669"/>
      <c r="V39" s="402">
        <v>0</v>
      </c>
      <c r="W39" s="1670"/>
      <c r="X39" s="22">
        <f t="shared" si="32"/>
        <v>0</v>
      </c>
      <c r="Y39" s="478"/>
      <c r="Z39" s="402">
        <v>0</v>
      </c>
      <c r="AA39" s="1714"/>
      <c r="AB39" s="402">
        <v>0</v>
      </c>
      <c r="AC39" s="1670"/>
      <c r="AD39" s="22">
        <f t="shared" si="33"/>
        <v>0</v>
      </c>
      <c r="AE39" s="478"/>
      <c r="AF39" s="402">
        <v>0</v>
      </c>
      <c r="AG39" s="1714"/>
      <c r="AH39" s="402">
        <v>0</v>
      </c>
      <c r="AI39" s="1716"/>
      <c r="AJ39" s="22">
        <f t="shared" si="34"/>
        <v>0</v>
      </c>
      <c r="AK39" s="478"/>
      <c r="AL39" s="402">
        <v>0</v>
      </c>
      <c r="AM39" s="1714"/>
      <c r="AN39" s="402">
        <v>0</v>
      </c>
      <c r="AO39" s="1716"/>
      <c r="AP39" s="22">
        <f t="shared" si="35"/>
        <v>0</v>
      </c>
      <c r="AQ39" s="478"/>
      <c r="AR39" s="402">
        <v>0</v>
      </c>
      <c r="AS39" s="1714"/>
      <c r="AT39" s="402">
        <v>0</v>
      </c>
      <c r="AU39" s="1716"/>
      <c r="AV39" s="22">
        <f t="shared" si="36"/>
        <v>0</v>
      </c>
      <c r="AW39" s="478"/>
      <c r="AX39" s="402">
        <v>0</v>
      </c>
      <c r="AY39" s="1714"/>
      <c r="AZ39" s="402">
        <v>0</v>
      </c>
      <c r="BA39" s="1716"/>
      <c r="BB39" s="22">
        <f t="shared" si="37"/>
        <v>0</v>
      </c>
      <c r="BC39" s="478"/>
      <c r="BD39" s="402">
        <v>0</v>
      </c>
      <c r="BE39" s="1714"/>
      <c r="BF39" s="402">
        <v>0</v>
      </c>
      <c r="BG39" s="1716"/>
      <c r="BH39" s="22">
        <f t="shared" si="38"/>
        <v>0</v>
      </c>
      <c r="BI39" s="478"/>
      <c r="BJ39" s="402">
        <v>0</v>
      </c>
      <c r="BK39" s="1714"/>
      <c r="BL39" s="402">
        <v>0</v>
      </c>
      <c r="BM39" s="1716"/>
      <c r="BN39" s="22">
        <f t="shared" si="39"/>
        <v>0</v>
      </c>
      <c r="BO39" s="478"/>
      <c r="BP39" s="402">
        <v>0</v>
      </c>
      <c r="BQ39" s="1714"/>
      <c r="BR39" s="402">
        <v>0</v>
      </c>
      <c r="BS39" s="1716"/>
      <c r="BT39" s="22">
        <f t="shared" si="40"/>
        <v>0</v>
      </c>
      <c r="BU39" s="478"/>
      <c r="BV39" s="402">
        <v>0</v>
      </c>
      <c r="BW39" s="1714"/>
      <c r="BX39" s="402">
        <v>0</v>
      </c>
      <c r="BY39" s="1670"/>
      <c r="BZ39" s="1265">
        <f t="shared" si="41"/>
        <v>0</v>
      </c>
      <c r="CC39" s="466"/>
    </row>
    <row r="40" spans="1:81" ht="15" customHeight="1">
      <c r="A40" s="1721" t="s">
        <v>2148</v>
      </c>
      <c r="B40" s="1721" t="s">
        <v>2032</v>
      </c>
      <c r="C40" s="1455">
        <v>21</v>
      </c>
      <c r="D40" s="1421" t="s">
        <v>1701</v>
      </c>
      <c r="E40" s="483"/>
      <c r="F40" s="484"/>
      <c r="G40" s="474" t="s">
        <v>403</v>
      </c>
      <c r="H40" s="484" t="s">
        <v>232</v>
      </c>
      <c r="I40" s="475">
        <v>2</v>
      </c>
      <c r="J40" s="1422">
        <f t="shared" si="30"/>
        <v>2.8790786948176584E-4</v>
      </c>
      <c r="K40" s="479">
        <f>AVERAGE(BW40,BQ40,BK40,BE40,AY40,AS40,AM40,AG40,AA40,U40)</f>
        <v>1.8</v>
      </c>
      <c r="L40" s="1422">
        <f>AVERAGE(BX40,BR40,BL40,BF40,AZ40,AT40,AN40,AH40,AB40,V40)</f>
        <v>1.0604453870625664E-4</v>
      </c>
      <c r="M40" s="479">
        <f>AVERAGE(BY40,BS40,BM40,BG40,BA40,AU40,AO40,AI40,AC40,W40)</f>
        <v>1.8</v>
      </c>
      <c r="N40" s="467">
        <f t="shared" si="12"/>
        <v>0</v>
      </c>
      <c r="O40" s="414">
        <f t="shared" si="1"/>
        <v>0.19999999999999996</v>
      </c>
      <c r="P40" s="477">
        <f t="shared" si="13"/>
        <v>7.9999999999999988E-2</v>
      </c>
      <c r="Q40" s="477">
        <f t="shared" si="14"/>
        <v>8.8888888888888871E-3</v>
      </c>
      <c r="R40" s="477">
        <f t="shared" si="15"/>
        <v>4.4444444444444436E-3</v>
      </c>
      <c r="S40" s="478"/>
      <c r="T40" s="22">
        <v>0</v>
      </c>
      <c r="U40" s="380">
        <f>IF(T40&lt;0.001,2,0)</f>
        <v>2</v>
      </c>
      <c r="V40" s="22">
        <f>IF(V42=0,"",V41/V42)</f>
        <v>0</v>
      </c>
      <c r="W40" s="1332">
        <f>IF(V40&lt;0.001,2,0)</f>
        <v>2</v>
      </c>
      <c r="X40" s="22">
        <f t="shared" si="32"/>
        <v>0</v>
      </c>
      <c r="Y40" s="478"/>
      <c r="Z40" s="22">
        <v>0</v>
      </c>
      <c r="AA40" s="402">
        <f>IF(Z40&lt;0.001,2,0)</f>
        <v>2</v>
      </c>
      <c r="AB40" s="22">
        <f>IF(AB42=0,"",AB41/AB42)</f>
        <v>0</v>
      </c>
      <c r="AC40" s="1332">
        <f>IF(AB40&lt;0.001,2,0)</f>
        <v>2</v>
      </c>
      <c r="AD40" s="22">
        <f t="shared" si="33"/>
        <v>0</v>
      </c>
      <c r="AE40" s="478"/>
      <c r="AF40" s="22">
        <v>0</v>
      </c>
      <c r="AG40" s="402">
        <f>IF(AF40&lt;0.001,2,0)</f>
        <v>2</v>
      </c>
      <c r="AH40" s="22">
        <f>IF(AH42=0,"",AH41/AH42)</f>
        <v>0</v>
      </c>
      <c r="AI40" s="1295">
        <f>IF(AH40&lt;0.001,2,0)</f>
        <v>2</v>
      </c>
      <c r="AJ40" s="22">
        <f t="shared" si="34"/>
        <v>0</v>
      </c>
      <c r="AK40" s="478"/>
      <c r="AL40" s="22">
        <v>0</v>
      </c>
      <c r="AM40" s="402">
        <f>IF(AL40&lt;0.001,2,0)</f>
        <v>2</v>
      </c>
      <c r="AN40" s="22">
        <f>IF(AN42=0,"",AN41/AN42)</f>
        <v>0</v>
      </c>
      <c r="AO40" s="1295">
        <f>IF(AN40&lt;0.001,2,0)</f>
        <v>2</v>
      </c>
      <c r="AP40" s="22">
        <f t="shared" si="35"/>
        <v>0</v>
      </c>
      <c r="AQ40" s="478"/>
      <c r="AR40" s="22">
        <v>0</v>
      </c>
      <c r="AS40" s="402">
        <f>IF(AR40&lt;0.001,2,0)</f>
        <v>2</v>
      </c>
      <c r="AT40" s="22">
        <f>IF(AT42=0,"",AT41/AT42)</f>
        <v>0</v>
      </c>
      <c r="AU40" s="1295">
        <f>IF(AT40&lt;0.001,2,0)</f>
        <v>2</v>
      </c>
      <c r="AV40" s="22">
        <f t="shared" si="36"/>
        <v>0</v>
      </c>
      <c r="AW40" s="478"/>
      <c r="AX40" s="22">
        <v>2.8790786948176585E-3</v>
      </c>
      <c r="AY40" s="402">
        <f>IF(AX40&lt;0.001,2,0)</f>
        <v>0</v>
      </c>
      <c r="AZ40" s="22">
        <f>IF(AZ42=0,"",AZ41/AZ42)</f>
        <v>1.0604453870625664E-3</v>
      </c>
      <c r="BA40" s="1295">
        <f>IF(AZ40&lt;0.001,2,0)</f>
        <v>0</v>
      </c>
      <c r="BB40" s="22">
        <f t="shared" si="37"/>
        <v>-0.63167196889360189</v>
      </c>
      <c r="BC40" s="478"/>
      <c r="BD40" s="22">
        <v>0</v>
      </c>
      <c r="BE40" s="402">
        <f>IF(BD40&lt;0.001,2,0)</f>
        <v>2</v>
      </c>
      <c r="BF40" s="22">
        <f>IF(BF42=0,"",BF41/BF42)</f>
        <v>0</v>
      </c>
      <c r="BG40" s="1295">
        <f>IF(BF40&lt;0.001,2,0)</f>
        <v>2</v>
      </c>
      <c r="BH40" s="22">
        <f t="shared" si="38"/>
        <v>0</v>
      </c>
      <c r="BI40" s="478"/>
      <c r="BJ40" s="22">
        <v>0</v>
      </c>
      <c r="BK40" s="402">
        <f>IF(BJ40&lt;0.001,2,0)</f>
        <v>2</v>
      </c>
      <c r="BL40" s="22">
        <f>IF(BL42=0,"",BL41/BL42)</f>
        <v>0</v>
      </c>
      <c r="BM40" s="1295">
        <f>IF(BL40&lt;0.001,2,0)</f>
        <v>2</v>
      </c>
      <c r="BN40" s="22">
        <f t="shared" si="39"/>
        <v>0</v>
      </c>
      <c r="BO40" s="478"/>
      <c r="BP40" s="22">
        <v>0</v>
      </c>
      <c r="BQ40" s="402">
        <f>IF(BP40&lt;0.001,2,0)</f>
        <v>2</v>
      </c>
      <c r="BR40" s="22">
        <f>IF(BR42=0,"",BR41/BR42)</f>
        <v>0</v>
      </c>
      <c r="BS40" s="1295">
        <f>IF(BR40&lt;0.001,2,0)</f>
        <v>2</v>
      </c>
      <c r="BT40" s="22">
        <f t="shared" si="40"/>
        <v>0</v>
      </c>
      <c r="BU40" s="478"/>
      <c r="BV40" s="22">
        <v>0</v>
      </c>
      <c r="BW40" s="402">
        <f>IF(BV40&lt;0.001,2,0)</f>
        <v>2</v>
      </c>
      <c r="BX40" s="22">
        <f>IF(BX42=0,"",BX41/BX42)</f>
        <v>0</v>
      </c>
      <c r="BY40" s="1332">
        <f>IF(BX40&lt;0.001,2,0)</f>
        <v>2</v>
      </c>
      <c r="BZ40" s="1265">
        <f t="shared" si="41"/>
        <v>0</v>
      </c>
    </row>
    <row r="41" spans="1:81" ht="19.5" customHeight="1">
      <c r="A41" s="1721"/>
      <c r="B41" s="1721"/>
      <c r="C41" s="1464">
        <v>21.1</v>
      </c>
      <c r="D41" s="1464" t="s">
        <v>2144</v>
      </c>
      <c r="E41" s="472" t="s">
        <v>206</v>
      </c>
      <c r="F41" s="473"/>
      <c r="G41" s="474"/>
      <c r="H41" s="473"/>
      <c r="I41" s="493"/>
      <c r="J41" s="476">
        <f t="shared" si="30"/>
        <v>0.3</v>
      </c>
      <c r="K41" s="476"/>
      <c r="L41" s="476">
        <f t="shared" si="31"/>
        <v>0.1</v>
      </c>
      <c r="M41" s="476"/>
      <c r="N41" s="480">
        <f t="shared" si="12"/>
        <v>0</v>
      </c>
      <c r="O41" s="414">
        <f t="shared" si="1"/>
        <v>0</v>
      </c>
      <c r="P41" s="477">
        <f>O41*0.4</f>
        <v>0</v>
      </c>
      <c r="Q41" s="477">
        <f t="shared" si="14"/>
        <v>0</v>
      </c>
      <c r="R41" s="477">
        <f t="shared" si="15"/>
        <v>0</v>
      </c>
      <c r="S41" s="478"/>
      <c r="T41" s="402">
        <v>0</v>
      </c>
      <c r="U41" s="480"/>
      <c r="V41" s="402">
        <v>0</v>
      </c>
      <c r="W41" s="1332"/>
      <c r="X41" s="22">
        <f t="shared" si="32"/>
        <v>0</v>
      </c>
      <c r="Y41" s="478"/>
      <c r="Z41" s="402">
        <v>0</v>
      </c>
      <c r="AA41" s="402"/>
      <c r="AB41" s="402">
        <v>0</v>
      </c>
      <c r="AC41" s="1332"/>
      <c r="AD41" s="22">
        <f t="shared" si="33"/>
        <v>0</v>
      </c>
      <c r="AE41" s="478"/>
      <c r="AF41" s="402">
        <v>0</v>
      </c>
      <c r="AG41" s="402"/>
      <c r="AH41" s="402">
        <v>0</v>
      </c>
      <c r="AI41" s="1295"/>
      <c r="AJ41" s="22">
        <f t="shared" si="34"/>
        <v>0</v>
      </c>
      <c r="AK41" s="478"/>
      <c r="AL41" s="402">
        <v>0</v>
      </c>
      <c r="AM41" s="402"/>
      <c r="AN41" s="402">
        <v>0</v>
      </c>
      <c r="AO41" s="1295"/>
      <c r="AP41" s="22">
        <f t="shared" si="35"/>
        <v>0</v>
      </c>
      <c r="AQ41" s="478"/>
      <c r="AR41" s="402">
        <v>0</v>
      </c>
      <c r="AS41" s="402"/>
      <c r="AT41" s="402">
        <v>0</v>
      </c>
      <c r="AU41" s="1295"/>
      <c r="AV41" s="22">
        <f t="shared" si="36"/>
        <v>0</v>
      </c>
      <c r="AW41" s="478"/>
      <c r="AX41" s="402">
        <v>3</v>
      </c>
      <c r="AY41" s="402"/>
      <c r="AZ41" s="402">
        <v>1</v>
      </c>
      <c r="BA41" s="1295"/>
      <c r="BB41" s="22">
        <f t="shared" si="37"/>
        <v>-0.66666666666666674</v>
      </c>
      <c r="BC41" s="478"/>
      <c r="BD41" s="402">
        <v>0</v>
      </c>
      <c r="BE41" s="402"/>
      <c r="BF41" s="402">
        <v>0</v>
      </c>
      <c r="BG41" s="1295"/>
      <c r="BH41" s="22">
        <f t="shared" si="38"/>
        <v>0</v>
      </c>
      <c r="BI41" s="478"/>
      <c r="BJ41" s="402">
        <v>0</v>
      </c>
      <c r="BK41" s="402"/>
      <c r="BL41" s="402">
        <v>0</v>
      </c>
      <c r="BM41" s="1295"/>
      <c r="BN41" s="22">
        <f t="shared" si="39"/>
        <v>0</v>
      </c>
      <c r="BO41" s="478"/>
      <c r="BP41" s="402">
        <v>0</v>
      </c>
      <c r="BQ41" s="402"/>
      <c r="BR41" s="402">
        <v>0</v>
      </c>
      <c r="BS41" s="1295"/>
      <c r="BT41" s="22">
        <f t="shared" si="40"/>
        <v>0</v>
      </c>
      <c r="BU41" s="478"/>
      <c r="BV41" s="402">
        <v>0</v>
      </c>
      <c r="BW41" s="402"/>
      <c r="BX41" s="402">
        <v>0</v>
      </c>
      <c r="BY41" s="1349"/>
      <c r="BZ41" s="1265">
        <f t="shared" si="41"/>
        <v>0</v>
      </c>
    </row>
    <row r="42" spans="1:81" ht="14.25">
      <c r="A42" s="1721"/>
      <c r="B42" s="1721"/>
      <c r="C42" s="1464">
        <v>21.2</v>
      </c>
      <c r="D42" s="1464" t="s">
        <v>2235</v>
      </c>
      <c r="E42" s="472" t="s">
        <v>206</v>
      </c>
      <c r="F42" s="473"/>
      <c r="G42" s="474"/>
      <c r="H42" s="473"/>
      <c r="I42" s="493"/>
      <c r="J42" s="476">
        <f t="shared" si="30"/>
        <v>1560.3</v>
      </c>
      <c r="K42" s="476"/>
      <c r="L42" s="476">
        <f t="shared" si="31"/>
        <v>1556</v>
      </c>
      <c r="M42" s="476"/>
      <c r="N42" s="480">
        <f t="shared" si="12"/>
        <v>0</v>
      </c>
      <c r="O42" s="414">
        <f t="shared" si="1"/>
        <v>0</v>
      </c>
      <c r="P42" s="477">
        <f t="shared" si="13"/>
        <v>0</v>
      </c>
      <c r="Q42" s="477">
        <f t="shared" si="14"/>
        <v>0</v>
      </c>
      <c r="R42" s="477">
        <f t="shared" si="15"/>
        <v>0</v>
      </c>
      <c r="S42" s="478"/>
      <c r="T42" s="402">
        <v>1035</v>
      </c>
      <c r="U42" s="480"/>
      <c r="V42" s="402">
        <v>820</v>
      </c>
      <c r="W42" s="1332"/>
      <c r="X42" s="22">
        <f t="shared" si="32"/>
        <v>-0.20772946859903385</v>
      </c>
      <c r="Y42" s="478"/>
      <c r="Z42" s="402">
        <v>9014</v>
      </c>
      <c r="AA42" s="402"/>
      <c r="AB42" s="402">
        <v>6151</v>
      </c>
      <c r="AC42" s="1332"/>
      <c r="AD42" s="22">
        <f t="shared" si="33"/>
        <v>-0.31761704015975145</v>
      </c>
      <c r="AE42" s="478"/>
      <c r="AF42" s="402">
        <v>1190</v>
      </c>
      <c r="AG42" s="402"/>
      <c r="AH42" s="402">
        <v>4430</v>
      </c>
      <c r="AI42" s="1295"/>
      <c r="AJ42" s="22">
        <f t="shared" si="34"/>
        <v>2.7226890756302522</v>
      </c>
      <c r="AK42" s="478"/>
      <c r="AL42" s="402">
        <v>335</v>
      </c>
      <c r="AM42" s="402"/>
      <c r="AN42" s="402">
        <v>350</v>
      </c>
      <c r="AO42" s="1295"/>
      <c r="AP42" s="22">
        <f t="shared" si="35"/>
        <v>4.4776119402984982E-2</v>
      </c>
      <c r="AQ42" s="478"/>
      <c r="AR42" s="402">
        <v>1085</v>
      </c>
      <c r="AS42" s="402"/>
      <c r="AT42" s="402">
        <v>1059</v>
      </c>
      <c r="AU42" s="1295"/>
      <c r="AV42" s="22">
        <f t="shared" si="36"/>
        <v>-2.3963133640553025E-2</v>
      </c>
      <c r="AW42" s="478"/>
      <c r="AX42" s="494">
        <v>1042</v>
      </c>
      <c r="AY42" s="402"/>
      <c r="AZ42" s="494">
        <v>943</v>
      </c>
      <c r="BA42" s="1295"/>
      <c r="BB42" s="22">
        <f t="shared" si="37"/>
        <v>-9.5009596928982698E-2</v>
      </c>
      <c r="BC42" s="478"/>
      <c r="BD42" s="402">
        <v>160</v>
      </c>
      <c r="BE42" s="402"/>
      <c r="BF42" s="402">
        <v>163</v>
      </c>
      <c r="BG42" s="1295"/>
      <c r="BH42" s="22">
        <f t="shared" si="38"/>
        <v>1.8750000000000044E-2</v>
      </c>
      <c r="BI42" s="478"/>
      <c r="BJ42" s="402">
        <v>375</v>
      </c>
      <c r="BK42" s="402"/>
      <c r="BL42" s="402">
        <v>363</v>
      </c>
      <c r="BM42" s="1295"/>
      <c r="BN42" s="22">
        <f t="shared" si="39"/>
        <v>-3.2000000000000028E-2</v>
      </c>
      <c r="BO42" s="478"/>
      <c r="BP42" s="402">
        <v>75</v>
      </c>
      <c r="BQ42" s="402"/>
      <c r="BR42" s="402">
        <v>66</v>
      </c>
      <c r="BS42" s="1295"/>
      <c r="BT42" s="22">
        <f t="shared" si="40"/>
        <v>-0.12</v>
      </c>
      <c r="BU42" s="478"/>
      <c r="BV42" s="402">
        <v>1292</v>
      </c>
      <c r="BW42" s="402"/>
      <c r="BX42" s="402">
        <v>1215</v>
      </c>
      <c r="BY42" s="1349"/>
      <c r="BZ42" s="1265">
        <f t="shared" si="41"/>
        <v>-5.9597523219814263E-2</v>
      </c>
    </row>
    <row r="43" spans="1:81" ht="19.5" customHeight="1">
      <c r="A43" s="1720" t="s">
        <v>2432</v>
      </c>
      <c r="B43" s="1721" t="s">
        <v>1266</v>
      </c>
      <c r="C43" s="1455">
        <v>22</v>
      </c>
      <c r="D43" s="471" t="s">
        <v>1265</v>
      </c>
      <c r="E43" s="483"/>
      <c r="F43" s="484"/>
      <c r="G43" s="474" t="s">
        <v>403</v>
      </c>
      <c r="H43" s="484" t="s">
        <v>232</v>
      </c>
      <c r="I43" s="475">
        <v>2</v>
      </c>
      <c r="J43" s="1422">
        <f t="shared" si="30"/>
        <v>1</v>
      </c>
      <c r="K43" s="476">
        <f>AVERAGE(BW43,BQ43,BK43,BE43,AY43,AS43,AM43,AG43,AA43,U43)</f>
        <v>2</v>
      </c>
      <c r="L43" s="1422">
        <f t="shared" si="31"/>
        <v>1</v>
      </c>
      <c r="M43" s="476">
        <f>AVERAGE(BY43,BS43,BM43,BG43,BA43,AU43,AO43,AI43,AC43,W43)</f>
        <v>2</v>
      </c>
      <c r="N43" s="480">
        <f t="shared" si="12"/>
        <v>0</v>
      </c>
      <c r="O43" s="414">
        <f t="shared" si="1"/>
        <v>0</v>
      </c>
      <c r="P43" s="477">
        <f t="shared" si="13"/>
        <v>0</v>
      </c>
      <c r="Q43" s="477">
        <f t="shared" si="14"/>
        <v>0</v>
      </c>
      <c r="R43" s="477">
        <f t="shared" si="15"/>
        <v>0</v>
      </c>
      <c r="S43" s="478"/>
      <c r="T43" s="22">
        <v>1</v>
      </c>
      <c r="U43" s="380">
        <f>IF(T43&gt;=1,2,IF(T43&gt;=0.95,1,0))</f>
        <v>2</v>
      </c>
      <c r="V43" s="22">
        <f>V44/V45</f>
        <v>1</v>
      </c>
      <c r="W43" s="1332">
        <f>IF(V43&gt;=1,2,IF(V43&gt;=0.95,1))</f>
        <v>2</v>
      </c>
      <c r="X43" s="22">
        <f t="shared" si="32"/>
        <v>0</v>
      </c>
      <c r="Y43" s="478"/>
      <c r="Z43" s="22">
        <v>1</v>
      </c>
      <c r="AA43" s="402">
        <f>IF(Z43&gt;=1,2,IF(Z43&gt;=0.95,1,0))</f>
        <v>2</v>
      </c>
      <c r="AB43" s="22">
        <f>AB44/AB45</f>
        <v>1</v>
      </c>
      <c r="AC43" s="1332">
        <f>IF(AB43&gt;=1,2,IF(AB43&gt;=0.95,1))</f>
        <v>2</v>
      </c>
      <c r="AD43" s="22">
        <f t="shared" si="33"/>
        <v>0</v>
      </c>
      <c r="AE43" s="478"/>
      <c r="AF43" s="22">
        <v>1</v>
      </c>
      <c r="AG43" s="402">
        <f>IF(AF43&gt;=1,2,IF(AF43&gt;=0.95,1,0))</f>
        <v>2</v>
      </c>
      <c r="AH43" s="22">
        <f>AH44/AH45</f>
        <v>1</v>
      </c>
      <c r="AI43" s="1295">
        <f>IF(AH43&gt;=1,2,IF(AH43&gt;=0.95,1))</f>
        <v>2</v>
      </c>
      <c r="AJ43" s="22">
        <f t="shared" si="34"/>
        <v>0</v>
      </c>
      <c r="AK43" s="478"/>
      <c r="AL43" s="22">
        <v>1</v>
      </c>
      <c r="AM43" s="402">
        <f>IF(AL43&gt;=1,2,IF(AL43&gt;=0.95,1,0))</f>
        <v>2</v>
      </c>
      <c r="AN43" s="22">
        <f>AN44/AN45</f>
        <v>1</v>
      </c>
      <c r="AO43" s="1295">
        <f>IF(AN43&gt;=1,2,IF(AN43&gt;=0.95,1))</f>
        <v>2</v>
      </c>
      <c r="AP43" s="22">
        <f t="shared" si="35"/>
        <v>0</v>
      </c>
      <c r="AQ43" s="478"/>
      <c r="AR43" s="22">
        <v>1</v>
      </c>
      <c r="AS43" s="402">
        <f>IF(AR43&gt;=1,2,IF(AR43&gt;=0.95,1,0))</f>
        <v>2</v>
      </c>
      <c r="AT43" s="22">
        <f>AT44/AT45</f>
        <v>1</v>
      </c>
      <c r="AU43" s="1295">
        <f>IF(AT43&gt;=1,2,IF(AT43&gt;=0.95,1))</f>
        <v>2</v>
      </c>
      <c r="AV43" s="22">
        <f t="shared" si="36"/>
        <v>0</v>
      </c>
      <c r="AW43" s="478"/>
      <c r="AX43" s="22">
        <v>1</v>
      </c>
      <c r="AY43" s="402">
        <f>IF(AX43&gt;=1,2,IF(AX43&gt;=0.95,1,0))</f>
        <v>2</v>
      </c>
      <c r="AZ43" s="22">
        <f>AZ44/AZ45</f>
        <v>1</v>
      </c>
      <c r="BA43" s="1295">
        <f>IF(AZ43&gt;=1,2,IF(AZ43&gt;=0.95,1))</f>
        <v>2</v>
      </c>
      <c r="BB43" s="22">
        <f t="shared" si="37"/>
        <v>0</v>
      </c>
      <c r="BC43" s="478"/>
      <c r="BD43" s="22">
        <v>1</v>
      </c>
      <c r="BE43" s="402">
        <f>IF(BD43&gt;=1,2,IF(BD43&gt;=0.95,1,0))</f>
        <v>2</v>
      </c>
      <c r="BF43" s="22">
        <f>BF44/BF45</f>
        <v>1</v>
      </c>
      <c r="BG43" s="1295">
        <f>IF(BF43&gt;=1,2,IF(BF43&gt;=0.95,1))</f>
        <v>2</v>
      </c>
      <c r="BH43" s="22">
        <f t="shared" si="38"/>
        <v>0</v>
      </c>
      <c r="BI43" s="478"/>
      <c r="BJ43" s="22">
        <v>1</v>
      </c>
      <c r="BK43" s="402">
        <f>IF(BJ43&gt;=1,2,IF(BJ43&gt;=0.95,1,0))</f>
        <v>2</v>
      </c>
      <c r="BL43" s="22">
        <f>BL44/BL45</f>
        <v>1</v>
      </c>
      <c r="BM43" s="1295">
        <f>IF(BL43&gt;=1,2,IF(BL43&gt;=0.95,1))</f>
        <v>2</v>
      </c>
      <c r="BN43" s="22">
        <f t="shared" si="39"/>
        <v>0</v>
      </c>
      <c r="BO43" s="478"/>
      <c r="BP43" s="22">
        <v>1</v>
      </c>
      <c r="BQ43" s="402">
        <f>IF(BP43&gt;=1,2,IF(BP43&gt;=0.95,1,0))</f>
        <v>2</v>
      </c>
      <c r="BR43" s="22">
        <f>BR44/BR45</f>
        <v>1</v>
      </c>
      <c r="BS43" s="1295">
        <f>IF(BR43&gt;=1,2,IF(BR43&gt;=0.95,1))</f>
        <v>2</v>
      </c>
      <c r="BT43" s="22">
        <f t="shared" si="40"/>
        <v>0</v>
      </c>
      <c r="BU43" s="478"/>
      <c r="BV43" s="22">
        <v>1</v>
      </c>
      <c r="BW43" s="402">
        <f>IF(BV43&gt;=1,2,IF(BV43&gt;=0.95,1,0))</f>
        <v>2</v>
      </c>
      <c r="BX43" s="22">
        <f>BX44/BX45</f>
        <v>1</v>
      </c>
      <c r="BY43" s="1332">
        <f>IF(BX43&gt;=1,2,IF(BX43&gt;=0.95,1))</f>
        <v>2</v>
      </c>
      <c r="BZ43" s="1265">
        <f t="shared" si="41"/>
        <v>0</v>
      </c>
    </row>
    <row r="44" spans="1:81" ht="16.5" customHeight="1">
      <c r="A44" s="1677"/>
      <c r="B44" s="1677"/>
      <c r="C44" s="1464">
        <v>22.1</v>
      </c>
      <c r="D44" s="1464" t="s">
        <v>2236</v>
      </c>
      <c r="E44" s="472" t="s">
        <v>206</v>
      </c>
      <c r="F44" s="473"/>
      <c r="G44" s="474"/>
      <c r="H44" s="473"/>
      <c r="I44" s="474"/>
      <c r="J44" s="476">
        <f t="shared" si="30"/>
        <v>2166.5</v>
      </c>
      <c r="K44" s="476"/>
      <c r="L44" s="476">
        <v>2</v>
      </c>
      <c r="M44" s="476"/>
      <c r="N44" s="480">
        <f t="shared" si="12"/>
        <v>0</v>
      </c>
      <c r="O44" s="414">
        <f t="shared" si="1"/>
        <v>0</v>
      </c>
      <c r="P44" s="477">
        <f t="shared" si="13"/>
        <v>0</v>
      </c>
      <c r="Q44" s="477">
        <f t="shared" si="14"/>
        <v>0</v>
      </c>
      <c r="R44" s="477">
        <f t="shared" si="15"/>
        <v>0</v>
      </c>
      <c r="S44" s="478"/>
      <c r="T44" s="402">
        <v>1111</v>
      </c>
      <c r="U44" s="480"/>
      <c r="V44" s="402">
        <v>1116</v>
      </c>
      <c r="W44" s="1332"/>
      <c r="X44" s="22">
        <f t="shared" si="32"/>
        <v>4.5004500450045448E-3</v>
      </c>
      <c r="Y44" s="478"/>
      <c r="Z44" s="402">
        <v>8806</v>
      </c>
      <c r="AA44" s="402"/>
      <c r="AB44" s="402">
        <v>6026</v>
      </c>
      <c r="AC44" s="1332"/>
      <c r="AD44" s="22">
        <f t="shared" si="33"/>
        <v>-0.31569384510560983</v>
      </c>
      <c r="AE44" s="478"/>
      <c r="AF44" s="402">
        <v>1190</v>
      </c>
      <c r="AG44" s="402"/>
      <c r="AH44" s="402">
        <v>4430</v>
      </c>
      <c r="AI44" s="1295"/>
      <c r="AJ44" s="22">
        <f t="shared" si="34"/>
        <v>2.7226890756302522</v>
      </c>
      <c r="AK44" s="478"/>
      <c r="AL44" s="402">
        <v>1023</v>
      </c>
      <c r="AM44" s="402"/>
      <c r="AN44" s="402">
        <v>614</v>
      </c>
      <c r="AO44" s="1295"/>
      <c r="AP44" s="22">
        <f t="shared" si="35"/>
        <v>-0.39980449657869011</v>
      </c>
      <c r="AQ44" s="478"/>
      <c r="AR44" s="402">
        <v>1085</v>
      </c>
      <c r="AS44" s="402"/>
      <c r="AT44" s="402">
        <v>1059</v>
      </c>
      <c r="AU44" s="1295"/>
      <c r="AV44" s="22">
        <f t="shared" si="36"/>
        <v>-2.3963133640553025E-2</v>
      </c>
      <c r="AW44" s="478"/>
      <c r="AX44" s="494">
        <v>1175</v>
      </c>
      <c r="AY44" s="402"/>
      <c r="AZ44" s="494">
        <v>1070</v>
      </c>
      <c r="BA44" s="1295"/>
      <c r="BB44" s="22">
        <f t="shared" si="37"/>
        <v>-8.9361702127659592E-2</v>
      </c>
      <c r="BC44" s="478"/>
      <c r="BD44" s="402">
        <v>2289</v>
      </c>
      <c r="BE44" s="402"/>
      <c r="BF44" s="402">
        <v>163</v>
      </c>
      <c r="BG44" s="1295"/>
      <c r="BH44" s="22">
        <f t="shared" si="38"/>
        <v>-0.92878986456968105</v>
      </c>
      <c r="BI44" s="478"/>
      <c r="BJ44" s="402">
        <v>2291</v>
      </c>
      <c r="BK44" s="402"/>
      <c r="BL44" s="402">
        <v>2279</v>
      </c>
      <c r="BM44" s="1295"/>
      <c r="BN44" s="22">
        <f t="shared" si="39"/>
        <v>-5.2378873854211916E-3</v>
      </c>
      <c r="BO44" s="478"/>
      <c r="BP44" s="402">
        <v>204</v>
      </c>
      <c r="BQ44" s="402"/>
      <c r="BR44" s="402">
        <v>86</v>
      </c>
      <c r="BS44" s="1295"/>
      <c r="BT44" s="22">
        <f t="shared" si="40"/>
        <v>-0.57843137254901955</v>
      </c>
      <c r="BU44" s="478"/>
      <c r="BV44" s="402">
        <v>2491</v>
      </c>
      <c r="BW44" s="402"/>
      <c r="BX44" s="402">
        <v>1326</v>
      </c>
      <c r="BY44" s="1349"/>
      <c r="BZ44" s="1265">
        <f t="shared" si="41"/>
        <v>-0.46768366118024884</v>
      </c>
    </row>
    <row r="45" spans="1:81" ht="16.5" customHeight="1">
      <c r="A45" s="1677"/>
      <c r="B45" s="1677"/>
      <c r="C45" s="1464">
        <v>22.2</v>
      </c>
      <c r="D45" s="1464" t="s">
        <v>2237</v>
      </c>
      <c r="E45" s="472" t="s">
        <v>206</v>
      </c>
      <c r="F45" s="473"/>
      <c r="G45" s="474"/>
      <c r="H45" s="473"/>
      <c r="I45" s="474"/>
      <c r="J45" s="476">
        <f t="shared" si="30"/>
        <v>2166.5</v>
      </c>
      <c r="K45" s="476"/>
      <c r="L45" s="476">
        <f t="shared" ref="L45:L51" si="42">AVERAGE(BX45,BR45,BL45,BF45,AZ45,AT45,AN45,AH45,AB45,V45)</f>
        <v>1816.9</v>
      </c>
      <c r="M45" s="476"/>
      <c r="N45" s="480">
        <f t="shared" si="12"/>
        <v>0</v>
      </c>
      <c r="O45" s="414">
        <f t="shared" si="1"/>
        <v>0</v>
      </c>
      <c r="P45" s="477">
        <f t="shared" si="13"/>
        <v>0</v>
      </c>
      <c r="Q45" s="477">
        <f t="shared" si="14"/>
        <v>0</v>
      </c>
      <c r="R45" s="477">
        <f t="shared" si="15"/>
        <v>0</v>
      </c>
      <c r="S45" s="478"/>
      <c r="T45" s="402">
        <v>1111</v>
      </c>
      <c r="U45" s="480"/>
      <c r="V45" s="402">
        <v>1116</v>
      </c>
      <c r="W45" s="1332"/>
      <c r="X45" s="22">
        <f t="shared" si="32"/>
        <v>4.5004500450045448E-3</v>
      </c>
      <c r="Y45" s="478"/>
      <c r="Z45" s="402">
        <v>8806</v>
      </c>
      <c r="AA45" s="402"/>
      <c r="AB45" s="402">
        <v>6026</v>
      </c>
      <c r="AC45" s="1332"/>
      <c r="AD45" s="22">
        <f t="shared" si="33"/>
        <v>-0.31569384510560983</v>
      </c>
      <c r="AE45" s="478"/>
      <c r="AF45" s="402">
        <v>1190</v>
      </c>
      <c r="AG45" s="402"/>
      <c r="AH45" s="402">
        <v>4430</v>
      </c>
      <c r="AI45" s="1295"/>
      <c r="AJ45" s="22">
        <f t="shared" si="34"/>
        <v>2.7226890756302522</v>
      </c>
      <c r="AK45" s="478"/>
      <c r="AL45" s="402">
        <v>1023</v>
      </c>
      <c r="AM45" s="402"/>
      <c r="AN45" s="402">
        <v>614</v>
      </c>
      <c r="AO45" s="1295"/>
      <c r="AP45" s="22">
        <f t="shared" si="35"/>
        <v>-0.39980449657869011</v>
      </c>
      <c r="AQ45" s="478"/>
      <c r="AR45" s="402">
        <v>1085</v>
      </c>
      <c r="AS45" s="402"/>
      <c r="AT45" s="402">
        <v>1059</v>
      </c>
      <c r="AU45" s="1295"/>
      <c r="AV45" s="22">
        <f t="shared" si="36"/>
        <v>-2.3963133640553025E-2</v>
      </c>
      <c r="AW45" s="478"/>
      <c r="AX45" s="494">
        <v>1175</v>
      </c>
      <c r="AY45" s="402"/>
      <c r="AZ45" s="494">
        <v>1070</v>
      </c>
      <c r="BA45" s="1295"/>
      <c r="BB45" s="22">
        <f t="shared" si="37"/>
        <v>-8.9361702127659592E-2</v>
      </c>
      <c r="BC45" s="478"/>
      <c r="BD45" s="402">
        <v>2289</v>
      </c>
      <c r="BE45" s="402"/>
      <c r="BF45" s="402">
        <v>163</v>
      </c>
      <c r="BG45" s="1295"/>
      <c r="BH45" s="22">
        <f t="shared" si="38"/>
        <v>-0.92878986456968105</v>
      </c>
      <c r="BI45" s="478"/>
      <c r="BJ45" s="402">
        <v>2291</v>
      </c>
      <c r="BK45" s="402"/>
      <c r="BL45" s="402">
        <v>2279</v>
      </c>
      <c r="BM45" s="1295"/>
      <c r="BN45" s="22">
        <f t="shared" si="39"/>
        <v>-5.2378873854211916E-3</v>
      </c>
      <c r="BO45" s="478"/>
      <c r="BP45" s="402">
        <v>204</v>
      </c>
      <c r="BQ45" s="402"/>
      <c r="BR45" s="402">
        <v>86</v>
      </c>
      <c r="BS45" s="1295"/>
      <c r="BT45" s="22">
        <f t="shared" si="40"/>
        <v>-0.57843137254901955</v>
      </c>
      <c r="BU45" s="478"/>
      <c r="BV45" s="402">
        <v>2491</v>
      </c>
      <c r="BW45" s="402"/>
      <c r="BX45" s="402">
        <v>1326</v>
      </c>
      <c r="BY45" s="1349"/>
      <c r="BZ45" s="1265">
        <f t="shared" si="41"/>
        <v>-0.46768366118024884</v>
      </c>
    </row>
    <row r="46" spans="1:81" ht="20.25" customHeight="1">
      <c r="A46" s="1677" t="s">
        <v>2433</v>
      </c>
      <c r="B46" s="1677" t="s">
        <v>1268</v>
      </c>
      <c r="C46" s="1455">
        <v>23</v>
      </c>
      <c r="D46" s="471" t="s">
        <v>1267</v>
      </c>
      <c r="E46" s="472" t="s">
        <v>206</v>
      </c>
      <c r="F46" s="473"/>
      <c r="G46" s="474" t="s">
        <v>403</v>
      </c>
      <c r="H46" s="473" t="s">
        <v>232</v>
      </c>
      <c r="I46" s="1715">
        <v>6</v>
      </c>
      <c r="J46" s="476">
        <f t="shared" si="30"/>
        <v>0</v>
      </c>
      <c r="K46" s="1726">
        <f>AVERAGE(BW46,BQ46,BK46,BE46,AY46,AS46,AM46,AG46,AA46,U46)</f>
        <v>6</v>
      </c>
      <c r="L46" s="476">
        <f t="shared" si="42"/>
        <v>0</v>
      </c>
      <c r="M46" s="1726">
        <f>AVERAGE(BY46,BS46,BM46,BG46,BA46,AU46,AO46,AI46,AC46,W46)</f>
        <v>6</v>
      </c>
      <c r="N46" s="480">
        <f t="shared" si="12"/>
        <v>0</v>
      </c>
      <c r="O46" s="414">
        <f t="shared" si="1"/>
        <v>0</v>
      </c>
      <c r="P46" s="477">
        <f t="shared" si="13"/>
        <v>0</v>
      </c>
      <c r="Q46" s="477">
        <f t="shared" si="14"/>
        <v>0</v>
      </c>
      <c r="R46" s="477">
        <f t="shared" si="15"/>
        <v>0</v>
      </c>
      <c r="S46" s="478"/>
      <c r="T46" s="402">
        <v>0</v>
      </c>
      <c r="U46" s="1669">
        <f>6-T46*2-T47*0.5</f>
        <v>6</v>
      </c>
      <c r="V46" s="402">
        <v>0</v>
      </c>
      <c r="W46" s="1670">
        <f>6-V46*2-V47*0.5</f>
        <v>6</v>
      </c>
      <c r="X46" s="22">
        <f t="shared" si="32"/>
        <v>0</v>
      </c>
      <c r="Y46" s="478"/>
      <c r="Z46" s="402">
        <v>0</v>
      </c>
      <c r="AA46" s="1714">
        <f>6-Z46*2-Z47*0.5</f>
        <v>6</v>
      </c>
      <c r="AB46" s="402">
        <v>0</v>
      </c>
      <c r="AC46" s="1670">
        <f>6-AB46*2-AB47*0.5</f>
        <v>6</v>
      </c>
      <c r="AD46" s="22">
        <f t="shared" si="33"/>
        <v>0</v>
      </c>
      <c r="AE46" s="478"/>
      <c r="AF46" s="402">
        <v>0</v>
      </c>
      <c r="AG46" s="1714">
        <f>6-AF46*2-AF47*0.5</f>
        <v>6</v>
      </c>
      <c r="AH46" s="402">
        <v>0</v>
      </c>
      <c r="AI46" s="1716">
        <f>6-AH46*2-AH47*0.5</f>
        <v>6</v>
      </c>
      <c r="AJ46" s="22">
        <f t="shared" si="34"/>
        <v>0</v>
      </c>
      <c r="AK46" s="478"/>
      <c r="AL46" s="402">
        <v>0</v>
      </c>
      <c r="AM46" s="1714">
        <f>6-AL46*2-AL47*0.5</f>
        <v>6</v>
      </c>
      <c r="AN46" s="402">
        <v>0</v>
      </c>
      <c r="AO46" s="1716">
        <f>6-AN46*2-AN47*0.5</f>
        <v>6</v>
      </c>
      <c r="AP46" s="22">
        <f t="shared" si="35"/>
        <v>0</v>
      </c>
      <c r="AQ46" s="478"/>
      <c r="AR46" s="402">
        <v>0</v>
      </c>
      <c r="AS46" s="1714">
        <f>6-AR46*2-AR47*0.5</f>
        <v>6</v>
      </c>
      <c r="AT46" s="402">
        <v>0</v>
      </c>
      <c r="AU46" s="1716">
        <f>6-AT46*2-AT47*0.5</f>
        <v>6</v>
      </c>
      <c r="AV46" s="22">
        <f t="shared" si="36"/>
        <v>0</v>
      </c>
      <c r="AW46" s="478"/>
      <c r="AX46" s="402">
        <v>0</v>
      </c>
      <c r="AY46" s="1714">
        <f>6-AX46*2-AX47*0.5</f>
        <v>6</v>
      </c>
      <c r="AZ46" s="402">
        <v>0</v>
      </c>
      <c r="BA46" s="1716">
        <f>6-AZ46*2-AZ47*0.5</f>
        <v>6</v>
      </c>
      <c r="BB46" s="22">
        <f t="shared" si="37"/>
        <v>0</v>
      </c>
      <c r="BC46" s="478"/>
      <c r="BD46" s="402">
        <v>0</v>
      </c>
      <c r="BE46" s="1714">
        <f>6-BD46*2-BD47*0.5</f>
        <v>6</v>
      </c>
      <c r="BF46" s="402">
        <v>0</v>
      </c>
      <c r="BG46" s="1716">
        <f>6-BF46*2-BF47*0.5</f>
        <v>6</v>
      </c>
      <c r="BH46" s="22">
        <f t="shared" si="38"/>
        <v>0</v>
      </c>
      <c r="BI46" s="478"/>
      <c r="BJ46" s="402">
        <v>0</v>
      </c>
      <c r="BK46" s="1714">
        <f>6-BJ46*2-BJ47*0.5</f>
        <v>6</v>
      </c>
      <c r="BL46" s="402">
        <v>0</v>
      </c>
      <c r="BM46" s="1716">
        <f>6-BL46*2-BL47*0.5</f>
        <v>6</v>
      </c>
      <c r="BN46" s="22">
        <f t="shared" si="39"/>
        <v>0</v>
      </c>
      <c r="BO46" s="478"/>
      <c r="BP46" s="402">
        <v>0</v>
      </c>
      <c r="BQ46" s="1714">
        <f>6-BP46*2-BP47*0.5</f>
        <v>6</v>
      </c>
      <c r="BR46" s="402">
        <v>0</v>
      </c>
      <c r="BS46" s="1716">
        <f>6-BR46*2-BR47*0.5</f>
        <v>6</v>
      </c>
      <c r="BT46" s="22">
        <f t="shared" si="40"/>
        <v>0</v>
      </c>
      <c r="BU46" s="478"/>
      <c r="BV46" s="402">
        <v>0</v>
      </c>
      <c r="BW46" s="1714">
        <f>6-BV46*2-BV47*0.5</f>
        <v>6</v>
      </c>
      <c r="BX46" s="402">
        <v>0</v>
      </c>
      <c r="BY46" s="1670">
        <f>6-BX46*2-BX47*0.5</f>
        <v>6</v>
      </c>
      <c r="BZ46" s="1265">
        <f t="shared" si="41"/>
        <v>0</v>
      </c>
    </row>
    <row r="47" spans="1:81" ht="16.5" customHeight="1">
      <c r="A47" s="1677"/>
      <c r="B47" s="1677"/>
      <c r="C47" s="1455">
        <v>24</v>
      </c>
      <c r="D47" s="471" t="s">
        <v>1483</v>
      </c>
      <c r="E47" s="472" t="s">
        <v>206</v>
      </c>
      <c r="F47" s="473"/>
      <c r="G47" s="474" t="s">
        <v>403</v>
      </c>
      <c r="H47" s="473" t="s">
        <v>232</v>
      </c>
      <c r="I47" s="1715"/>
      <c r="J47" s="476">
        <f t="shared" si="30"/>
        <v>0</v>
      </c>
      <c r="K47" s="1727"/>
      <c r="L47" s="476">
        <f t="shared" si="42"/>
        <v>0</v>
      </c>
      <c r="M47" s="1727"/>
      <c r="N47" s="480">
        <f t="shared" si="12"/>
        <v>0</v>
      </c>
      <c r="O47" s="414">
        <f t="shared" si="1"/>
        <v>0</v>
      </c>
      <c r="P47" s="477">
        <f t="shared" si="13"/>
        <v>0</v>
      </c>
      <c r="Q47" s="477">
        <f t="shared" si="14"/>
        <v>0</v>
      </c>
      <c r="R47" s="477">
        <f t="shared" si="15"/>
        <v>0</v>
      </c>
      <c r="S47" s="478"/>
      <c r="T47" s="402">
        <v>0</v>
      </c>
      <c r="U47" s="1669"/>
      <c r="V47" s="402">
        <v>0</v>
      </c>
      <c r="W47" s="1670"/>
      <c r="X47" s="22">
        <f t="shared" si="32"/>
        <v>0</v>
      </c>
      <c r="Y47" s="478"/>
      <c r="Z47" s="402">
        <v>0</v>
      </c>
      <c r="AA47" s="1714"/>
      <c r="AB47" s="402">
        <v>0</v>
      </c>
      <c r="AC47" s="1670"/>
      <c r="AD47" s="22">
        <f t="shared" si="33"/>
        <v>0</v>
      </c>
      <c r="AE47" s="478"/>
      <c r="AF47" s="402">
        <v>0</v>
      </c>
      <c r="AG47" s="1714"/>
      <c r="AH47" s="402">
        <v>0</v>
      </c>
      <c r="AI47" s="1716"/>
      <c r="AJ47" s="22">
        <f t="shared" si="34"/>
        <v>0</v>
      </c>
      <c r="AK47" s="478"/>
      <c r="AL47" s="402">
        <v>0</v>
      </c>
      <c r="AM47" s="1714"/>
      <c r="AN47" s="402">
        <v>0</v>
      </c>
      <c r="AO47" s="1716"/>
      <c r="AP47" s="22">
        <f t="shared" si="35"/>
        <v>0</v>
      </c>
      <c r="AQ47" s="478"/>
      <c r="AR47" s="402">
        <v>0</v>
      </c>
      <c r="AS47" s="1714"/>
      <c r="AT47" s="402">
        <v>0</v>
      </c>
      <c r="AU47" s="1716"/>
      <c r="AV47" s="22">
        <f t="shared" si="36"/>
        <v>0</v>
      </c>
      <c r="AW47" s="478"/>
      <c r="AX47" s="402">
        <v>0</v>
      </c>
      <c r="AY47" s="1714"/>
      <c r="AZ47" s="402">
        <v>0</v>
      </c>
      <c r="BA47" s="1716"/>
      <c r="BB47" s="22">
        <f t="shared" si="37"/>
        <v>0</v>
      </c>
      <c r="BC47" s="478"/>
      <c r="BD47" s="402">
        <v>0</v>
      </c>
      <c r="BE47" s="1714"/>
      <c r="BF47" s="402">
        <v>0</v>
      </c>
      <c r="BG47" s="1716"/>
      <c r="BH47" s="22">
        <f t="shared" si="38"/>
        <v>0</v>
      </c>
      <c r="BI47" s="478"/>
      <c r="BJ47" s="402">
        <v>0</v>
      </c>
      <c r="BK47" s="1714"/>
      <c r="BL47" s="402">
        <v>0</v>
      </c>
      <c r="BM47" s="1716"/>
      <c r="BN47" s="22">
        <f t="shared" si="39"/>
        <v>0</v>
      </c>
      <c r="BO47" s="478"/>
      <c r="BP47" s="402">
        <v>0</v>
      </c>
      <c r="BQ47" s="1714"/>
      <c r="BR47" s="402">
        <v>0</v>
      </c>
      <c r="BS47" s="1716"/>
      <c r="BT47" s="22">
        <f t="shared" si="40"/>
        <v>0</v>
      </c>
      <c r="BU47" s="478"/>
      <c r="BV47" s="402">
        <v>0</v>
      </c>
      <c r="BW47" s="1714"/>
      <c r="BX47" s="402">
        <v>0</v>
      </c>
      <c r="BY47" s="1670"/>
      <c r="BZ47" s="1265">
        <f t="shared" si="41"/>
        <v>0</v>
      </c>
    </row>
    <row r="48" spans="1:81" ht="20.25" customHeight="1">
      <c r="A48" s="412" t="s">
        <v>1270</v>
      </c>
      <c r="B48" s="412" t="s">
        <v>1271</v>
      </c>
      <c r="C48" s="1455">
        <v>25</v>
      </c>
      <c r="D48" s="471" t="s">
        <v>1269</v>
      </c>
      <c r="E48" s="472" t="s">
        <v>206</v>
      </c>
      <c r="F48" s="473"/>
      <c r="G48" s="474" t="s">
        <v>403</v>
      </c>
      <c r="H48" s="473" t="s">
        <v>232</v>
      </c>
      <c r="I48" s="475">
        <v>5</v>
      </c>
      <c r="J48" s="476">
        <f t="shared" si="30"/>
        <v>0</v>
      </c>
      <c r="K48" s="476">
        <f>AVERAGE(BW48,BQ48,BK48,BE48,AY48,AS48,AM48,AG48,AA48,U48)</f>
        <v>5</v>
      </c>
      <c r="L48" s="476">
        <f t="shared" si="42"/>
        <v>0</v>
      </c>
      <c r="M48" s="476">
        <f>AVERAGE(BY48,BS48,BM48,BG48,BA48,AU48,AO48,AI48,AC48,W48)</f>
        <v>5</v>
      </c>
      <c r="N48" s="480">
        <f t="shared" si="12"/>
        <v>0</v>
      </c>
      <c r="O48" s="414">
        <f t="shared" si="1"/>
        <v>0</v>
      </c>
      <c r="P48" s="477">
        <f t="shared" si="13"/>
        <v>0</v>
      </c>
      <c r="Q48" s="477">
        <f t="shared" si="14"/>
        <v>0</v>
      </c>
      <c r="R48" s="477">
        <f t="shared" si="15"/>
        <v>0</v>
      </c>
      <c r="S48" s="478"/>
      <c r="T48" s="402">
        <v>0</v>
      </c>
      <c r="U48" s="380">
        <f>IF(T48=0,5,IF(T48&lt;=3,2,0))</f>
        <v>5</v>
      </c>
      <c r="V48" s="402">
        <v>0</v>
      </c>
      <c r="W48" s="1332">
        <f>IF(V48=0,5,IF(V48&lt;=3,2,0))</f>
        <v>5</v>
      </c>
      <c r="X48" s="22">
        <f t="shared" si="32"/>
        <v>0</v>
      </c>
      <c r="Y48" s="478"/>
      <c r="Z48" s="402">
        <v>0</v>
      </c>
      <c r="AA48" s="402">
        <f>IF(Z48=0,5,IF(Z48&lt;=3,2,0))</f>
        <v>5</v>
      </c>
      <c r="AB48" s="402">
        <v>0</v>
      </c>
      <c r="AC48" s="1332">
        <f>IF(AB48=0,5,IF(AB48&lt;=3,2,0))</f>
        <v>5</v>
      </c>
      <c r="AD48" s="22">
        <f t="shared" si="33"/>
        <v>0</v>
      </c>
      <c r="AE48" s="478"/>
      <c r="AF48" s="402">
        <v>0</v>
      </c>
      <c r="AG48" s="402">
        <f>IF(AF48=0,5,IF(AF48&lt;=3,2,0))</f>
        <v>5</v>
      </c>
      <c r="AH48" s="402">
        <v>0</v>
      </c>
      <c r="AI48" s="1295">
        <f>IF(AH48=0,5,IF(AH48&lt;=3,2,0))</f>
        <v>5</v>
      </c>
      <c r="AJ48" s="22">
        <f t="shared" si="34"/>
        <v>0</v>
      </c>
      <c r="AK48" s="478"/>
      <c r="AL48" s="402">
        <v>0</v>
      </c>
      <c r="AM48" s="402">
        <f>IF(AL48=0,5,IF(AL48&lt;=3,2,0))</f>
        <v>5</v>
      </c>
      <c r="AN48" s="402">
        <v>0</v>
      </c>
      <c r="AO48" s="1295">
        <f>IF(AN48=0,5,IF(AN48&lt;=3,2,0))</f>
        <v>5</v>
      </c>
      <c r="AP48" s="22">
        <f t="shared" si="35"/>
        <v>0</v>
      </c>
      <c r="AQ48" s="478"/>
      <c r="AR48" s="402">
        <v>0</v>
      </c>
      <c r="AS48" s="402">
        <f>IF(AR48=0,5,IF(AR48&lt;=3,2,0))</f>
        <v>5</v>
      </c>
      <c r="AT48" s="402">
        <v>0</v>
      </c>
      <c r="AU48" s="1295">
        <f>IF(AT48=0,5,IF(AT48&lt;=3,2,0))</f>
        <v>5</v>
      </c>
      <c r="AV48" s="22">
        <f t="shared" si="36"/>
        <v>0</v>
      </c>
      <c r="AW48" s="478"/>
      <c r="AX48" s="402">
        <v>0</v>
      </c>
      <c r="AY48" s="402">
        <f>IF(AX48=0,5,IF(AX48&lt;=3,2,0))</f>
        <v>5</v>
      </c>
      <c r="AZ48" s="402">
        <v>0</v>
      </c>
      <c r="BA48" s="1295">
        <f>IF(AZ48=0,5,IF(AZ48&lt;=3,2,0))</f>
        <v>5</v>
      </c>
      <c r="BB48" s="22">
        <f t="shared" si="37"/>
        <v>0</v>
      </c>
      <c r="BC48" s="478"/>
      <c r="BD48" s="402">
        <v>0</v>
      </c>
      <c r="BE48" s="402">
        <f>IF(BD48=0,5,IF(BD48&lt;=3,2,0))</f>
        <v>5</v>
      </c>
      <c r="BF48" s="402">
        <v>0</v>
      </c>
      <c r="BG48" s="1295">
        <f>IF(BF48=0,5,IF(BF48&lt;=3,2,0))</f>
        <v>5</v>
      </c>
      <c r="BH48" s="22">
        <f t="shared" si="38"/>
        <v>0</v>
      </c>
      <c r="BI48" s="478"/>
      <c r="BJ48" s="402">
        <v>0</v>
      </c>
      <c r="BK48" s="402">
        <f>IF(BJ48=0,5,IF(BJ48&lt;=3,2,0))</f>
        <v>5</v>
      </c>
      <c r="BL48" s="402">
        <v>0</v>
      </c>
      <c r="BM48" s="1295">
        <f>IF(BL48=0,5,IF(BL48&lt;=3,2,0))</f>
        <v>5</v>
      </c>
      <c r="BN48" s="22">
        <f t="shared" si="39"/>
        <v>0</v>
      </c>
      <c r="BO48" s="478"/>
      <c r="BP48" s="402">
        <v>0</v>
      </c>
      <c r="BQ48" s="402">
        <f>IF(BP48=0,5,IF(BP48&lt;=3,2,0))</f>
        <v>5</v>
      </c>
      <c r="BR48" s="402">
        <v>0</v>
      </c>
      <c r="BS48" s="1295">
        <f>IF(BR48=0,5,IF(BR48&lt;=3,2,0))</f>
        <v>5</v>
      </c>
      <c r="BT48" s="22">
        <f t="shared" si="40"/>
        <v>0</v>
      </c>
      <c r="BU48" s="478"/>
      <c r="BV48" s="402">
        <v>0</v>
      </c>
      <c r="BW48" s="402">
        <f>IF(BV48=0,5,IF(BV48&lt;=3,2,0))</f>
        <v>5</v>
      </c>
      <c r="BX48" s="402">
        <v>0</v>
      </c>
      <c r="BY48" s="1332">
        <f>IF(BX48=0,5,IF(BX48&lt;=3,2,0))</f>
        <v>5</v>
      </c>
      <c r="BZ48" s="1265">
        <f t="shared" si="41"/>
        <v>0</v>
      </c>
    </row>
    <row r="49" spans="1:82" ht="16.5" customHeight="1">
      <c r="A49" s="412" t="s">
        <v>1159</v>
      </c>
      <c r="B49" s="412" t="s">
        <v>1273</v>
      </c>
      <c r="C49" s="1455">
        <v>26</v>
      </c>
      <c r="D49" s="471" t="s">
        <v>1272</v>
      </c>
      <c r="E49" s="472" t="s">
        <v>206</v>
      </c>
      <c r="F49" s="473"/>
      <c r="G49" s="474" t="s">
        <v>403</v>
      </c>
      <c r="H49" s="473" t="s">
        <v>232</v>
      </c>
      <c r="I49" s="475" t="s">
        <v>465</v>
      </c>
      <c r="J49" s="476">
        <f t="shared" si="30"/>
        <v>0</v>
      </c>
      <c r="K49" s="496"/>
      <c r="L49" s="476">
        <f t="shared" si="42"/>
        <v>0</v>
      </c>
      <c r="M49" s="496"/>
      <c r="N49" s="480">
        <f t="shared" si="12"/>
        <v>0</v>
      </c>
      <c r="O49" s="417"/>
      <c r="P49" s="496"/>
      <c r="Q49" s="496"/>
      <c r="R49" s="496"/>
      <c r="S49" s="478"/>
      <c r="T49" s="402">
        <v>0</v>
      </c>
      <c r="U49" s="380" t="s">
        <v>1161</v>
      </c>
      <c r="V49" s="402">
        <v>0</v>
      </c>
      <c r="W49" s="1332" t="str">
        <f>IF(V49=0,"不扣分",-10*V49)</f>
        <v>不扣分</v>
      </c>
      <c r="X49" s="22">
        <f t="shared" si="32"/>
        <v>0</v>
      </c>
      <c r="Y49" s="478"/>
      <c r="Z49" s="402">
        <v>0</v>
      </c>
      <c r="AA49" s="402" t="s">
        <v>1161</v>
      </c>
      <c r="AB49" s="402">
        <v>0</v>
      </c>
      <c r="AC49" s="1295" t="str">
        <f>IF(AB49=0,"不扣分",-10*AB49)</f>
        <v>不扣分</v>
      </c>
      <c r="AD49" s="22">
        <f t="shared" si="33"/>
        <v>0</v>
      </c>
      <c r="AE49" s="478"/>
      <c r="AF49" s="402">
        <v>0</v>
      </c>
      <c r="AG49" s="402" t="s">
        <v>1078</v>
      </c>
      <c r="AH49" s="402">
        <v>0</v>
      </c>
      <c r="AI49" s="1295" t="str">
        <f>IF(AH49=0,"不扣分",-10*AH49)</f>
        <v>不扣分</v>
      </c>
      <c r="AJ49" s="22">
        <f t="shared" si="34"/>
        <v>0</v>
      </c>
      <c r="AK49" s="478"/>
      <c r="AL49" s="402">
        <v>0</v>
      </c>
      <c r="AM49" s="402" t="s">
        <v>1078</v>
      </c>
      <c r="AN49" s="402">
        <v>0</v>
      </c>
      <c r="AO49" s="1295" t="str">
        <f>IF(AN49=0,"不扣分",-10*AN49)</f>
        <v>不扣分</v>
      </c>
      <c r="AP49" s="22">
        <f t="shared" si="35"/>
        <v>0</v>
      </c>
      <c r="AQ49" s="478"/>
      <c r="AR49" s="402">
        <v>0</v>
      </c>
      <c r="AS49" s="402" t="s">
        <v>1078</v>
      </c>
      <c r="AT49" s="402">
        <v>0</v>
      </c>
      <c r="AU49" s="1295" t="str">
        <f>IF(AT49=0,"不扣分",-10*AT49)</f>
        <v>不扣分</v>
      </c>
      <c r="AV49" s="22">
        <f t="shared" si="36"/>
        <v>0</v>
      </c>
      <c r="AW49" s="478"/>
      <c r="AX49" s="402">
        <v>0</v>
      </c>
      <c r="AY49" s="402" t="s">
        <v>1078</v>
      </c>
      <c r="AZ49" s="402">
        <v>0</v>
      </c>
      <c r="BA49" s="1295" t="str">
        <f>IF(AZ49=0,"不扣分",-10*AZ49)</f>
        <v>不扣分</v>
      </c>
      <c r="BB49" s="22">
        <f t="shared" si="37"/>
        <v>0</v>
      </c>
      <c r="BC49" s="478"/>
      <c r="BD49" s="402">
        <v>0</v>
      </c>
      <c r="BE49" s="402" t="s">
        <v>1078</v>
      </c>
      <c r="BF49" s="402">
        <v>0</v>
      </c>
      <c r="BG49" s="1295" t="str">
        <f>IF(BF49=0,"不扣分",-10*BF49)</f>
        <v>不扣分</v>
      </c>
      <c r="BH49" s="22">
        <f t="shared" si="38"/>
        <v>0</v>
      </c>
      <c r="BI49" s="478"/>
      <c r="BJ49" s="402">
        <v>0</v>
      </c>
      <c r="BK49" s="402" t="s">
        <v>1078</v>
      </c>
      <c r="BL49" s="402">
        <v>0</v>
      </c>
      <c r="BM49" s="1295" t="str">
        <f>IF(BL49=0,"不扣分",-10*BL49)</f>
        <v>不扣分</v>
      </c>
      <c r="BN49" s="22">
        <f t="shared" si="39"/>
        <v>0</v>
      </c>
      <c r="BO49" s="478"/>
      <c r="BP49" s="402">
        <v>0</v>
      </c>
      <c r="BQ49" s="402" t="s">
        <v>1078</v>
      </c>
      <c r="BR49" s="402">
        <v>0</v>
      </c>
      <c r="BS49" s="1295" t="str">
        <f>IF(BR49=0,"不扣分",-10*BR49)</f>
        <v>不扣分</v>
      </c>
      <c r="BT49" s="22">
        <f t="shared" si="40"/>
        <v>0</v>
      </c>
      <c r="BU49" s="478"/>
      <c r="BV49" s="402">
        <v>0</v>
      </c>
      <c r="BW49" s="402" t="s">
        <v>1078</v>
      </c>
      <c r="BX49" s="402">
        <v>0</v>
      </c>
      <c r="BY49" s="1332" t="str">
        <f>IF(BX49=0,"不扣分",-10*BX49)</f>
        <v>不扣分</v>
      </c>
      <c r="BZ49" s="1265">
        <f t="shared" si="41"/>
        <v>0</v>
      </c>
    </row>
    <row r="50" spans="1:82" ht="21.75" customHeight="1">
      <c r="A50" s="1677" t="s">
        <v>1275</v>
      </c>
      <c r="B50" s="1677" t="s">
        <v>1276</v>
      </c>
      <c r="C50" s="1455">
        <v>27</v>
      </c>
      <c r="D50" s="471" t="s">
        <v>1274</v>
      </c>
      <c r="E50" s="472" t="s">
        <v>455</v>
      </c>
      <c r="F50" s="473"/>
      <c r="G50" s="474" t="s">
        <v>1510</v>
      </c>
      <c r="H50" s="473" t="s">
        <v>1540</v>
      </c>
      <c r="I50" s="1715">
        <v>3</v>
      </c>
      <c r="J50" s="476">
        <f t="shared" si="30"/>
        <v>0</v>
      </c>
      <c r="K50" s="1726">
        <f>AVERAGE(BW50,BQ50,BK50,BE50,AY50,AS50,AM50,AG50,AA50,U50)</f>
        <v>3</v>
      </c>
      <c r="L50" s="476">
        <f t="shared" si="42"/>
        <v>0</v>
      </c>
      <c r="M50" s="1726">
        <f>AVERAGE(BY50,BS50,BM50,BG50,BA50,AU50,AO50,AI50,AC50,W50)</f>
        <v>3</v>
      </c>
      <c r="N50" s="480">
        <f t="shared" si="12"/>
        <v>0</v>
      </c>
      <c r="O50" s="414">
        <f>I50-M50</f>
        <v>0</v>
      </c>
      <c r="P50" s="477">
        <f t="shared" si="13"/>
        <v>0</v>
      </c>
      <c r="Q50" s="477">
        <f t="shared" si="14"/>
        <v>0</v>
      </c>
      <c r="R50" s="477">
        <f t="shared" si="15"/>
        <v>0</v>
      </c>
      <c r="S50" s="478"/>
      <c r="T50" s="402">
        <v>0</v>
      </c>
      <c r="U50" s="1669">
        <f>3-T50-T51*0.5</f>
        <v>3</v>
      </c>
      <c r="V50" s="402">
        <v>0</v>
      </c>
      <c r="W50" s="1670">
        <f>3-V50-V51*0.5</f>
        <v>3</v>
      </c>
      <c r="X50" s="22">
        <f t="shared" si="32"/>
        <v>0</v>
      </c>
      <c r="Y50" s="478"/>
      <c r="Z50" s="402">
        <v>0</v>
      </c>
      <c r="AA50" s="1714">
        <f>3-Z50-Z51*0.5</f>
        <v>3</v>
      </c>
      <c r="AB50" s="402">
        <v>0</v>
      </c>
      <c r="AC50" s="1716">
        <f>3-AB50-AB51*0.5</f>
        <v>3</v>
      </c>
      <c r="AD50" s="22">
        <f t="shared" si="33"/>
        <v>0</v>
      </c>
      <c r="AE50" s="478"/>
      <c r="AF50" s="402">
        <v>0</v>
      </c>
      <c r="AG50" s="1714">
        <f>3-AF50-AF51*0.5</f>
        <v>3</v>
      </c>
      <c r="AH50" s="402">
        <v>0</v>
      </c>
      <c r="AI50" s="1716">
        <f>3-AH50-AH51*0.5</f>
        <v>3</v>
      </c>
      <c r="AJ50" s="22">
        <f t="shared" si="34"/>
        <v>0</v>
      </c>
      <c r="AK50" s="478"/>
      <c r="AL50" s="402">
        <v>0</v>
      </c>
      <c r="AM50" s="1714">
        <f>3-AL50-AL51*0.5</f>
        <v>3</v>
      </c>
      <c r="AN50" s="402">
        <v>0</v>
      </c>
      <c r="AO50" s="1716">
        <f>3-AN50-AN51*0.5</f>
        <v>3</v>
      </c>
      <c r="AP50" s="22">
        <f t="shared" si="35"/>
        <v>0</v>
      </c>
      <c r="AQ50" s="478"/>
      <c r="AR50" s="402">
        <v>0</v>
      </c>
      <c r="AS50" s="1714">
        <f>3-AR50-AR51*0.5</f>
        <v>3</v>
      </c>
      <c r="AT50" s="402">
        <v>0</v>
      </c>
      <c r="AU50" s="1716">
        <f>3-AT50-AT51*0.5</f>
        <v>3</v>
      </c>
      <c r="AV50" s="22">
        <f t="shared" si="36"/>
        <v>0</v>
      </c>
      <c r="AW50" s="478"/>
      <c r="AX50" s="402">
        <v>0</v>
      </c>
      <c r="AY50" s="1714">
        <f>3-AX50-AX51*0.5</f>
        <v>3</v>
      </c>
      <c r="AZ50" s="402">
        <v>0</v>
      </c>
      <c r="BA50" s="1716">
        <f>3-AZ50-AZ51*0.5</f>
        <v>3</v>
      </c>
      <c r="BB50" s="22">
        <f t="shared" si="37"/>
        <v>0</v>
      </c>
      <c r="BC50" s="478"/>
      <c r="BD50" s="402">
        <v>0</v>
      </c>
      <c r="BE50" s="1714">
        <f>3-BD50-BD51*0.5</f>
        <v>3</v>
      </c>
      <c r="BF50" s="402">
        <v>0</v>
      </c>
      <c r="BG50" s="1716">
        <f>3-BF50-BF51*0.5</f>
        <v>3</v>
      </c>
      <c r="BH50" s="22">
        <f t="shared" si="38"/>
        <v>0</v>
      </c>
      <c r="BI50" s="478"/>
      <c r="BJ50" s="402">
        <v>0</v>
      </c>
      <c r="BK50" s="1714">
        <f>3-BJ50-BJ51*0.5</f>
        <v>3</v>
      </c>
      <c r="BL50" s="402">
        <v>0</v>
      </c>
      <c r="BM50" s="1716">
        <f>3-BL50-BL51*0.5</f>
        <v>3</v>
      </c>
      <c r="BN50" s="22">
        <f t="shared" si="39"/>
        <v>0</v>
      </c>
      <c r="BO50" s="478"/>
      <c r="BP50" s="402">
        <v>0</v>
      </c>
      <c r="BQ50" s="1714">
        <f>3-BP50-BP51*0.5</f>
        <v>3</v>
      </c>
      <c r="BR50" s="402">
        <v>0</v>
      </c>
      <c r="BS50" s="1716">
        <f>3-BR50-BR51*0.5</f>
        <v>3</v>
      </c>
      <c r="BT50" s="22">
        <f t="shared" si="40"/>
        <v>0</v>
      </c>
      <c r="BU50" s="478"/>
      <c r="BV50" s="402">
        <v>0</v>
      </c>
      <c r="BW50" s="1714">
        <f>3-BV50-BV51*0.5</f>
        <v>3</v>
      </c>
      <c r="BX50" s="402">
        <v>0</v>
      </c>
      <c r="BY50" s="1670">
        <f>3-BX50-BX51*0.5</f>
        <v>3</v>
      </c>
      <c r="BZ50" s="1265">
        <f t="shared" si="41"/>
        <v>0</v>
      </c>
    </row>
    <row r="51" spans="1:82" ht="22.5" customHeight="1">
      <c r="A51" s="1677"/>
      <c r="B51" s="1677"/>
      <c r="C51" s="1455">
        <v>28</v>
      </c>
      <c r="D51" s="471" t="s">
        <v>1277</v>
      </c>
      <c r="E51" s="472" t="s">
        <v>1539</v>
      </c>
      <c r="F51" s="473"/>
      <c r="G51" s="474" t="s">
        <v>1510</v>
      </c>
      <c r="H51" s="473" t="s">
        <v>1540</v>
      </c>
      <c r="I51" s="1715"/>
      <c r="J51" s="476">
        <f t="shared" si="30"/>
        <v>0</v>
      </c>
      <c r="K51" s="1727"/>
      <c r="L51" s="476">
        <f t="shared" si="42"/>
        <v>0</v>
      </c>
      <c r="M51" s="1727"/>
      <c r="N51" s="480">
        <f t="shared" si="12"/>
        <v>0</v>
      </c>
      <c r="O51" s="414">
        <f>I51-M51</f>
        <v>0</v>
      </c>
      <c r="P51" s="477">
        <f t="shared" si="13"/>
        <v>0</v>
      </c>
      <c r="Q51" s="477">
        <f t="shared" si="14"/>
        <v>0</v>
      </c>
      <c r="R51" s="477">
        <f t="shared" si="15"/>
        <v>0</v>
      </c>
      <c r="S51" s="478"/>
      <c r="T51" s="402">
        <v>0</v>
      </c>
      <c r="U51" s="1669"/>
      <c r="V51" s="402">
        <v>0</v>
      </c>
      <c r="W51" s="1670"/>
      <c r="X51" s="22">
        <f t="shared" si="32"/>
        <v>0</v>
      </c>
      <c r="Y51" s="478"/>
      <c r="Z51" s="402">
        <v>0</v>
      </c>
      <c r="AA51" s="1714"/>
      <c r="AB51" s="402">
        <v>0</v>
      </c>
      <c r="AC51" s="1716"/>
      <c r="AD51" s="22">
        <f t="shared" si="33"/>
        <v>0</v>
      </c>
      <c r="AE51" s="478"/>
      <c r="AF51" s="402">
        <v>0</v>
      </c>
      <c r="AG51" s="1714"/>
      <c r="AH51" s="402">
        <v>0</v>
      </c>
      <c r="AI51" s="1716"/>
      <c r="AJ51" s="22">
        <f t="shared" si="34"/>
        <v>0</v>
      </c>
      <c r="AK51" s="478"/>
      <c r="AL51" s="402">
        <v>0</v>
      </c>
      <c r="AM51" s="1714"/>
      <c r="AN51" s="402">
        <v>0</v>
      </c>
      <c r="AO51" s="1716"/>
      <c r="AP51" s="22">
        <f t="shared" si="35"/>
        <v>0</v>
      </c>
      <c r="AQ51" s="478"/>
      <c r="AR51" s="402">
        <v>0</v>
      </c>
      <c r="AS51" s="1714"/>
      <c r="AT51" s="402">
        <v>0</v>
      </c>
      <c r="AU51" s="1716"/>
      <c r="AV51" s="22">
        <f t="shared" si="36"/>
        <v>0</v>
      </c>
      <c r="AW51" s="478"/>
      <c r="AX51" s="402">
        <v>0</v>
      </c>
      <c r="AY51" s="1714"/>
      <c r="AZ51" s="402">
        <v>0</v>
      </c>
      <c r="BA51" s="1716"/>
      <c r="BB51" s="22">
        <f t="shared" si="37"/>
        <v>0</v>
      </c>
      <c r="BC51" s="478"/>
      <c r="BD51" s="402">
        <v>0</v>
      </c>
      <c r="BE51" s="1714"/>
      <c r="BF51" s="402">
        <v>0</v>
      </c>
      <c r="BG51" s="1716"/>
      <c r="BH51" s="22">
        <f t="shared" si="38"/>
        <v>0</v>
      </c>
      <c r="BI51" s="478"/>
      <c r="BJ51" s="402">
        <v>0</v>
      </c>
      <c r="BK51" s="1714"/>
      <c r="BL51" s="402">
        <v>0</v>
      </c>
      <c r="BM51" s="1716"/>
      <c r="BN51" s="22">
        <f t="shared" si="39"/>
        <v>0</v>
      </c>
      <c r="BO51" s="478"/>
      <c r="BP51" s="402">
        <v>0</v>
      </c>
      <c r="BQ51" s="1714"/>
      <c r="BR51" s="22">
        <v>0</v>
      </c>
      <c r="BS51" s="1716"/>
      <c r="BT51" s="22">
        <f t="shared" si="40"/>
        <v>0</v>
      </c>
      <c r="BU51" s="478"/>
      <c r="BV51" s="402">
        <v>0</v>
      </c>
      <c r="BW51" s="1714"/>
      <c r="BX51" s="402">
        <v>0</v>
      </c>
      <c r="BY51" s="1670"/>
      <c r="BZ51" s="1265">
        <f t="shared" si="41"/>
        <v>0</v>
      </c>
      <c r="CD51" s="465" t="s">
        <v>2493</v>
      </c>
    </row>
    <row r="52" spans="1:82" ht="14.25" customHeight="1">
      <c r="A52" s="615" t="s">
        <v>1278</v>
      </c>
      <c r="B52" s="615" t="s">
        <v>1279</v>
      </c>
      <c r="C52" s="1455">
        <v>29</v>
      </c>
      <c r="D52" s="471" t="s">
        <v>1213</v>
      </c>
      <c r="E52" s="472" t="s">
        <v>1539</v>
      </c>
      <c r="F52" s="473"/>
      <c r="G52" s="474" t="s">
        <v>1541</v>
      </c>
      <c r="H52" s="473" t="s">
        <v>1540</v>
      </c>
      <c r="I52" s="475">
        <v>2</v>
      </c>
      <c r="J52" s="1380" t="s">
        <v>1280</v>
      </c>
      <c r="K52" s="476">
        <f>AVERAGE(BW52,BQ52,BK52,BE52,AY52,AS52,AM52,AG52,AA52,U52)</f>
        <v>2</v>
      </c>
      <c r="L52" s="1380" t="s">
        <v>1280</v>
      </c>
      <c r="M52" s="476">
        <f>AVERAGE(BY52,BS52,BM52,BG52,BA52,AU52,AO52,AI52,AC52,W52)</f>
        <v>2</v>
      </c>
      <c r="N52" s="480">
        <f t="shared" si="12"/>
        <v>0</v>
      </c>
      <c r="O52" s="414">
        <f>I52-M52</f>
        <v>0</v>
      </c>
      <c r="P52" s="477">
        <f t="shared" si="13"/>
        <v>0</v>
      </c>
      <c r="Q52" s="477">
        <f t="shared" si="14"/>
        <v>0</v>
      </c>
      <c r="R52" s="477">
        <f t="shared" si="15"/>
        <v>0</v>
      </c>
      <c r="S52" s="478"/>
      <c r="T52" s="360" t="s">
        <v>1280</v>
      </c>
      <c r="U52" s="380">
        <f>IF(LEFT(T52,1)="1",2,0)</f>
        <v>2</v>
      </c>
      <c r="V52" s="360" t="s">
        <v>1280</v>
      </c>
      <c r="W52" s="1332">
        <f>IF(LEFT(V52)="1",2,0)</f>
        <v>2</v>
      </c>
      <c r="X52" s="22">
        <f>IF((V52=T52)=TRUE,0,1)</f>
        <v>0</v>
      </c>
      <c r="Y52" s="478"/>
      <c r="Z52" s="360" t="s">
        <v>1280</v>
      </c>
      <c r="AA52" s="402">
        <f>IF(LEFT(Z52,1)="1",2,0)</f>
        <v>2</v>
      </c>
      <c r="AB52" s="360" t="s">
        <v>1280</v>
      </c>
      <c r="AC52" s="1295">
        <f>IF(LEFT(AB52)="1",2,0)</f>
        <v>2</v>
      </c>
      <c r="AD52" s="22">
        <f>IF((AB52=Z52)=TRUE,0,1)</f>
        <v>0</v>
      </c>
      <c r="AE52" s="478"/>
      <c r="AF52" s="360" t="s">
        <v>1280</v>
      </c>
      <c r="AG52" s="402">
        <f>IF(LEFT(AF52,1)="1",2,0)</f>
        <v>2</v>
      </c>
      <c r="AH52" s="360" t="s">
        <v>1280</v>
      </c>
      <c r="AI52" s="1295">
        <f>IF(LEFT(AH52)="1",2,0)</f>
        <v>2</v>
      </c>
      <c r="AJ52" s="22">
        <f>IF((AH52=AF52)=TRUE,0,1)</f>
        <v>0</v>
      </c>
      <c r="AK52" s="478"/>
      <c r="AL52" s="360" t="s">
        <v>1280</v>
      </c>
      <c r="AM52" s="402">
        <f>IF(LEFT(AL52,1)="1",2,0)</f>
        <v>2</v>
      </c>
      <c r="AN52" s="360" t="s">
        <v>1280</v>
      </c>
      <c r="AO52" s="1295">
        <f>IF(LEFT(AN52)="1",2,0)</f>
        <v>2</v>
      </c>
      <c r="AP52" s="22">
        <f>IF((AN52=AL52)=TRUE,0,1)</f>
        <v>0</v>
      </c>
      <c r="AQ52" s="478"/>
      <c r="AR52" s="360" t="s">
        <v>1280</v>
      </c>
      <c r="AS52" s="402">
        <f>IF(LEFT(AR52,1)="1",2,0)</f>
        <v>2</v>
      </c>
      <c r="AT52" s="360" t="s">
        <v>1280</v>
      </c>
      <c r="AU52" s="1295">
        <f>IF(LEFT(AT52)="1",2,0)</f>
        <v>2</v>
      </c>
      <c r="AV52" s="22">
        <f>IF((AT52=AR52)=TRUE,0,1)</f>
        <v>0</v>
      </c>
      <c r="AW52" s="478"/>
      <c r="AX52" s="360" t="s">
        <v>1280</v>
      </c>
      <c r="AY52" s="402">
        <f>IF(LEFT(AX52,1)="1",2,0)</f>
        <v>2</v>
      </c>
      <c r="AZ52" s="360" t="s">
        <v>1280</v>
      </c>
      <c r="BA52" s="1295">
        <f>IF(LEFT(AZ52)="1",2,0)</f>
        <v>2</v>
      </c>
      <c r="BB52" s="22">
        <f>IF((AZ52=AX52)=TRUE,0,1)</f>
        <v>0</v>
      </c>
      <c r="BC52" s="478"/>
      <c r="BD52" s="360" t="s">
        <v>1280</v>
      </c>
      <c r="BE52" s="402">
        <f>IF(LEFT(BD52,1)="1",2,0)</f>
        <v>2</v>
      </c>
      <c r="BF52" s="360" t="s">
        <v>1280</v>
      </c>
      <c r="BG52" s="1295">
        <f>IF(LEFT(BF52)="1",2,0)</f>
        <v>2</v>
      </c>
      <c r="BH52" s="22">
        <f>IF((BF52=BD52)=TRUE,0,1)</f>
        <v>0</v>
      </c>
      <c r="BI52" s="478"/>
      <c r="BJ52" s="360" t="s">
        <v>1280</v>
      </c>
      <c r="BK52" s="402">
        <f>IF(LEFT(BJ52,1)="1",2,0)</f>
        <v>2</v>
      </c>
      <c r="BL52" s="360" t="s">
        <v>1280</v>
      </c>
      <c r="BM52" s="1295">
        <f>IF(LEFT(BL52)="1",2,0)</f>
        <v>2</v>
      </c>
      <c r="BN52" s="22">
        <f>IF((BL52=BJ52)=TRUE,0,1)</f>
        <v>0</v>
      </c>
      <c r="BO52" s="478"/>
      <c r="BP52" s="360" t="s">
        <v>1280</v>
      </c>
      <c r="BQ52" s="402">
        <f>IF(LEFT(BP52,1)="1",2,0)</f>
        <v>2</v>
      </c>
      <c r="BR52" s="360" t="s">
        <v>1280</v>
      </c>
      <c r="BS52" s="1295">
        <f>IF(LEFT(BR52)="1",2,0)</f>
        <v>2</v>
      </c>
      <c r="BT52" s="22">
        <f>IF((BR52=BP52)=TRUE,0,1)</f>
        <v>0</v>
      </c>
      <c r="BU52" s="478"/>
      <c r="BV52" s="360" t="s">
        <v>1280</v>
      </c>
      <c r="BW52" s="402">
        <f>IF(LEFT(BV52,1)="1",2,0)</f>
        <v>2</v>
      </c>
      <c r="BX52" s="360" t="s">
        <v>1280</v>
      </c>
      <c r="BY52" s="1332">
        <f>IF(LEFT(BX52)="1",2,0)</f>
        <v>2</v>
      </c>
      <c r="BZ52" s="1265">
        <f>IF((BX52=BV52)=TRUE,0,1)</f>
        <v>0</v>
      </c>
    </row>
    <row r="53" spans="1:82" ht="16.5" customHeight="1">
      <c r="A53" s="1677" t="s">
        <v>2065</v>
      </c>
      <c r="B53" s="1677" t="s">
        <v>1542</v>
      </c>
      <c r="C53" s="1455">
        <v>30</v>
      </c>
      <c r="D53" s="1425" t="s">
        <v>141</v>
      </c>
      <c r="E53" s="472" t="s">
        <v>206</v>
      </c>
      <c r="F53" s="473"/>
      <c r="G53" s="474" t="s">
        <v>1543</v>
      </c>
      <c r="H53" s="1694" t="s">
        <v>1512</v>
      </c>
      <c r="I53" s="1715">
        <v>10</v>
      </c>
      <c r="J53" s="476">
        <f>AVERAGE(BV53,BP53,BJ53,BD53,AX53,AR53,AL53,AF53,Z53,T53)</f>
        <v>0</v>
      </c>
      <c r="K53" s="1726">
        <v>0</v>
      </c>
      <c r="L53" s="476">
        <f>AVERAGE(BX53,BR53,BL53,BF53,AZ53,AT53,AN53,AH53,AB53,V53)</f>
        <v>0</v>
      </c>
      <c r="M53" s="1726">
        <v>0</v>
      </c>
      <c r="N53" s="1702">
        <f t="shared" si="12"/>
        <v>0</v>
      </c>
      <c r="O53" s="1717">
        <f>I53-M53</f>
        <v>10</v>
      </c>
      <c r="P53" s="1726">
        <f t="shared" si="13"/>
        <v>4</v>
      </c>
      <c r="Q53" s="1726">
        <f t="shared" si="14"/>
        <v>0.44444444444444442</v>
      </c>
      <c r="R53" s="1726">
        <f t="shared" si="15"/>
        <v>0.22222222222222221</v>
      </c>
      <c r="S53" s="478"/>
      <c r="T53" s="402">
        <v>0</v>
      </c>
      <c r="U53" s="1669">
        <f>IF(T20+T21+T35+T36+T38+T39+T46+T47+T48=0,10,"行业水平得分")</f>
        <v>10</v>
      </c>
      <c r="V53" s="402">
        <v>0</v>
      </c>
      <c r="W53" s="1670">
        <f>IF(V20+V21+V35+V36+V38+V39+V46+V47+V48=0,10,"行业水平得分")</f>
        <v>10</v>
      </c>
      <c r="X53" s="22">
        <f>IF(AND(T53=0,V53&lt;&gt;0),1,IF(AND(T53=0,V53=0),0,V53/T53-1))</f>
        <v>0</v>
      </c>
      <c r="Y53" s="478"/>
      <c r="Z53" s="402">
        <v>0</v>
      </c>
      <c r="AA53" s="1712">
        <f>IF(Z20+Z21+Z35+Z36+Z38+Z39+Z46+Z47+Z48=0,10,"行业水平得分")</f>
        <v>10</v>
      </c>
      <c r="AB53" s="402">
        <v>0</v>
      </c>
      <c r="AC53" s="1670">
        <f>IF(AB20+AB21+AB35+AB36+AB38+AB39+AB46+AB47+AB48=0,10,"行业水平得分")</f>
        <v>10</v>
      </c>
      <c r="AD53" s="22">
        <f>IF(AND(Z53=0,AB53&lt;&gt;0),1,IF(AND(Z53=0,AB53=0),0,AB53/Z53-1))</f>
        <v>0</v>
      </c>
      <c r="AE53" s="478"/>
      <c r="AF53" s="402">
        <v>0</v>
      </c>
      <c r="AG53" s="1669">
        <f>IF(AF20+AF21+AF35+AF36+AF38+AF39+AF46+AF47+AF48=0,10,"行业水平得分")</f>
        <v>10</v>
      </c>
      <c r="AH53" s="402">
        <v>0</v>
      </c>
      <c r="AI53" s="1670">
        <f>IF(AH20+AH21+AH35+AH36+AH38+AH39+AH46+AH47+AH48=0,10,"行业水平得分")</f>
        <v>10</v>
      </c>
      <c r="AJ53" s="22">
        <f>IF(AND(AF53=0,AH53&lt;&gt;0),1,IF(AND(AF53=0,AH53=0),0,AH53/AF53-1))</f>
        <v>0</v>
      </c>
      <c r="AK53" s="478"/>
      <c r="AL53" s="402">
        <v>0</v>
      </c>
      <c r="AM53" s="1712" t="str">
        <f>IF(AL20+AL21+AL35+AL36+AL38+AL39+AL46+AL47+AL48=0,10,"行业水平得分")</f>
        <v>行业水平得分</v>
      </c>
      <c r="AN53" s="402">
        <v>0</v>
      </c>
      <c r="AO53" s="1713" t="str">
        <f>IF(AN20+AN21+AN35+AN36+AN38+AN39+AN46+AN47+AN48=0,10,"行业水平得分")</f>
        <v>行业水平得分</v>
      </c>
      <c r="AP53" s="22">
        <f>IF(AND(AL53=0,AN53&lt;&gt;0),1,IF(AND(AL53=0,AN53=0),0,AN53/AL53-1))</f>
        <v>0</v>
      </c>
      <c r="AQ53" s="478"/>
      <c r="AR53" s="402">
        <v>0</v>
      </c>
      <c r="AS53" s="1669">
        <f>IF(AR20+AR21+AR35+AR36+AR38+AR39+AR46+AR47+AR48=0,10,"行业水平得分")</f>
        <v>10</v>
      </c>
      <c r="AT53" s="402">
        <v>0</v>
      </c>
      <c r="AU53" s="1670">
        <f>IF(AT20+AT21+AT35+AT36+AT38+AT39+AT46+AT47+AT48=0,10,"行业水平得分")</f>
        <v>10</v>
      </c>
      <c r="AV53" s="22">
        <f>IF(AND(AR53=0,AT53&lt;&gt;0),1,IF(AND(AR53=0,AT53=0),0,AT53/AR53-1))</f>
        <v>0</v>
      </c>
      <c r="AW53" s="478"/>
      <c r="AX53" s="402">
        <v>0</v>
      </c>
      <c r="AY53" s="1669">
        <f>IF(AX20+AX21+AX35+AX36+AX38+AX39+AX46+AX47+AX48=0,10,"行业水平得分")</f>
        <v>10</v>
      </c>
      <c r="AZ53" s="402">
        <v>0</v>
      </c>
      <c r="BA53" s="1670">
        <f>IF(AZ20+AZ21+AZ35+AZ36+AZ38+AZ39+AZ46+AZ47+AZ48=0,10,"行业水平得分")</f>
        <v>10</v>
      </c>
      <c r="BB53" s="22">
        <f>IF(AND(AX53=0,AZ53&lt;&gt;0),1,IF(AND(AX53=0,AZ53=0),0,AZ53/AX53-1))</f>
        <v>0</v>
      </c>
      <c r="BC53" s="478"/>
      <c r="BD53" s="402">
        <v>0</v>
      </c>
      <c r="BE53" s="1669">
        <f>IF(BD20+BD21+BD35+BD36+BD38+BD39+BD46+BD47+BD48=0,10,"行业水平得分")</f>
        <v>10</v>
      </c>
      <c r="BF53" s="402">
        <v>0</v>
      </c>
      <c r="BG53" s="1670">
        <f>IF(BF20+BF21+BF35+BF36+BF38+BF39+BF46+BF47+BF48=0,10,"行业水平得分")</f>
        <v>10</v>
      </c>
      <c r="BH53" s="22">
        <f>IF(AND(BD53=0,BF53&lt;&gt;0),1,IF(AND(BD53=0,BF53=0),0,BF53/BD53-1))</f>
        <v>0</v>
      </c>
      <c r="BI53" s="478"/>
      <c r="BJ53" s="402">
        <v>0</v>
      </c>
      <c r="BK53" s="1669">
        <f>IF(BJ20+BJ21+BJ35+BJ36+BJ38+BJ39+BJ46+BJ47+BJ48=0,10,"行业水平得分")</f>
        <v>10</v>
      </c>
      <c r="BL53" s="402">
        <v>0</v>
      </c>
      <c r="BM53" s="1670">
        <f>IF(BL20+BL21+BL35+BL36+BL38+BL39+BL46+BL47+BL48=0,10,"行业水平得分")</f>
        <v>10</v>
      </c>
      <c r="BN53" s="22">
        <f>IF(AND(BJ53=0,BL53&lt;&gt;0),1,IF(AND(BJ53=0,BL53=0),0,BL53/BJ53-1))</f>
        <v>0</v>
      </c>
      <c r="BO53" s="478"/>
      <c r="BP53" s="402">
        <v>0</v>
      </c>
      <c r="BQ53" s="1669">
        <f>IF(BP20+BP21+BP35+BP36+BP38+BP39+BP46+BP47+BP48=0,10,"行业水平得分")</f>
        <v>10</v>
      </c>
      <c r="BR53" s="402">
        <v>0</v>
      </c>
      <c r="BS53" s="1670">
        <f>IF(BR20+BR21+BR35+BR36+BR38+BR39+BR46+BR47+BR48=0,10,"行业水平得分")</f>
        <v>10</v>
      </c>
      <c r="BT53" s="22">
        <f>IF(AND(BP53=0,BR53&lt;&gt;0),1,IF(AND(BP53=0,BR53=0),0,BR53/BP53-1))</f>
        <v>0</v>
      </c>
      <c r="BU53" s="478"/>
      <c r="BV53" s="402">
        <v>0</v>
      </c>
      <c r="BW53" s="1669">
        <f>IF(BV20+BV21+BV35+BV36+BV38+BV39+BV46+BV47+BV48=0,10,"行业水平得分")</f>
        <v>10</v>
      </c>
      <c r="BX53" s="402">
        <v>0</v>
      </c>
      <c r="BY53" s="1670">
        <f>IF(BX20+BX21+BX35+BX36+BX38+BX39+BX46+BX47+BX48=0,10,"行业水平得分")</f>
        <v>10</v>
      </c>
      <c r="BZ53" s="1265">
        <f>IF(AND(BV53=0,BX53&lt;&gt;0),1,IF(AND(BV53=0,BX53=0),0,BX53/BV53-1))</f>
        <v>0</v>
      </c>
    </row>
    <row r="54" spans="1:82" ht="15.6" customHeight="1">
      <c r="A54" s="1677"/>
      <c r="B54" s="1677"/>
      <c r="C54" s="1455">
        <v>31</v>
      </c>
      <c r="D54" s="1425" t="s">
        <v>1168</v>
      </c>
      <c r="E54" s="472" t="s">
        <v>206</v>
      </c>
      <c r="F54" s="485"/>
      <c r="G54" s="1717" t="s">
        <v>402</v>
      </c>
      <c r="H54" s="1729"/>
      <c r="I54" s="1715"/>
      <c r="J54" s="476">
        <f>AVERAGE(BV54,BP54,BJ54,BD54,AX54,AR54,AL54,AF54,Z54,T54)</f>
        <v>343526725.40999997</v>
      </c>
      <c r="K54" s="1728"/>
      <c r="L54" s="476">
        <f>AVERAGE(BX54,BR54,BL54,BF54,AZ54,AT54,AN54,AH54,AB54,V54)</f>
        <v>359015069.08300006</v>
      </c>
      <c r="M54" s="1728"/>
      <c r="N54" s="1703"/>
      <c r="O54" s="1718"/>
      <c r="P54" s="1728"/>
      <c r="Q54" s="1728"/>
      <c r="R54" s="1728"/>
      <c r="S54" s="478"/>
      <c r="T54" s="402">
        <v>199634881.32999998</v>
      </c>
      <c r="U54" s="1669"/>
      <c r="V54" s="402">
        <v>219161691.91999999</v>
      </c>
      <c r="W54" s="1670"/>
      <c r="X54" s="22">
        <f>IF(AND(T54=0,V54&lt;&gt;0),1,IF(AND(T54=0,V54=0),0,V54/T54-1))</f>
        <v>9.7812619016823144E-2</v>
      </c>
      <c r="Y54" s="478"/>
      <c r="Z54" s="402">
        <v>766967121.24000001</v>
      </c>
      <c r="AA54" s="1712"/>
      <c r="AB54" s="402">
        <v>803965379.51999998</v>
      </c>
      <c r="AC54" s="1670"/>
      <c r="AD54" s="22">
        <f>IF(AND(Z54=0,AB54&lt;&gt;0),1,IF(AND(Z54=0,AB54=0),0,AB54/Z54-1))</f>
        <v>4.8239692752647167E-2</v>
      </c>
      <c r="AE54" s="478"/>
      <c r="AF54" s="402">
        <v>543573174.1400001</v>
      </c>
      <c r="AG54" s="1669"/>
      <c r="AH54" s="402">
        <v>553478053.49000013</v>
      </c>
      <c r="AI54" s="1670"/>
      <c r="AJ54" s="22">
        <f>IF(AND(AF54=0,AH54&lt;&gt;0),1,IF(AND(AF54=0,AH54=0),0,AH54/AF54-1))</f>
        <v>1.822179574198235E-2</v>
      </c>
      <c r="AK54" s="478"/>
      <c r="AL54" s="402">
        <v>250873009.13</v>
      </c>
      <c r="AM54" s="1712"/>
      <c r="AN54" s="402">
        <v>268983251.95999998</v>
      </c>
      <c r="AO54" s="1713"/>
      <c r="AP54" s="22">
        <f>IF(AND(AL54=0,AN54&lt;&gt;0),1,IF(AND(AL54=0,AN54=0),0,AN54/AL54-1))</f>
        <v>7.2188885096903466E-2</v>
      </c>
      <c r="AQ54" s="478"/>
      <c r="AR54" s="402">
        <v>474163028.04999995</v>
      </c>
      <c r="AS54" s="1669"/>
      <c r="AT54" s="402">
        <v>498430654.99000007</v>
      </c>
      <c r="AU54" s="1670"/>
      <c r="AV54" s="22">
        <f>IF(AND(AR54=0,AT54&lt;&gt;0),1,IF(AND(AR54=0,AT54=0),0,AT54/AR54-1))</f>
        <v>5.1179922314485315E-2</v>
      </c>
      <c r="AW54" s="478"/>
      <c r="AX54" s="402">
        <v>494301910.06</v>
      </c>
      <c r="AY54" s="1669"/>
      <c r="AZ54" s="402">
        <v>510216980.48000002</v>
      </c>
      <c r="BA54" s="1670"/>
      <c r="BB54" s="22">
        <f>IF(AND(AX54=0,AZ54&lt;&gt;0),1,IF(AND(AX54=0,AZ54=0),0,AZ54/AX54-1))</f>
        <v>3.2197064377251117E-2</v>
      </c>
      <c r="BC54" s="478"/>
      <c r="BD54" s="402">
        <v>84852447.370000005</v>
      </c>
      <c r="BE54" s="1669"/>
      <c r="BF54" s="402">
        <v>86955164.340000004</v>
      </c>
      <c r="BG54" s="1670"/>
      <c r="BH54" s="22">
        <f>IF(AND(BD54=0,BF54&lt;&gt;0),1,IF(AND(BD54=0,BF54=0),0,BF54/BD54-1))</f>
        <v>2.4780864137378122E-2</v>
      </c>
      <c r="BI54" s="478"/>
      <c r="BJ54" s="402">
        <v>400269556.49000001</v>
      </c>
      <c r="BK54" s="1669"/>
      <c r="BL54" s="402">
        <v>416219170.48000002</v>
      </c>
      <c r="BM54" s="1670"/>
      <c r="BN54" s="22">
        <f>IF(AND(BJ54=0,BL54&lt;&gt;0),1,IF(AND(BJ54=0,BL54=0),0,BL54/BJ54-1))</f>
        <v>3.9847182308501372E-2</v>
      </c>
      <c r="BO54" s="478"/>
      <c r="BP54" s="402">
        <v>93143246.709999993</v>
      </c>
      <c r="BQ54" s="1669"/>
      <c r="BR54" s="402">
        <v>97065923.040000007</v>
      </c>
      <c r="BS54" s="1670"/>
      <c r="BT54" s="22">
        <f>IF(AND(BP54=0,BR54&lt;&gt;0),1,IF(AND(BP54=0,BR54=0),0,BR54/BP54-1))</f>
        <v>4.211444703246392E-2</v>
      </c>
      <c r="BU54" s="478"/>
      <c r="BV54" s="402">
        <v>127488879.58</v>
      </c>
      <c r="BW54" s="1669"/>
      <c r="BX54" s="402">
        <v>135674420.60999998</v>
      </c>
      <c r="BY54" s="1670"/>
      <c r="BZ54" s="1265">
        <f>IF(AND(BV54=0,BX54&lt;&gt;0),1,IF(AND(BV54=0,BX54=0),0,BX54/BV54-1))</f>
        <v>6.4205921778954123E-2</v>
      </c>
    </row>
    <row r="55" spans="1:82" ht="15.6" customHeight="1">
      <c r="A55" s="1677"/>
      <c r="B55" s="1677"/>
      <c r="C55" s="1455">
        <v>32</v>
      </c>
      <c r="D55" s="1425" t="s">
        <v>1171</v>
      </c>
      <c r="E55" s="472" t="s">
        <v>206</v>
      </c>
      <c r="F55" s="485"/>
      <c r="G55" s="1718"/>
      <c r="H55" s="1729"/>
      <c r="I55" s="1715"/>
      <c r="J55" s="476">
        <f>AVERAGE(BV55,BP55,BJ55,BD55,AX55,AR55,AL55,AF55,Z55,T55)</f>
        <v>16621630.463</v>
      </c>
      <c r="K55" s="1728"/>
      <c r="L55" s="476">
        <f>AVERAGE(BX55,BR55,BL55,BF55,AZ55,AT55,AN55,AH55,AB55,V55)</f>
        <v>15842242.294</v>
      </c>
      <c r="M55" s="1728"/>
      <c r="N55" s="1703"/>
      <c r="O55" s="1718"/>
      <c r="P55" s="1728"/>
      <c r="Q55" s="1728"/>
      <c r="R55" s="1728"/>
      <c r="S55" s="478"/>
      <c r="T55" s="402">
        <v>5289900</v>
      </c>
      <c r="U55" s="1669"/>
      <c r="V55" s="402">
        <v>5024700</v>
      </c>
      <c r="W55" s="1670"/>
      <c r="X55" s="22">
        <f>IF(AND(T55=0,V55&lt;&gt;0),1,IF(AND(T55=0,V55=0),0,V55/T55-1))</f>
        <v>-5.0133272840696463E-2</v>
      </c>
      <c r="Y55" s="478"/>
      <c r="Z55" s="402">
        <v>32604399.18</v>
      </c>
      <c r="AA55" s="1712"/>
      <c r="AB55" s="402">
        <v>29273930.940000001</v>
      </c>
      <c r="AC55" s="1670"/>
      <c r="AD55" s="22">
        <f>IF(AND(Z55=0,AB55&lt;&gt;0),1,IF(AND(Z55=0,AB55=0),0,AB55/Z55-1))</f>
        <v>-0.10214781820126151</v>
      </c>
      <c r="AE55" s="478"/>
      <c r="AF55" s="402">
        <v>29940200</v>
      </c>
      <c r="AG55" s="1669"/>
      <c r="AH55" s="402">
        <v>29287800</v>
      </c>
      <c r="AI55" s="1670"/>
      <c r="AJ55" s="22">
        <f>IF(AND(AF55=0,AH55&lt;&gt;0),1,IF(AND(AF55=0,AH55=0),0,AH55/AF55-1))</f>
        <v>-2.1790101602527701E-2</v>
      </c>
      <c r="AK55" s="478"/>
      <c r="AL55" s="402">
        <v>23000</v>
      </c>
      <c r="AM55" s="1712"/>
      <c r="AN55" s="402">
        <v>20000</v>
      </c>
      <c r="AO55" s="1713"/>
      <c r="AP55" s="22">
        <f>IF(AND(AL55=0,AN55&lt;&gt;0),1,IF(AND(AL55=0,AN55=0),0,AN55/AL55-1))</f>
        <v>-0.13043478260869568</v>
      </c>
      <c r="AQ55" s="478"/>
      <c r="AR55" s="402">
        <v>64398275.450000003</v>
      </c>
      <c r="AS55" s="1669"/>
      <c r="AT55" s="402">
        <v>60377401</v>
      </c>
      <c r="AU55" s="1670"/>
      <c r="AV55" s="22">
        <f>IF(AND(AR55=0,AT55&lt;&gt;0),1,IF(AND(AR55=0,AT55=0),0,AT55/AR55-1))</f>
        <v>-6.243761066430864E-2</v>
      </c>
      <c r="AW55" s="478"/>
      <c r="AX55" s="402">
        <v>15565200</v>
      </c>
      <c r="AY55" s="1669"/>
      <c r="AZ55" s="402">
        <v>16492600</v>
      </c>
      <c r="BA55" s="1670"/>
      <c r="BB55" s="22">
        <f>IF(AND(AX55=0,AZ55&lt;&gt;0),1,IF(AND(AX55=0,AZ55=0),0,AZ55/AX55-1))</f>
        <v>5.9581630817464593E-2</v>
      </c>
      <c r="BC55" s="478"/>
      <c r="BD55" s="402">
        <v>6274930</v>
      </c>
      <c r="BE55" s="1669"/>
      <c r="BF55" s="402">
        <v>6113730</v>
      </c>
      <c r="BG55" s="1670"/>
      <c r="BH55" s="22">
        <f>IF(AND(BD55=0,BF55&lt;&gt;0),1,IF(AND(BD55=0,BF55=0),0,BF55/BD55-1))</f>
        <v>-2.5689529604314365E-2</v>
      </c>
      <c r="BI55" s="478"/>
      <c r="BJ55" s="402">
        <v>2927400</v>
      </c>
      <c r="BK55" s="1669"/>
      <c r="BL55" s="402">
        <v>2813500</v>
      </c>
      <c r="BM55" s="1670"/>
      <c r="BN55" s="22">
        <f>IF(AND(BJ55=0,BL55&lt;&gt;0),1,IF(AND(BJ55=0,BL55=0),0,BL55/BJ55-1))</f>
        <v>-3.8908246225319409E-2</v>
      </c>
      <c r="BO55" s="478"/>
      <c r="BP55" s="402">
        <v>86900</v>
      </c>
      <c r="BQ55" s="1669"/>
      <c r="BR55" s="402">
        <v>321661</v>
      </c>
      <c r="BS55" s="1670"/>
      <c r="BT55" s="22">
        <f>IF(AND(BP55=0,BR55&lt;&gt;0),1,IF(AND(BP55=0,BR55=0),0,BR55/BP55-1))</f>
        <v>2.7015074798619101</v>
      </c>
      <c r="BU55" s="478"/>
      <c r="BV55" s="402">
        <v>9106100</v>
      </c>
      <c r="BW55" s="1669"/>
      <c r="BX55" s="402">
        <v>8697100</v>
      </c>
      <c r="BY55" s="1670"/>
      <c r="BZ55" s="1265">
        <f>IF(AND(BV55=0,BX55&lt;&gt;0),1,IF(AND(BV55=0,BX55=0),0,BX55/BV55-1))</f>
        <v>-4.4914947123356863E-2</v>
      </c>
    </row>
    <row r="56" spans="1:82" ht="16.5" customHeight="1">
      <c r="A56" s="1677"/>
      <c r="B56" s="1677"/>
      <c r="C56" s="1455">
        <v>33</v>
      </c>
      <c r="D56" s="1425" t="s">
        <v>1172</v>
      </c>
      <c r="E56" s="472" t="s">
        <v>206</v>
      </c>
      <c r="F56" s="485"/>
      <c r="G56" s="1719"/>
      <c r="H56" s="1695"/>
      <c r="I56" s="1715"/>
      <c r="J56" s="476">
        <f>AVERAGE(BV56,BP56,BJ56,BD56,AX56,AR56,AL56,AF56,Z56,T56)</f>
        <v>191495.12000000002</v>
      </c>
      <c r="K56" s="1727"/>
      <c r="L56" s="476">
        <f>AVERAGE(BX56,BR56,BL56,BF56,AZ56,AT56,AN56,AH56,AB56,V56)</f>
        <v>177428.05</v>
      </c>
      <c r="M56" s="1727"/>
      <c r="N56" s="1704"/>
      <c r="O56" s="1719"/>
      <c r="P56" s="1727"/>
      <c r="Q56" s="1727"/>
      <c r="R56" s="1727"/>
      <c r="S56" s="478"/>
      <c r="T56" s="402">
        <v>0</v>
      </c>
      <c r="U56" s="1669"/>
      <c r="V56" s="402">
        <v>0</v>
      </c>
      <c r="W56" s="1670"/>
      <c r="X56" s="22">
        <f>IF(AND(T56=0,V56&lt;&gt;0),1,IF(AND(T56=0,V56=0),0,V56/T56-1))</f>
        <v>0</v>
      </c>
      <c r="Y56" s="478"/>
      <c r="Z56" s="402">
        <v>314313.40000000002</v>
      </c>
      <c r="AA56" s="1712"/>
      <c r="AB56" s="402">
        <v>264700.5</v>
      </c>
      <c r="AC56" s="1670"/>
      <c r="AD56" s="22">
        <f>IF(AND(Z56=0,AB56&lt;&gt;0),1,IF(AND(Z56=0,AB56=0),0,AB56/Z56-1))</f>
        <v>-0.15784532253476946</v>
      </c>
      <c r="AE56" s="478"/>
      <c r="AF56" s="402">
        <v>622917.60000000009</v>
      </c>
      <c r="AG56" s="1669"/>
      <c r="AH56" s="402">
        <v>619131.6</v>
      </c>
      <c r="AI56" s="1670"/>
      <c r="AJ56" s="22">
        <f>IF(AND(AF56=0,AH56&lt;&gt;0),1,IF(AND(AF56=0,AH56=0),0,AH56/AF56-1))</f>
        <v>-6.0778504251607357E-3</v>
      </c>
      <c r="AK56" s="478"/>
      <c r="AL56" s="402">
        <v>11066.1</v>
      </c>
      <c r="AM56" s="1712"/>
      <c r="AN56" s="402">
        <v>11066.1</v>
      </c>
      <c r="AO56" s="1713"/>
      <c r="AP56" s="22">
        <f>IF(AND(AL56=0,AN56&lt;&gt;0),1,IF(AND(AL56=0,AN56=0),0,AN56/AL56-1))</f>
        <v>0</v>
      </c>
      <c r="AQ56" s="478"/>
      <c r="AR56" s="402">
        <v>238435.3</v>
      </c>
      <c r="AS56" s="1669"/>
      <c r="AT56" s="402">
        <v>227487.9</v>
      </c>
      <c r="AU56" s="1670"/>
      <c r="AV56" s="22">
        <f>IF(AND(AR56=0,AT56&lt;&gt;0),1,IF(AND(AR56=0,AT56=0),0,AT56/AR56-1))</f>
        <v>-4.5913503579377735E-2</v>
      </c>
      <c r="AW56" s="478"/>
      <c r="AX56" s="402">
        <v>223677.8</v>
      </c>
      <c r="AY56" s="1669"/>
      <c r="AZ56" s="402">
        <v>217848.19999999998</v>
      </c>
      <c r="BA56" s="1670"/>
      <c r="BB56" s="22">
        <f>IF(AND(AX56=0,AZ56&lt;&gt;0),1,IF(AND(AX56=0,AZ56=0),0,AZ56/AX56-1))</f>
        <v>-2.606248809671774E-2</v>
      </c>
      <c r="BC56" s="478"/>
      <c r="BD56" s="402">
        <v>1025.3</v>
      </c>
      <c r="BE56" s="1669"/>
      <c r="BF56" s="402">
        <v>1025.3</v>
      </c>
      <c r="BG56" s="1670"/>
      <c r="BH56" s="22">
        <f>IF(AND(BD56=0,BF56&lt;&gt;0),1,IF(AND(BD56=0,BF56=0),0,BF56/BD56-1))</f>
        <v>0</v>
      </c>
      <c r="BI56" s="478"/>
      <c r="BJ56" s="402">
        <v>211259.2</v>
      </c>
      <c r="BK56" s="1669"/>
      <c r="BL56" s="402">
        <v>208138.5</v>
      </c>
      <c r="BM56" s="1670"/>
      <c r="BN56" s="22">
        <f>IF(AND(BJ56=0,BL56&lt;&gt;0),1,IF(AND(BJ56=0,BL56=0),0,BL56/BJ56-1))</f>
        <v>-1.4771901058036829E-2</v>
      </c>
      <c r="BO56" s="478"/>
      <c r="BP56" s="402">
        <v>290238.5</v>
      </c>
      <c r="BQ56" s="1669"/>
      <c r="BR56" s="402">
        <v>222864.40000000002</v>
      </c>
      <c r="BS56" s="1670"/>
      <c r="BT56" s="22">
        <f>IF(AND(BP56=0,BR56&lt;&gt;0),1,IF(AND(BP56=0,BR56=0),0,BR56/BP56-1))</f>
        <v>-0.23213357290642</v>
      </c>
      <c r="BU56" s="478"/>
      <c r="BV56" s="402">
        <v>2018</v>
      </c>
      <c r="BW56" s="1669"/>
      <c r="BX56" s="402">
        <v>2018</v>
      </c>
      <c r="BY56" s="1670"/>
      <c r="BZ56" s="1290">
        <f>IF(AND(BV56=0,BX56&lt;&gt;0),1,IF(AND(BV56=0,BX56=0),0,BX56/BV56-1))</f>
        <v>0</v>
      </c>
    </row>
    <row r="57" spans="1:82" s="504" customFormat="1" ht="16.149999999999999" customHeight="1">
      <c r="A57" s="471"/>
      <c r="B57" s="471"/>
      <c r="C57" s="1455"/>
      <c r="D57" s="434" t="s">
        <v>1513</v>
      </c>
      <c r="E57" s="492"/>
      <c r="F57" s="497"/>
      <c r="G57" s="498"/>
      <c r="H57" s="497"/>
      <c r="I57" s="499">
        <v>90</v>
      </c>
      <c r="J57" s="500"/>
      <c r="K57" s="677"/>
      <c r="L57" s="476"/>
      <c r="M57" s="428">
        <f>SUM(M4:M56)</f>
        <v>78.8</v>
      </c>
      <c r="N57" s="501">
        <f>SUM(N4:N56)</f>
        <v>0</v>
      </c>
      <c r="O57" s="502">
        <f>SUM(O4:O56)</f>
        <v>11.200000000000001</v>
      </c>
      <c r="P57" s="503">
        <f>O57*0.4</f>
        <v>4.4800000000000004</v>
      </c>
      <c r="Q57" s="503">
        <f t="shared" si="14"/>
        <v>0.49777777777777782</v>
      </c>
      <c r="R57" s="503">
        <f t="shared" si="15"/>
        <v>0.24888888888888891</v>
      </c>
      <c r="S57" s="478"/>
      <c r="T57" s="471"/>
      <c r="U57" s="424">
        <f>SUM(U4:U56)</f>
        <v>88</v>
      </c>
      <c r="V57" s="471"/>
      <c r="W57" s="1333">
        <f>SUM(W4:W56)</f>
        <v>88</v>
      </c>
      <c r="X57" s="1270"/>
      <c r="Y57" s="478"/>
      <c r="Z57" s="471"/>
      <c r="AA57" s="424">
        <f>SUM(AA4:AA56)</f>
        <v>90</v>
      </c>
      <c r="AB57" s="471"/>
      <c r="AC57" s="1333">
        <f>SUM(AC4:AC56)</f>
        <v>90</v>
      </c>
      <c r="AD57" s="1270"/>
      <c r="AE57" s="478"/>
      <c r="AF57" s="471"/>
      <c r="AG57" s="424">
        <f>SUM(AG4:AG56)</f>
        <v>88</v>
      </c>
      <c r="AH57" s="471"/>
      <c r="AI57" s="1333">
        <f>SUM(AI4:AI56)</f>
        <v>88</v>
      </c>
      <c r="AJ57" s="1270"/>
      <c r="AK57" s="478"/>
      <c r="AL57" s="471"/>
      <c r="AM57" s="424">
        <f>SUM(AM4:AM56)</f>
        <v>77</v>
      </c>
      <c r="AN57" s="471"/>
      <c r="AO57" s="1333">
        <f>SUM(AO4:AO56)</f>
        <v>77</v>
      </c>
      <c r="AP57" s="1270"/>
      <c r="AQ57" s="478"/>
      <c r="AR57" s="471"/>
      <c r="AS57" s="424">
        <f>SUM(AS4:AS56)</f>
        <v>89</v>
      </c>
      <c r="AT57" s="471"/>
      <c r="AU57" s="1333">
        <f>SUM(AU4:AU56)</f>
        <v>89</v>
      </c>
      <c r="AV57" s="1270"/>
      <c r="AW57" s="478"/>
      <c r="AX57" s="471"/>
      <c r="AY57" s="424">
        <f>SUM(AY4:AY56)</f>
        <v>88</v>
      </c>
      <c r="AZ57" s="471"/>
      <c r="BA57" s="1333">
        <f>SUM(BA4:BA56)</f>
        <v>88</v>
      </c>
      <c r="BB57" s="1270"/>
      <c r="BC57" s="478"/>
      <c r="BD57" s="471"/>
      <c r="BE57" s="424">
        <f>SUM(BE4:BE56)</f>
        <v>90</v>
      </c>
      <c r="BF57" s="471"/>
      <c r="BG57" s="1333">
        <f>SUM(BG4:BG56)</f>
        <v>90</v>
      </c>
      <c r="BH57" s="1270"/>
      <c r="BI57" s="478"/>
      <c r="BJ57" s="471"/>
      <c r="BK57" s="424">
        <f>SUM(BK4:BK56)</f>
        <v>88</v>
      </c>
      <c r="BL57" s="471"/>
      <c r="BM57" s="424">
        <f>SUM(BM4:BM56)</f>
        <v>88</v>
      </c>
      <c r="BN57" s="1270"/>
      <c r="BO57" s="478"/>
      <c r="BP57" s="471"/>
      <c r="BQ57" s="424">
        <f>SUM(BQ4:BQ56)</f>
        <v>90</v>
      </c>
      <c r="BR57" s="471"/>
      <c r="BS57" s="424">
        <f>SUM(BS4:BS56)</f>
        <v>90</v>
      </c>
      <c r="BT57" s="1270"/>
      <c r="BU57" s="478"/>
      <c r="BV57" s="471"/>
      <c r="BW57" s="424">
        <f>SUM(BW4:BW56)</f>
        <v>90</v>
      </c>
      <c r="BX57" s="471"/>
      <c r="BY57" s="424">
        <f>SUM(BY4:BY56)</f>
        <v>90</v>
      </c>
      <c r="BZ57" s="1270"/>
    </row>
    <row r="58" spans="1:82" s="504" customFormat="1" ht="14.25">
      <c r="A58" s="505"/>
      <c r="B58" s="505"/>
      <c r="C58" s="506"/>
      <c r="D58" s="434" t="s">
        <v>1514</v>
      </c>
      <c r="E58" s="505"/>
      <c r="F58" s="505"/>
      <c r="G58" s="507"/>
      <c r="H58" s="505"/>
      <c r="I58" s="499">
        <v>80</v>
      </c>
      <c r="J58" s="508"/>
      <c r="K58" s="508"/>
      <c r="L58" s="508"/>
      <c r="M58" s="1419">
        <f>M4+M5+M9+M12+M15+M16+M17+M20+M22+M23+M28+M32+M35+M37+M38+M40+M43+M46+M48+M49+M50+M52</f>
        <v>78.8</v>
      </c>
      <c r="N58" s="508"/>
      <c r="O58" s="502">
        <f>SUM(O4:O52)</f>
        <v>1.2000000000000004</v>
      </c>
      <c r="P58" s="503">
        <f>O58*0.4</f>
        <v>0.4800000000000002</v>
      </c>
      <c r="Q58" s="503">
        <f t="shared" si="14"/>
        <v>5.3333333333333358E-2</v>
      </c>
      <c r="R58" s="503">
        <f t="shared" si="15"/>
        <v>2.6666666666666679E-2</v>
      </c>
      <c r="S58" s="509" t="s">
        <v>1515</v>
      </c>
      <c r="T58" s="505"/>
      <c r="U58" s="507"/>
      <c r="V58" s="505"/>
      <c r="W58" s="1342"/>
      <c r="X58" s="1286"/>
      <c r="Y58" s="507"/>
      <c r="Z58" s="505"/>
      <c r="AA58" s="507"/>
      <c r="AB58" s="505"/>
      <c r="AC58" s="1342"/>
      <c r="AD58" s="1286"/>
      <c r="AE58" s="507"/>
      <c r="AF58" s="505"/>
      <c r="AG58" s="507"/>
      <c r="AH58" s="505"/>
      <c r="AI58" s="1342"/>
      <c r="AJ58" s="1286"/>
      <c r="AK58" s="507"/>
      <c r="AL58" s="505"/>
      <c r="AM58" s="507"/>
      <c r="AN58" s="505"/>
      <c r="AO58" s="1342"/>
      <c r="AP58" s="1286"/>
      <c r="AQ58" s="507"/>
      <c r="AR58" s="505"/>
      <c r="AS58" s="507"/>
      <c r="AT58" s="505"/>
      <c r="AU58" s="1342"/>
      <c r="AV58" s="1286"/>
      <c r="AW58" s="507"/>
      <c r="AX58" s="505"/>
      <c r="AY58" s="507"/>
      <c r="AZ58" s="505"/>
      <c r="BA58" s="1342"/>
      <c r="BB58" s="1286"/>
      <c r="BC58" s="507"/>
      <c r="BD58" s="505"/>
      <c r="BE58" s="507"/>
      <c r="BF58" s="505"/>
      <c r="BG58" s="1342"/>
      <c r="BH58" s="1286"/>
      <c r="BI58" s="507"/>
      <c r="BJ58" s="505"/>
      <c r="BK58" s="507"/>
      <c r="BL58" s="505"/>
      <c r="BM58" s="507"/>
      <c r="BN58" s="1286"/>
      <c r="BO58" s="507"/>
      <c r="BP58" s="505"/>
      <c r="BQ58" s="507"/>
      <c r="BR58" s="505"/>
      <c r="BS58" s="507"/>
      <c r="BT58" s="1286"/>
      <c r="BU58" s="507"/>
      <c r="BV58" s="505"/>
      <c r="BW58" s="507"/>
      <c r="BX58" s="505"/>
      <c r="BY58" s="507"/>
      <c r="BZ58" s="1286"/>
    </row>
    <row r="59" spans="1:82" s="518" customFormat="1" ht="16.5" customHeight="1">
      <c r="A59" s="510"/>
      <c r="B59" s="510"/>
      <c r="C59" s="511"/>
      <c r="D59" s="434" t="s">
        <v>1516</v>
      </c>
      <c r="E59" s="510"/>
      <c r="F59" s="510"/>
      <c r="G59" s="512"/>
      <c r="H59" s="510"/>
      <c r="I59" s="499">
        <v>10</v>
      </c>
      <c r="J59" s="513"/>
      <c r="K59" s="513"/>
      <c r="L59" s="513"/>
      <c r="M59" s="1420">
        <f>M53</f>
        <v>0</v>
      </c>
      <c r="N59" s="514"/>
      <c r="O59" s="502"/>
      <c r="P59" s="503"/>
      <c r="Q59" s="503"/>
      <c r="R59" s="515"/>
      <c r="S59" s="377"/>
      <c r="T59" s="516"/>
      <c r="U59" s="516"/>
      <c r="V59" s="517"/>
      <c r="W59" s="1343"/>
      <c r="X59" s="1287"/>
      <c r="Y59" s="516"/>
      <c r="Z59" s="516"/>
      <c r="AA59" s="516"/>
      <c r="AB59" s="517"/>
      <c r="AC59" s="1343"/>
      <c r="AD59" s="1287"/>
      <c r="AE59" s="516"/>
      <c r="AF59" s="516"/>
      <c r="AG59" s="516"/>
      <c r="AH59" s="517"/>
      <c r="AI59" s="1343"/>
      <c r="AJ59" s="1287"/>
      <c r="AK59" s="516"/>
      <c r="AL59" s="516"/>
      <c r="AM59" s="516"/>
      <c r="AN59" s="517"/>
      <c r="AO59" s="1343"/>
      <c r="AP59" s="1287"/>
      <c r="AQ59" s="516"/>
      <c r="AR59" s="516"/>
      <c r="AS59" s="516"/>
      <c r="AT59" s="517"/>
      <c r="AU59" s="1343"/>
      <c r="AV59" s="1287"/>
      <c r="AW59" s="516"/>
      <c r="AX59" s="516"/>
      <c r="AY59" s="516"/>
      <c r="AZ59" s="517"/>
      <c r="BA59" s="1343"/>
      <c r="BB59" s="1287"/>
      <c r="BC59" s="516"/>
      <c r="BD59" s="516"/>
      <c r="BE59" s="516"/>
      <c r="BF59" s="517"/>
      <c r="BG59" s="1343"/>
      <c r="BH59" s="1287"/>
      <c r="BI59" s="516"/>
      <c r="BJ59" s="516"/>
      <c r="BK59" s="516"/>
      <c r="BL59" s="517"/>
      <c r="BM59" s="516"/>
      <c r="BN59" s="1287"/>
      <c r="BO59" s="516"/>
      <c r="BP59" s="516"/>
      <c r="BQ59" s="516"/>
      <c r="BR59" s="517"/>
      <c r="BS59" s="516"/>
      <c r="BT59" s="1287"/>
      <c r="BU59" s="516"/>
      <c r="BV59" s="516"/>
      <c r="BW59" s="516"/>
      <c r="BX59" s="517"/>
      <c r="BY59" s="516"/>
      <c r="BZ59" s="1287"/>
    </row>
    <row r="60" spans="1:82" s="466" customFormat="1" ht="16.5" customHeight="1">
      <c r="A60" s="443"/>
      <c r="B60" s="443"/>
      <c r="C60" s="433"/>
      <c r="D60" s="444" t="s">
        <v>1544</v>
      </c>
      <c r="E60" s="443"/>
      <c r="F60" s="446"/>
      <c r="H60" s="446"/>
      <c r="I60" s="453"/>
      <c r="J60" s="640"/>
      <c r="K60" s="640"/>
      <c r="L60" s="640"/>
      <c r="M60" s="640"/>
      <c r="N60" s="453"/>
      <c r="O60" s="519">
        <f t="shared" ref="O60:O65" si="43">AVERAGE(W60,AC60,AI60,AO60,AU60,BA60,BG60,BM60,BS60,BY60)</f>
        <v>87.8</v>
      </c>
      <c r="P60" s="520"/>
      <c r="Q60" s="520"/>
      <c r="R60" s="520"/>
      <c r="S60" s="453"/>
      <c r="T60" s="417"/>
      <c r="U60" s="521">
        <f>SUBTOTAL(9,U4:U56)</f>
        <v>88</v>
      </c>
      <c r="V60" s="417"/>
      <c r="W60" s="1344">
        <f>SUBTOTAL(9,W4:W56)</f>
        <v>88</v>
      </c>
      <c r="X60" s="1288"/>
      <c r="Y60" s="417"/>
      <c r="Z60" s="417"/>
      <c r="AA60" s="521">
        <f>SUBTOTAL(9,AA4:AA56)</f>
        <v>90</v>
      </c>
      <c r="AB60" s="417"/>
      <c r="AC60" s="1344">
        <f>SUBTOTAL(9,AC4:AC56)</f>
        <v>90</v>
      </c>
      <c r="AD60" s="1288"/>
      <c r="AE60" s="417"/>
      <c r="AF60" s="417"/>
      <c r="AG60" s="521">
        <f>SUBTOTAL(9,AG4:AG56)</f>
        <v>88</v>
      </c>
      <c r="AH60" s="417"/>
      <c r="AI60" s="1344">
        <f>SUBTOTAL(9,AI4:AI56)</f>
        <v>88</v>
      </c>
      <c r="AJ60" s="1288"/>
      <c r="AK60" s="417"/>
      <c r="AL60" s="417"/>
      <c r="AM60" s="521">
        <f>SUBTOTAL(9,AM4:AM56)</f>
        <v>77</v>
      </c>
      <c r="AN60" s="417"/>
      <c r="AO60" s="1344">
        <f>SUBTOTAL(9,AO4:AO56)</f>
        <v>77</v>
      </c>
      <c r="AP60" s="1288"/>
      <c r="AQ60" s="417"/>
      <c r="AR60" s="417"/>
      <c r="AS60" s="521">
        <f>SUBTOTAL(9,AS4:AS56)</f>
        <v>89</v>
      </c>
      <c r="AT60" s="417"/>
      <c r="AU60" s="1344">
        <f>SUBTOTAL(9,AU4:AU56)</f>
        <v>89</v>
      </c>
      <c r="AV60" s="1288"/>
      <c r="AW60" s="417"/>
      <c r="AX60" s="417"/>
      <c r="AY60" s="521">
        <f>SUBTOTAL(9,AY4:AY56)</f>
        <v>88</v>
      </c>
      <c r="AZ60" s="417"/>
      <c r="BA60" s="1344">
        <f>SUBTOTAL(9,BA4:BA56)</f>
        <v>88</v>
      </c>
      <c r="BB60" s="1288"/>
      <c r="BC60" s="417"/>
      <c r="BD60" s="417"/>
      <c r="BE60" s="521">
        <f>SUBTOTAL(9,BE4:BE56)</f>
        <v>90</v>
      </c>
      <c r="BF60" s="417"/>
      <c r="BG60" s="1344">
        <f>SUBTOTAL(9,BG4:BG56)</f>
        <v>90</v>
      </c>
      <c r="BH60" s="1288"/>
      <c r="BI60" s="417"/>
      <c r="BJ60" s="417"/>
      <c r="BK60" s="521">
        <f>SUBTOTAL(9,BK4:BK56)</f>
        <v>88</v>
      </c>
      <c r="BL60" s="417"/>
      <c r="BM60" s="521">
        <f>SUBTOTAL(9,BM4:BM56)</f>
        <v>88</v>
      </c>
      <c r="BN60" s="1288"/>
      <c r="BO60" s="417"/>
      <c r="BP60" s="417"/>
      <c r="BQ60" s="521">
        <f>SUBTOTAL(9,BQ4:BQ56)</f>
        <v>90</v>
      </c>
      <c r="BR60" s="417"/>
      <c r="BS60" s="521">
        <f>SUBTOTAL(9,BS4:BS56)</f>
        <v>90</v>
      </c>
      <c r="BT60" s="1288"/>
      <c r="BU60" s="417"/>
      <c r="BV60" s="417"/>
      <c r="BW60" s="521">
        <f>SUBTOTAL(9,BW4:BW56)</f>
        <v>90</v>
      </c>
      <c r="BX60" s="417"/>
      <c r="BY60" s="521">
        <f>SUBTOTAL(9,BY4:BY56)</f>
        <v>90</v>
      </c>
      <c r="BZ60" s="1288"/>
    </row>
    <row r="61" spans="1:82" s="466" customFormat="1" ht="16.5" customHeight="1">
      <c r="A61" s="453"/>
      <c r="B61" s="453"/>
      <c r="C61" s="433"/>
      <c r="D61" s="522" t="s">
        <v>1540</v>
      </c>
      <c r="E61" s="453"/>
      <c r="F61" s="376"/>
      <c r="H61" s="376"/>
      <c r="I61" s="453"/>
      <c r="J61" s="640"/>
      <c r="K61" s="640"/>
      <c r="L61" s="640"/>
      <c r="M61" s="640"/>
      <c r="N61" s="453"/>
      <c r="O61" s="519">
        <f t="shared" si="43"/>
        <v>78.8</v>
      </c>
      <c r="P61" s="520"/>
      <c r="Q61" s="520"/>
      <c r="R61" s="520"/>
      <c r="S61" s="453"/>
      <c r="T61" s="417"/>
      <c r="U61" s="477">
        <f>U60-U62</f>
        <v>78</v>
      </c>
      <c r="V61" s="417"/>
      <c r="W61" s="1345">
        <f>W60-W62</f>
        <v>78</v>
      </c>
      <c r="X61" s="1288"/>
      <c r="Y61" s="417"/>
      <c r="Z61" s="417"/>
      <c r="AA61" s="477">
        <f>AA60-AA62</f>
        <v>80</v>
      </c>
      <c r="AB61" s="417"/>
      <c r="AC61" s="1345">
        <f>AC60-AC62</f>
        <v>80</v>
      </c>
      <c r="AD61" s="1288"/>
      <c r="AE61" s="417"/>
      <c r="AF61" s="417"/>
      <c r="AG61" s="477">
        <f>AG60-AG62</f>
        <v>78</v>
      </c>
      <c r="AH61" s="417"/>
      <c r="AI61" s="1345">
        <f>AI60-AI62</f>
        <v>78</v>
      </c>
      <c r="AJ61" s="1288"/>
      <c r="AK61" s="417"/>
      <c r="AL61" s="417"/>
      <c r="AM61" s="477">
        <f>AM60-AM62</f>
        <v>77</v>
      </c>
      <c r="AN61" s="417"/>
      <c r="AO61" s="1345">
        <f>AO60-AO62</f>
        <v>77</v>
      </c>
      <c r="AP61" s="1288"/>
      <c r="AQ61" s="417"/>
      <c r="AR61" s="417"/>
      <c r="AS61" s="477">
        <f>AS60-AS62</f>
        <v>79</v>
      </c>
      <c r="AT61" s="417"/>
      <c r="AU61" s="1345">
        <f>AU60-AU62</f>
        <v>79</v>
      </c>
      <c r="AV61" s="1288"/>
      <c r="AW61" s="417"/>
      <c r="AX61" s="417"/>
      <c r="AY61" s="477">
        <f>AY60-AY62</f>
        <v>78</v>
      </c>
      <c r="AZ61" s="417"/>
      <c r="BA61" s="1345">
        <f>BA60-BA62</f>
        <v>78</v>
      </c>
      <c r="BB61" s="1288"/>
      <c r="BC61" s="417"/>
      <c r="BD61" s="417"/>
      <c r="BE61" s="477">
        <f>BE60-BE62</f>
        <v>80</v>
      </c>
      <c r="BF61" s="417"/>
      <c r="BG61" s="1345">
        <f>BG60-BG62</f>
        <v>80</v>
      </c>
      <c r="BH61" s="1288"/>
      <c r="BI61" s="417"/>
      <c r="BJ61" s="417"/>
      <c r="BK61" s="477">
        <f>BK60-BK62</f>
        <v>78</v>
      </c>
      <c r="BL61" s="417"/>
      <c r="BM61" s="477">
        <f>BM60-BM62</f>
        <v>78</v>
      </c>
      <c r="BN61" s="1288"/>
      <c r="BO61" s="417"/>
      <c r="BP61" s="417"/>
      <c r="BQ61" s="477">
        <f>BQ60-BQ62</f>
        <v>80</v>
      </c>
      <c r="BR61" s="417"/>
      <c r="BS61" s="477">
        <f>BS60-BS62</f>
        <v>80</v>
      </c>
      <c r="BT61" s="1288"/>
      <c r="BU61" s="417"/>
      <c r="BV61" s="417"/>
      <c r="BW61" s="477">
        <f>BW60-BW62</f>
        <v>80</v>
      </c>
      <c r="BX61" s="417"/>
      <c r="BY61" s="477">
        <f>BY60-BY62</f>
        <v>80</v>
      </c>
      <c r="BZ61" s="1288"/>
    </row>
    <row r="62" spans="1:82" s="466" customFormat="1" ht="16.5" customHeight="1">
      <c r="A62" s="453"/>
      <c r="B62" s="453"/>
      <c r="C62" s="433"/>
      <c r="D62" s="522" t="s">
        <v>1548</v>
      </c>
      <c r="E62" s="453"/>
      <c r="F62" s="376"/>
      <c r="H62" s="376"/>
      <c r="I62" s="453"/>
      <c r="J62" s="640"/>
      <c r="K62" s="640"/>
      <c r="L62" s="640"/>
      <c r="M62" s="640"/>
      <c r="N62" s="453"/>
      <c r="O62" s="523">
        <f t="shared" si="43"/>
        <v>9</v>
      </c>
      <c r="P62" s="503">
        <f>O62*0.4</f>
        <v>3.6</v>
      </c>
      <c r="Q62" s="503">
        <f>P62/9</f>
        <v>0.4</v>
      </c>
      <c r="R62" s="503">
        <f>Q62/2</f>
        <v>0.2</v>
      </c>
      <c r="S62" s="453"/>
      <c r="T62" s="417"/>
      <c r="U62" s="477">
        <f>IF(U53=10,10,0)</f>
        <v>10</v>
      </c>
      <c r="V62" s="417"/>
      <c r="W62" s="1345">
        <f>IF(W53=10,10,0)</f>
        <v>10</v>
      </c>
      <c r="X62" s="1288"/>
      <c r="Y62" s="417"/>
      <c r="Z62" s="417"/>
      <c r="AA62" s="477">
        <f>IF(AA53=10,10,0)</f>
        <v>10</v>
      </c>
      <c r="AB62" s="417"/>
      <c r="AC62" s="1345">
        <f>IF(AC53=10,10,0)</f>
        <v>10</v>
      </c>
      <c r="AD62" s="1288"/>
      <c r="AE62" s="417"/>
      <c r="AF62" s="417"/>
      <c r="AG62" s="477">
        <f>IF(AG53=10,10,0)</f>
        <v>10</v>
      </c>
      <c r="AH62" s="417"/>
      <c r="AI62" s="1345">
        <f>IF(AI53=10,10,0)</f>
        <v>10</v>
      </c>
      <c r="AJ62" s="1288"/>
      <c r="AK62" s="417"/>
      <c r="AL62" s="417"/>
      <c r="AM62" s="477">
        <f>IF(AM53=10,10,0)</f>
        <v>0</v>
      </c>
      <c r="AN62" s="417"/>
      <c r="AO62" s="1345">
        <f>IF(AO53=10,10,0)</f>
        <v>0</v>
      </c>
      <c r="AP62" s="1288"/>
      <c r="AQ62" s="417"/>
      <c r="AR62" s="417"/>
      <c r="AS62" s="477">
        <f>IF(AS53=10,10,0)</f>
        <v>10</v>
      </c>
      <c r="AT62" s="417"/>
      <c r="AU62" s="1345">
        <f>IF(AU53=10,10,0)</f>
        <v>10</v>
      </c>
      <c r="AV62" s="1288"/>
      <c r="AW62" s="417"/>
      <c r="AX62" s="417"/>
      <c r="AY62" s="477">
        <f>IF(AY53=10,10,0)</f>
        <v>10</v>
      </c>
      <c r="AZ62" s="417"/>
      <c r="BA62" s="1345">
        <f>IF(BA53=10,10,0)</f>
        <v>10</v>
      </c>
      <c r="BB62" s="1288"/>
      <c r="BC62" s="417"/>
      <c r="BD62" s="417"/>
      <c r="BE62" s="477">
        <f>IF(BE53=10,10,0)</f>
        <v>10</v>
      </c>
      <c r="BF62" s="417"/>
      <c r="BG62" s="1345">
        <f>IF(BG53=10,10,0)</f>
        <v>10</v>
      </c>
      <c r="BH62" s="1288"/>
      <c r="BI62" s="417"/>
      <c r="BJ62" s="417"/>
      <c r="BK62" s="477">
        <f>IF(BK53=10,10,0)</f>
        <v>10</v>
      </c>
      <c r="BL62" s="417"/>
      <c r="BM62" s="477">
        <f>IF(BM53=10,10,0)</f>
        <v>10</v>
      </c>
      <c r="BN62" s="1288"/>
      <c r="BO62" s="417"/>
      <c r="BP62" s="417"/>
      <c r="BQ62" s="477">
        <f>IF(BQ53=10,10,0)</f>
        <v>10</v>
      </c>
      <c r="BR62" s="417"/>
      <c r="BS62" s="477">
        <f>IF(BS53=10,10,0)</f>
        <v>10</v>
      </c>
      <c r="BT62" s="1288"/>
      <c r="BU62" s="417"/>
      <c r="BV62" s="417"/>
      <c r="BW62" s="477">
        <f>IF(BW53=10,10,0)</f>
        <v>10</v>
      </c>
      <c r="BX62" s="417"/>
      <c r="BY62" s="477">
        <f>IF(BY53=10,10,0)</f>
        <v>10</v>
      </c>
      <c r="BZ62" s="1288"/>
    </row>
    <row r="63" spans="1:82" s="466" customFormat="1" ht="16.5" customHeight="1">
      <c r="A63" s="453"/>
      <c r="B63" s="453"/>
      <c r="C63" s="433"/>
      <c r="D63" s="522" t="s">
        <v>1545</v>
      </c>
      <c r="E63" s="453"/>
      <c r="F63" s="376"/>
      <c r="H63" s="376"/>
      <c r="I63" s="453"/>
      <c r="J63" s="640"/>
      <c r="K63" s="640"/>
      <c r="L63" s="640"/>
      <c r="M63" s="640"/>
      <c r="N63" s="453"/>
      <c r="O63" s="523">
        <f t="shared" si="43"/>
        <v>1</v>
      </c>
      <c r="P63" s="503">
        <f>O63*0.4</f>
        <v>0.4</v>
      </c>
      <c r="Q63" s="503">
        <f>P63/9</f>
        <v>4.4444444444444446E-2</v>
      </c>
      <c r="R63" s="503">
        <f>Q63/2</f>
        <v>2.2222222222222223E-2</v>
      </c>
      <c r="S63" s="453"/>
      <c r="T63" s="417"/>
      <c r="U63" s="490">
        <f>10-U62</f>
        <v>0</v>
      </c>
      <c r="V63" s="417"/>
      <c r="W63" s="1346">
        <f>10-W62</f>
        <v>0</v>
      </c>
      <c r="X63" s="1288"/>
      <c r="Y63" s="417"/>
      <c r="Z63" s="417"/>
      <c r="AA63" s="490">
        <f>10-AA62</f>
        <v>0</v>
      </c>
      <c r="AB63" s="417"/>
      <c r="AC63" s="1346">
        <f>10-AC62</f>
        <v>0</v>
      </c>
      <c r="AD63" s="1288"/>
      <c r="AE63" s="417"/>
      <c r="AF63" s="417"/>
      <c r="AG63" s="490">
        <f>10-AG62</f>
        <v>0</v>
      </c>
      <c r="AH63" s="417"/>
      <c r="AI63" s="1346">
        <f>10-AI62</f>
        <v>0</v>
      </c>
      <c r="AJ63" s="1288"/>
      <c r="AK63" s="417"/>
      <c r="AL63" s="417"/>
      <c r="AM63" s="490">
        <f>10-AM62</f>
        <v>10</v>
      </c>
      <c r="AN63" s="417"/>
      <c r="AO63" s="1346">
        <f>10-AO62</f>
        <v>10</v>
      </c>
      <c r="AP63" s="1288"/>
      <c r="AQ63" s="417"/>
      <c r="AR63" s="417"/>
      <c r="AS63" s="490">
        <f>10-AS62</f>
        <v>0</v>
      </c>
      <c r="AT63" s="417"/>
      <c r="AU63" s="1346">
        <f>10-AU62</f>
        <v>0</v>
      </c>
      <c r="AV63" s="1288"/>
      <c r="AW63" s="417"/>
      <c r="AX63" s="417"/>
      <c r="AY63" s="490">
        <f>10-AY62</f>
        <v>0</v>
      </c>
      <c r="AZ63" s="417"/>
      <c r="BA63" s="1346">
        <f>10-BA62</f>
        <v>0</v>
      </c>
      <c r="BB63" s="1288"/>
      <c r="BC63" s="417"/>
      <c r="BD63" s="417"/>
      <c r="BE63" s="490">
        <f>10-BE62</f>
        <v>0</v>
      </c>
      <c r="BF63" s="417"/>
      <c r="BG63" s="1346">
        <f>10-BG62</f>
        <v>0</v>
      </c>
      <c r="BH63" s="1288"/>
      <c r="BI63" s="417"/>
      <c r="BJ63" s="417"/>
      <c r="BK63" s="490">
        <f>10-BK62</f>
        <v>0</v>
      </c>
      <c r="BL63" s="417"/>
      <c r="BM63" s="490">
        <f>10-BM62</f>
        <v>0</v>
      </c>
      <c r="BN63" s="1288"/>
      <c r="BO63" s="417"/>
      <c r="BP63" s="417"/>
      <c r="BQ63" s="490">
        <f>10-BQ62</f>
        <v>0</v>
      </c>
      <c r="BR63" s="417"/>
      <c r="BS63" s="490">
        <f>10-BS62</f>
        <v>0</v>
      </c>
      <c r="BT63" s="1288"/>
      <c r="BU63" s="417"/>
      <c r="BV63" s="417"/>
      <c r="BW63" s="490">
        <f>10-BW62</f>
        <v>0</v>
      </c>
      <c r="BX63" s="417"/>
      <c r="BY63" s="490">
        <f>10-BY62</f>
        <v>0</v>
      </c>
      <c r="BZ63" s="1288"/>
    </row>
    <row r="64" spans="1:82" s="466" customFormat="1" ht="16.5" customHeight="1">
      <c r="A64" s="453"/>
      <c r="B64" s="453"/>
      <c r="C64" s="433"/>
      <c r="D64" s="522" t="s">
        <v>1546</v>
      </c>
      <c r="E64" s="453"/>
      <c r="F64" s="376"/>
      <c r="H64" s="376"/>
      <c r="I64" s="399">
        <v>10</v>
      </c>
      <c r="J64" s="640"/>
      <c r="K64" s="640"/>
      <c r="L64" s="640"/>
      <c r="M64" s="640"/>
      <c r="N64" s="453"/>
      <c r="O64" s="523">
        <f t="shared" si="43"/>
        <v>10</v>
      </c>
      <c r="P64" s="503">
        <f>O64*0.4</f>
        <v>4</v>
      </c>
      <c r="Q64" s="503">
        <f>P64*0.4</f>
        <v>1.6</v>
      </c>
      <c r="R64" s="503">
        <f>Q64*0.4</f>
        <v>0.64000000000000012</v>
      </c>
      <c r="S64" s="453"/>
      <c r="T64" s="417"/>
      <c r="U64" s="490">
        <v>10</v>
      </c>
      <c r="V64" s="417"/>
      <c r="W64" s="1346">
        <v>10</v>
      </c>
      <c r="X64" s="1288"/>
      <c r="Y64" s="417"/>
      <c r="Z64" s="417"/>
      <c r="AA64" s="490">
        <v>10</v>
      </c>
      <c r="AB64" s="417"/>
      <c r="AC64" s="1346">
        <v>10</v>
      </c>
      <c r="AD64" s="1288"/>
      <c r="AE64" s="417"/>
      <c r="AF64" s="417"/>
      <c r="AG64" s="490">
        <v>10</v>
      </c>
      <c r="AH64" s="417"/>
      <c r="AI64" s="1346">
        <v>10</v>
      </c>
      <c r="AJ64" s="1288"/>
      <c r="AK64" s="417"/>
      <c r="AL64" s="417"/>
      <c r="AM64" s="490">
        <v>10</v>
      </c>
      <c r="AN64" s="417"/>
      <c r="AO64" s="1346">
        <v>10</v>
      </c>
      <c r="AP64" s="1288"/>
      <c r="AQ64" s="417"/>
      <c r="AR64" s="417"/>
      <c r="AS64" s="490">
        <v>10</v>
      </c>
      <c r="AT64" s="417"/>
      <c r="AU64" s="1346">
        <v>10</v>
      </c>
      <c r="AV64" s="1288"/>
      <c r="AW64" s="417"/>
      <c r="AX64" s="417"/>
      <c r="AY64" s="490">
        <v>10</v>
      </c>
      <c r="AZ64" s="417"/>
      <c r="BA64" s="1346">
        <v>10</v>
      </c>
      <c r="BB64" s="1288"/>
      <c r="BC64" s="417"/>
      <c r="BD64" s="417"/>
      <c r="BE64" s="490">
        <v>10</v>
      </c>
      <c r="BF64" s="417"/>
      <c r="BG64" s="1346">
        <v>10</v>
      </c>
      <c r="BH64" s="1288"/>
      <c r="BI64" s="417"/>
      <c r="BJ64" s="417"/>
      <c r="BK64" s="490">
        <v>10</v>
      </c>
      <c r="BL64" s="417"/>
      <c r="BM64" s="490">
        <v>10</v>
      </c>
      <c r="BN64" s="1288"/>
      <c r="BO64" s="417"/>
      <c r="BP64" s="417"/>
      <c r="BQ64" s="490">
        <v>10</v>
      </c>
      <c r="BR64" s="417"/>
      <c r="BS64" s="490">
        <v>10</v>
      </c>
      <c r="BT64" s="1288"/>
      <c r="BU64" s="417"/>
      <c r="BV64" s="417"/>
      <c r="BW64" s="490">
        <v>10</v>
      </c>
      <c r="BX64" s="417"/>
      <c r="BY64" s="490">
        <v>10</v>
      </c>
      <c r="BZ64" s="1288"/>
    </row>
    <row r="65" spans="1:80" s="466" customFormat="1" ht="16.5" customHeight="1">
      <c r="A65" s="453"/>
      <c r="B65" s="453"/>
      <c r="C65" s="433"/>
      <c r="D65" s="522" t="s">
        <v>1547</v>
      </c>
      <c r="E65" s="453"/>
      <c r="F65" s="376"/>
      <c r="H65" s="376"/>
      <c r="I65" s="453"/>
      <c r="J65" s="640"/>
      <c r="K65" s="640"/>
      <c r="L65" s="640"/>
      <c r="M65" s="640"/>
      <c r="N65" s="453"/>
      <c r="O65" s="523">
        <f t="shared" si="43"/>
        <v>1.2</v>
      </c>
      <c r="P65" s="520"/>
      <c r="Q65" s="520"/>
      <c r="R65" s="520"/>
      <c r="S65" s="453"/>
      <c r="T65" s="417"/>
      <c r="U65" s="477">
        <f>100-SUM(U61:U64)</f>
        <v>2</v>
      </c>
      <c r="V65" s="417"/>
      <c r="W65" s="1345">
        <f>100-SUM(W61:W64)</f>
        <v>2</v>
      </c>
      <c r="X65" s="1288"/>
      <c r="Y65" s="417"/>
      <c r="Z65" s="417"/>
      <c r="AA65" s="477">
        <f>100-SUM(AA61:AA64)</f>
        <v>0</v>
      </c>
      <c r="AB65" s="417"/>
      <c r="AC65" s="1345">
        <f>100-SUM(AC61:AC64)</f>
        <v>0</v>
      </c>
      <c r="AD65" s="1288"/>
      <c r="AE65" s="417"/>
      <c r="AF65" s="417"/>
      <c r="AG65" s="477">
        <f>100-SUM(AG61:AG64)</f>
        <v>2</v>
      </c>
      <c r="AH65" s="417"/>
      <c r="AI65" s="1345">
        <f>100-SUM(AI61:AI64)</f>
        <v>2</v>
      </c>
      <c r="AJ65" s="1288"/>
      <c r="AK65" s="417"/>
      <c r="AL65" s="417"/>
      <c r="AM65" s="477">
        <f>100-SUM(AM61:AM64)</f>
        <v>3</v>
      </c>
      <c r="AN65" s="417"/>
      <c r="AO65" s="1345">
        <f>100-SUM(AO61:AO64)</f>
        <v>3</v>
      </c>
      <c r="AP65" s="1288"/>
      <c r="AQ65" s="417"/>
      <c r="AR65" s="417"/>
      <c r="AS65" s="477">
        <f>100-SUM(AS61:AS64)</f>
        <v>1</v>
      </c>
      <c r="AT65" s="417"/>
      <c r="AU65" s="1345">
        <f>100-SUM(AU61:AU64)</f>
        <v>1</v>
      </c>
      <c r="AV65" s="1288"/>
      <c r="AW65" s="417"/>
      <c r="AX65" s="417"/>
      <c r="AY65" s="477">
        <f>100-SUM(AY61:AY64)</f>
        <v>2</v>
      </c>
      <c r="AZ65" s="417"/>
      <c r="BA65" s="1345">
        <f>100-SUM(BA61:BA64)</f>
        <v>2</v>
      </c>
      <c r="BB65" s="1288"/>
      <c r="BC65" s="417"/>
      <c r="BD65" s="417"/>
      <c r="BE65" s="477">
        <f>100-SUM(BE61:BE64)</f>
        <v>0</v>
      </c>
      <c r="BF65" s="417"/>
      <c r="BG65" s="1345">
        <f>100-SUM(BG61:BG64)</f>
        <v>0</v>
      </c>
      <c r="BH65" s="1288"/>
      <c r="BI65" s="417"/>
      <c r="BJ65" s="417"/>
      <c r="BK65" s="477">
        <f>100-SUM(BK61:BK64)</f>
        <v>2</v>
      </c>
      <c r="BL65" s="417"/>
      <c r="BM65" s="477">
        <f>100-SUM(BM61:BM64)</f>
        <v>2</v>
      </c>
      <c r="BN65" s="1288"/>
      <c r="BO65" s="417"/>
      <c r="BP65" s="417"/>
      <c r="BQ65" s="477">
        <f>100-SUM(BQ61:BQ64)</f>
        <v>0</v>
      </c>
      <c r="BR65" s="417"/>
      <c r="BS65" s="477">
        <f>100-SUM(BS61:BS64)</f>
        <v>0</v>
      </c>
      <c r="BT65" s="1288"/>
      <c r="BU65" s="417"/>
      <c r="BV65" s="417"/>
      <c r="BW65" s="477">
        <f>100-SUM(BW61:BW64)</f>
        <v>0</v>
      </c>
      <c r="BX65" s="417"/>
      <c r="BY65" s="477">
        <f>100-SUM(BY61:BY64)</f>
        <v>0</v>
      </c>
      <c r="BZ65" s="1288"/>
    </row>
    <row r="66" spans="1:80" ht="14.25">
      <c r="O66" s="465"/>
      <c r="P66" s="465"/>
      <c r="Q66" s="465"/>
      <c r="R66" s="465"/>
      <c r="S66" s="465"/>
      <c r="T66" s="466"/>
      <c r="U66" s="466"/>
      <c r="V66" s="466"/>
      <c r="W66" s="1347"/>
      <c r="X66" s="1289"/>
      <c r="Y66" s="466"/>
      <c r="Z66" s="465"/>
      <c r="AA66" s="465"/>
      <c r="AB66" s="465"/>
      <c r="AC66" s="1339"/>
      <c r="AD66" s="1285"/>
      <c r="AE66" s="465"/>
      <c r="AF66" s="466"/>
      <c r="AG66" s="466"/>
      <c r="AH66" s="466"/>
      <c r="AI66" s="1347"/>
      <c r="AJ66" s="1289"/>
      <c r="AK66" s="466"/>
      <c r="AL66" s="465"/>
      <c r="AM66" s="465"/>
      <c r="AN66" s="465"/>
      <c r="AO66" s="1339"/>
      <c r="AP66" s="1285"/>
      <c r="AQ66" s="465"/>
      <c r="AR66" s="466"/>
      <c r="AS66" s="466"/>
      <c r="AT66" s="466"/>
      <c r="AU66" s="1347"/>
      <c r="AV66" s="1289"/>
      <c r="AW66" s="466"/>
      <c r="AX66" s="465"/>
      <c r="AY66" s="465"/>
      <c r="AZ66" s="465"/>
      <c r="BA66" s="1339"/>
      <c r="BB66" s="1285"/>
      <c r="BC66" s="465"/>
      <c r="BD66" s="466"/>
      <c r="BE66" s="466"/>
      <c r="BF66" s="466"/>
      <c r="BG66" s="1347"/>
      <c r="BH66" s="1289"/>
      <c r="BI66" s="466"/>
      <c r="BJ66" s="465"/>
      <c r="BK66" s="465"/>
      <c r="BL66" s="465"/>
      <c r="BM66" s="465"/>
      <c r="BN66" s="1285"/>
      <c r="BO66" s="465"/>
      <c r="BP66" s="466"/>
      <c r="BQ66" s="466"/>
      <c r="BR66" s="466"/>
      <c r="BS66" s="466"/>
      <c r="BT66" s="1289"/>
      <c r="BU66" s="466"/>
      <c r="BV66" s="465"/>
      <c r="BW66" s="465"/>
    </row>
    <row r="67" spans="1:80" ht="14.25">
      <c r="O67" s="465"/>
      <c r="P67" s="465"/>
      <c r="Q67" s="465"/>
      <c r="R67" s="465"/>
      <c r="S67" s="465"/>
      <c r="T67" s="466"/>
      <c r="U67" s="466"/>
      <c r="V67" s="466"/>
      <c r="W67" s="1347"/>
      <c r="X67" s="1289"/>
      <c r="Y67" s="466"/>
      <c r="Z67" s="465"/>
      <c r="AA67" s="465"/>
      <c r="AB67" s="465"/>
      <c r="AC67" s="1339"/>
      <c r="AD67" s="1285"/>
      <c r="AE67" s="465"/>
      <c r="AF67" s="466"/>
      <c r="AG67" s="466"/>
      <c r="AH67" s="466"/>
      <c r="AI67" s="1347"/>
      <c r="AJ67" s="1289"/>
      <c r="AK67" s="466"/>
      <c r="AL67" s="465"/>
      <c r="AM67" s="465"/>
      <c r="AN67" s="465"/>
      <c r="AO67" s="1339"/>
      <c r="AP67" s="1285"/>
      <c r="AQ67" s="465"/>
      <c r="AR67" s="466"/>
      <c r="AS67" s="466"/>
      <c r="AT67" s="466"/>
      <c r="AU67" s="1347"/>
      <c r="AV67" s="1289"/>
      <c r="AW67" s="466"/>
      <c r="AX67" s="465"/>
      <c r="AY67" s="465"/>
      <c r="AZ67" s="465"/>
      <c r="BA67" s="1339"/>
      <c r="BB67" s="1285"/>
      <c r="BC67" s="465"/>
      <c r="BD67" s="466"/>
      <c r="BE67" s="466"/>
      <c r="BF67" s="466"/>
      <c r="BG67" s="1347"/>
      <c r="BH67" s="1289"/>
      <c r="BI67" s="466"/>
      <c r="BJ67" s="465"/>
      <c r="BK67" s="465"/>
      <c r="BL67" s="465"/>
      <c r="BM67" s="465"/>
      <c r="BN67" s="1285"/>
      <c r="BO67" s="465"/>
      <c r="BP67" s="466"/>
      <c r="BQ67" s="466"/>
      <c r="BR67" s="466"/>
      <c r="BS67" s="466"/>
      <c r="BT67" s="1289"/>
      <c r="BU67" s="466"/>
      <c r="BV67" s="465"/>
      <c r="BW67" s="465"/>
    </row>
    <row r="68" spans="1:80" ht="14.25">
      <c r="O68" s="465"/>
      <c r="P68" s="465"/>
      <c r="Q68" s="465"/>
      <c r="R68" s="465"/>
      <c r="S68" s="465"/>
      <c r="T68" s="466"/>
      <c r="U68" s="466"/>
      <c r="V68" s="466"/>
      <c r="W68" s="1347"/>
      <c r="X68" s="1289"/>
      <c r="Y68" s="466"/>
      <c r="Z68" s="465"/>
      <c r="AA68" s="465"/>
      <c r="AB68" s="465"/>
      <c r="AC68" s="1339"/>
      <c r="AD68" s="1285"/>
      <c r="AE68" s="465"/>
      <c r="AF68" s="466"/>
      <c r="AG68" s="466"/>
      <c r="AH68" s="466"/>
      <c r="AI68" s="1347"/>
      <c r="AJ68" s="1289"/>
      <c r="AK68" s="466"/>
      <c r="AL68" s="465"/>
      <c r="AM68" s="465"/>
      <c r="AN68" s="465"/>
      <c r="AO68" s="1339"/>
      <c r="AP68" s="1285"/>
      <c r="AQ68" s="465"/>
      <c r="AR68" s="466"/>
      <c r="AS68" s="466"/>
      <c r="AT68" s="466"/>
      <c r="AU68" s="1347"/>
      <c r="AV68" s="1289"/>
      <c r="AW68" s="466"/>
      <c r="AX68" s="465"/>
      <c r="AY68" s="465"/>
      <c r="AZ68" s="465"/>
      <c r="BA68" s="1339"/>
      <c r="BB68" s="1285"/>
      <c r="BC68" s="465"/>
      <c r="BD68" s="466"/>
      <c r="BE68" s="466"/>
      <c r="BF68" s="466"/>
      <c r="BG68" s="1347"/>
      <c r="BH68" s="1289"/>
      <c r="BI68" s="466"/>
      <c r="BJ68" s="465"/>
      <c r="BK68" s="465"/>
      <c r="BL68" s="465"/>
      <c r="BM68" s="465"/>
      <c r="BN68" s="1285"/>
      <c r="BO68" s="465"/>
      <c r="BP68" s="466"/>
      <c r="BQ68" s="466"/>
      <c r="BR68" s="466"/>
      <c r="BS68" s="466"/>
      <c r="BT68" s="1289"/>
      <c r="BU68" s="466"/>
      <c r="BV68" s="465"/>
      <c r="BW68" s="465"/>
    </row>
    <row r="69" spans="1:80" s="466" customFormat="1" ht="16.5" customHeight="1">
      <c r="A69" s="432"/>
      <c r="B69" s="432"/>
      <c r="C69" s="433"/>
      <c r="D69" s="524" t="s">
        <v>1611</v>
      </c>
      <c r="E69" s="432"/>
      <c r="F69" s="432"/>
      <c r="G69" s="436"/>
      <c r="H69" s="432"/>
      <c r="I69" s="453"/>
      <c r="J69" s="640"/>
      <c r="K69" s="640"/>
      <c r="L69" s="640"/>
      <c r="M69" s="640"/>
      <c r="N69" s="453"/>
      <c r="W69" s="1347"/>
      <c r="X69" s="1289"/>
      <c r="AC69" s="1347"/>
      <c r="AD69" s="1289"/>
      <c r="AI69" s="1347"/>
      <c r="AJ69" s="1289"/>
      <c r="AO69" s="1347"/>
      <c r="AP69" s="1289"/>
      <c r="AU69" s="1347"/>
      <c r="AV69" s="1289"/>
      <c r="BA69" s="1347"/>
      <c r="BB69" s="1289"/>
      <c r="BG69" s="1347"/>
      <c r="BH69" s="1289"/>
      <c r="BN69" s="1289"/>
      <c r="BT69" s="1289"/>
      <c r="BZ69" s="1289"/>
      <c r="CB69" s="465"/>
    </row>
    <row r="70" spans="1:80" s="466" customFormat="1" ht="16.5" customHeight="1">
      <c r="A70" s="432"/>
      <c r="B70" s="432"/>
      <c r="C70" s="433"/>
      <c r="D70" s="375" t="s">
        <v>1655</v>
      </c>
      <c r="E70" s="432"/>
      <c r="F70" s="432"/>
      <c r="G70" s="436"/>
      <c r="H70" s="432"/>
      <c r="I70" s="453"/>
      <c r="J70" s="640"/>
      <c r="K70" s="640"/>
      <c r="L70" s="640"/>
      <c r="M70" s="640"/>
      <c r="N70" s="453"/>
      <c r="W70" s="1347"/>
      <c r="X70" s="1289"/>
      <c r="AC70" s="1347"/>
      <c r="AD70" s="1289"/>
      <c r="AI70" s="1347"/>
      <c r="AJ70" s="1289"/>
      <c r="AO70" s="1347"/>
      <c r="AP70" s="1289"/>
      <c r="AU70" s="1347"/>
      <c r="AV70" s="1289"/>
      <c r="BA70" s="1347"/>
      <c r="BB70" s="1289"/>
      <c r="BG70" s="1347"/>
      <c r="BH70" s="1289"/>
      <c r="BN70" s="1289"/>
      <c r="BT70" s="1289"/>
      <c r="BZ70" s="1289"/>
      <c r="CB70" s="465"/>
    </row>
    <row r="71" spans="1:80" ht="14.25">
      <c r="O71" s="465"/>
      <c r="P71" s="465"/>
      <c r="Q71" s="465"/>
      <c r="R71" s="465"/>
      <c r="S71" s="465"/>
      <c r="T71" s="466"/>
      <c r="U71" s="466"/>
      <c r="V71" s="466"/>
      <c r="W71" s="1347"/>
      <c r="X71" s="1289"/>
      <c r="Y71" s="466"/>
      <c r="Z71" s="465"/>
      <c r="AA71" s="465"/>
      <c r="AB71" s="465"/>
      <c r="AC71" s="1339"/>
      <c r="AD71" s="1285"/>
      <c r="AE71" s="465"/>
      <c r="AF71" s="466"/>
      <c r="AG71" s="466"/>
      <c r="AH71" s="466"/>
      <c r="AI71" s="1347"/>
      <c r="AJ71" s="1289"/>
      <c r="AK71" s="466"/>
      <c r="AL71" s="465"/>
      <c r="AM71" s="465"/>
      <c r="AN71" s="465"/>
      <c r="AO71" s="1339"/>
      <c r="AP71" s="1285"/>
      <c r="AQ71" s="465"/>
      <c r="AR71" s="466"/>
      <c r="AS71" s="466"/>
      <c r="AT71" s="466"/>
      <c r="AU71" s="1347"/>
      <c r="AV71" s="1289"/>
      <c r="AW71" s="466"/>
      <c r="AX71" s="465"/>
      <c r="AY71" s="465"/>
      <c r="AZ71" s="465"/>
      <c r="BA71" s="1339"/>
      <c r="BB71" s="1285"/>
      <c r="BC71" s="465"/>
      <c r="BD71" s="466"/>
      <c r="BE71" s="466"/>
      <c r="BF71" s="466"/>
      <c r="BG71" s="1347"/>
      <c r="BH71" s="1289"/>
      <c r="BI71" s="466"/>
      <c r="BJ71" s="465"/>
      <c r="BK71" s="465"/>
      <c r="BL71" s="465"/>
      <c r="BM71" s="465"/>
      <c r="BN71" s="1285"/>
      <c r="BO71" s="465"/>
      <c r="BP71" s="466"/>
      <c r="BQ71" s="466"/>
      <c r="BR71" s="466"/>
      <c r="BS71" s="466"/>
      <c r="BT71" s="1289"/>
      <c r="BU71" s="466"/>
      <c r="BV71" s="465"/>
      <c r="BW71" s="465"/>
    </row>
    <row r="72" spans="1:80" ht="14.25">
      <c r="O72" s="466"/>
      <c r="P72" s="465"/>
      <c r="Q72" s="465"/>
      <c r="R72" s="465"/>
      <c r="S72" s="465"/>
      <c r="T72" s="466"/>
      <c r="U72" s="466"/>
      <c r="V72" s="466"/>
      <c r="W72" s="1347"/>
      <c r="X72" s="1289"/>
      <c r="Y72" s="466"/>
      <c r="Z72" s="465"/>
      <c r="AA72" s="465"/>
      <c r="AB72" s="465"/>
      <c r="AC72" s="1339"/>
      <c r="AD72" s="1285"/>
      <c r="AE72" s="465"/>
      <c r="AF72" s="466"/>
      <c r="AG72" s="466"/>
      <c r="AH72" s="466"/>
      <c r="AI72" s="1347"/>
      <c r="AJ72" s="1289"/>
      <c r="AK72" s="466"/>
      <c r="AL72" s="465"/>
      <c r="AM72" s="465"/>
      <c r="AN72" s="465"/>
      <c r="AO72" s="1339"/>
      <c r="AP72" s="1285"/>
      <c r="AQ72" s="465"/>
      <c r="AR72" s="466"/>
      <c r="AS72" s="466"/>
      <c r="AT72" s="466"/>
      <c r="AU72" s="1347"/>
      <c r="AV72" s="1289"/>
      <c r="AW72" s="466"/>
      <c r="AX72" s="465"/>
      <c r="AY72" s="465"/>
      <c r="AZ72" s="465"/>
      <c r="BA72" s="1339"/>
      <c r="BB72" s="1285"/>
      <c r="BC72" s="465"/>
      <c r="BD72" s="466"/>
      <c r="BE72" s="466"/>
      <c r="BF72" s="466"/>
      <c r="BG72" s="1347"/>
      <c r="BH72" s="1289"/>
      <c r="BI72" s="466"/>
      <c r="BJ72" s="465"/>
      <c r="BK72" s="465"/>
      <c r="BL72" s="465"/>
      <c r="BM72" s="465"/>
      <c r="BN72" s="1285"/>
      <c r="BO72" s="465"/>
      <c r="BP72" s="466"/>
      <c r="BQ72" s="466"/>
      <c r="BR72" s="466"/>
      <c r="BS72" s="466"/>
      <c r="BT72" s="1289"/>
      <c r="BU72" s="466"/>
      <c r="BV72" s="465"/>
      <c r="BW72" s="465"/>
    </row>
    <row r="73" spans="1:80" ht="14.25">
      <c r="O73" s="465"/>
      <c r="P73" s="465"/>
      <c r="Q73" s="465"/>
      <c r="R73" s="465"/>
      <c r="S73" s="465"/>
      <c r="T73" s="466"/>
      <c r="U73" s="466"/>
      <c r="V73" s="466"/>
      <c r="W73" s="1347"/>
      <c r="X73" s="1289"/>
      <c r="Y73" s="466"/>
      <c r="Z73" s="465"/>
      <c r="AA73" s="465"/>
      <c r="AB73" s="465"/>
      <c r="AC73" s="1339"/>
      <c r="AD73" s="1285"/>
      <c r="AE73" s="465"/>
      <c r="AF73" s="466"/>
      <c r="AG73" s="466"/>
      <c r="AH73" s="466"/>
      <c r="AI73" s="1347"/>
      <c r="AJ73" s="1289"/>
      <c r="AK73" s="466"/>
      <c r="AL73" s="465"/>
      <c r="AM73" s="465"/>
      <c r="AN73" s="465"/>
      <c r="AO73" s="1339"/>
      <c r="AP73" s="1285"/>
      <c r="AQ73" s="465"/>
      <c r="AR73" s="466"/>
      <c r="AS73" s="466"/>
      <c r="AT73" s="466"/>
      <c r="AU73" s="1347"/>
      <c r="AV73" s="1289"/>
      <c r="AW73" s="466"/>
      <c r="AX73" s="465"/>
      <c r="AY73" s="465"/>
      <c r="AZ73" s="465"/>
      <c r="BA73" s="1339"/>
      <c r="BB73" s="1285"/>
      <c r="BC73" s="465"/>
      <c r="BD73" s="466"/>
      <c r="BE73" s="466"/>
      <c r="BF73" s="466"/>
      <c r="BG73" s="1347"/>
      <c r="BH73" s="1289"/>
      <c r="BI73" s="466"/>
      <c r="BJ73" s="465"/>
      <c r="BK73" s="465"/>
      <c r="BL73" s="465"/>
      <c r="BM73" s="465"/>
      <c r="BN73" s="1285"/>
      <c r="BO73" s="465"/>
      <c r="BP73" s="466"/>
      <c r="BQ73" s="466"/>
      <c r="BR73" s="466"/>
      <c r="BS73" s="466"/>
      <c r="BT73" s="1289"/>
      <c r="BU73" s="466"/>
      <c r="BV73" s="465"/>
      <c r="BW73" s="465"/>
    </row>
    <row r="74" spans="1:80" ht="14.25">
      <c r="O74" s="465"/>
      <c r="P74" s="465"/>
      <c r="Q74" s="465"/>
      <c r="R74" s="465"/>
      <c r="S74" s="465"/>
      <c r="T74" s="466"/>
      <c r="U74" s="466"/>
      <c r="V74" s="466"/>
      <c r="W74" s="1347"/>
      <c r="X74" s="1289"/>
      <c r="Y74" s="466"/>
      <c r="Z74" s="465"/>
      <c r="AA74" s="465"/>
      <c r="AB74" s="465"/>
      <c r="AC74" s="1339"/>
      <c r="AD74" s="1285"/>
      <c r="AE74" s="465"/>
      <c r="AF74" s="466"/>
      <c r="AG74" s="466"/>
      <c r="AH74" s="466"/>
      <c r="AI74" s="1347"/>
      <c r="AJ74" s="1289"/>
      <c r="AK74" s="466"/>
      <c r="AL74" s="465"/>
      <c r="AM74" s="465"/>
      <c r="AN74" s="465"/>
      <c r="AO74" s="1339"/>
      <c r="AP74" s="1285"/>
      <c r="AQ74" s="465"/>
      <c r="AR74" s="466"/>
      <c r="AS74" s="466"/>
      <c r="AT74" s="466"/>
      <c r="AU74" s="1347"/>
      <c r="AV74" s="1289"/>
      <c r="AW74" s="466"/>
      <c r="AX74" s="465"/>
      <c r="AY74" s="465"/>
      <c r="AZ74" s="465"/>
      <c r="BA74" s="1339"/>
      <c r="BB74" s="1285"/>
      <c r="BC74" s="465"/>
      <c r="BD74" s="466"/>
      <c r="BE74" s="466"/>
      <c r="BF74" s="466"/>
      <c r="BG74" s="1347"/>
      <c r="BH74" s="1289"/>
      <c r="BI74" s="466"/>
      <c r="BJ74" s="465"/>
      <c r="BK74" s="465"/>
      <c r="BL74" s="465"/>
      <c r="BM74" s="465"/>
      <c r="BN74" s="1285"/>
      <c r="BO74" s="465"/>
      <c r="BP74" s="466"/>
      <c r="BQ74" s="466"/>
      <c r="BR74" s="466"/>
      <c r="BS74" s="466"/>
      <c r="BT74" s="1289"/>
      <c r="BU74" s="466"/>
      <c r="BV74" s="465"/>
      <c r="BW74" s="465"/>
    </row>
    <row r="75" spans="1:80" ht="14.25">
      <c r="O75" s="465"/>
      <c r="P75" s="465"/>
      <c r="Q75" s="465"/>
      <c r="R75" s="465"/>
      <c r="S75" s="465"/>
      <c r="T75" s="466"/>
      <c r="U75" s="466"/>
      <c r="V75" s="466"/>
      <c r="W75" s="1347"/>
      <c r="X75" s="1289"/>
      <c r="Y75" s="466"/>
      <c r="Z75" s="465"/>
      <c r="AA75" s="465"/>
      <c r="AB75" s="465"/>
      <c r="AC75" s="1339"/>
      <c r="AD75" s="1285"/>
      <c r="AE75" s="465"/>
      <c r="AF75" s="466"/>
      <c r="AG75" s="466"/>
      <c r="AH75" s="466"/>
      <c r="AI75" s="1347"/>
      <c r="AJ75" s="1289"/>
      <c r="AK75" s="466"/>
      <c r="AL75" s="465"/>
      <c r="AM75" s="465"/>
      <c r="AN75" s="465"/>
      <c r="AO75" s="1339"/>
      <c r="AP75" s="1285"/>
      <c r="AQ75" s="465"/>
      <c r="AR75" s="466"/>
      <c r="AS75" s="466"/>
      <c r="AT75" s="466"/>
      <c r="AU75" s="1347"/>
      <c r="AV75" s="1289"/>
      <c r="AW75" s="466"/>
      <c r="AX75" s="465"/>
      <c r="AY75" s="465"/>
      <c r="AZ75" s="465"/>
      <c r="BA75" s="1339"/>
      <c r="BB75" s="1285"/>
      <c r="BC75" s="465"/>
      <c r="BD75" s="466"/>
      <c r="BE75" s="466"/>
      <c r="BF75" s="466"/>
      <c r="BG75" s="1347"/>
      <c r="BH75" s="1289"/>
      <c r="BI75" s="466"/>
      <c r="BJ75" s="465"/>
      <c r="BK75" s="465"/>
      <c r="BL75" s="465"/>
      <c r="BM75" s="465"/>
      <c r="BN75" s="1285"/>
      <c r="BO75" s="465"/>
      <c r="BP75" s="466"/>
      <c r="BQ75" s="466"/>
      <c r="BR75" s="466"/>
      <c r="BS75" s="466"/>
      <c r="BT75" s="1289"/>
      <c r="BU75" s="466"/>
      <c r="BV75" s="465"/>
      <c r="BW75" s="465"/>
    </row>
    <row r="76" spans="1:80" ht="14.25">
      <c r="O76" s="465"/>
      <c r="P76" s="465"/>
      <c r="Q76" s="465"/>
      <c r="R76" s="465"/>
      <c r="S76" s="465"/>
      <c r="T76" s="466"/>
      <c r="U76" s="466"/>
      <c r="V76" s="466"/>
      <c r="W76" s="1347"/>
      <c r="X76" s="1289"/>
      <c r="Y76" s="466"/>
      <c r="Z76" s="465"/>
      <c r="AA76" s="465"/>
      <c r="AB76" s="465"/>
      <c r="AC76" s="1339"/>
      <c r="AD76" s="1285"/>
      <c r="AE76" s="465"/>
      <c r="AF76" s="466"/>
      <c r="AG76" s="466"/>
      <c r="AH76" s="466"/>
      <c r="AI76" s="1347"/>
      <c r="AJ76" s="1289"/>
      <c r="AK76" s="466"/>
      <c r="AL76" s="465"/>
      <c r="AM76" s="465"/>
      <c r="AN76" s="465"/>
      <c r="AO76" s="1339"/>
      <c r="AP76" s="1285"/>
      <c r="AQ76" s="465"/>
      <c r="AR76" s="466"/>
      <c r="AS76" s="466"/>
      <c r="AT76" s="466"/>
      <c r="AU76" s="1347"/>
      <c r="AV76" s="1289"/>
      <c r="AW76" s="466"/>
      <c r="AX76" s="465"/>
      <c r="AY76" s="465"/>
      <c r="AZ76" s="465"/>
      <c r="BA76" s="1339"/>
      <c r="BB76" s="1285"/>
      <c r="BC76" s="465"/>
      <c r="BD76" s="466"/>
      <c r="BE76" s="466"/>
      <c r="BF76" s="466"/>
      <c r="BG76" s="1347"/>
      <c r="BH76" s="1289"/>
      <c r="BI76" s="466"/>
      <c r="BJ76" s="465"/>
      <c r="BK76" s="465"/>
      <c r="BL76" s="465"/>
      <c r="BM76" s="465"/>
      <c r="BN76" s="1285"/>
      <c r="BO76" s="465"/>
      <c r="BP76" s="466"/>
      <c r="BQ76" s="466"/>
      <c r="BR76" s="466"/>
      <c r="BS76" s="466"/>
      <c r="BT76" s="1289"/>
      <c r="BU76" s="466"/>
      <c r="BV76" s="465"/>
      <c r="BW76" s="465"/>
    </row>
    <row r="77" spans="1:80" ht="14.25">
      <c r="O77" s="465"/>
      <c r="P77" s="465"/>
      <c r="Q77" s="465"/>
      <c r="R77" s="465"/>
      <c r="S77" s="465"/>
      <c r="T77" s="466"/>
      <c r="U77" s="466"/>
      <c r="V77" s="466"/>
      <c r="W77" s="1347"/>
      <c r="X77" s="1289"/>
      <c r="Y77" s="466"/>
      <c r="Z77" s="465"/>
      <c r="AA77" s="465"/>
      <c r="AB77" s="465"/>
      <c r="AC77" s="1339"/>
      <c r="AD77" s="1285"/>
      <c r="AE77" s="465"/>
      <c r="AF77" s="466"/>
      <c r="AG77" s="466"/>
      <c r="AH77" s="466"/>
      <c r="AI77" s="1347"/>
      <c r="AJ77" s="1289"/>
      <c r="AK77" s="466"/>
      <c r="AL77" s="465"/>
      <c r="AM77" s="465"/>
      <c r="AN77" s="465"/>
      <c r="AO77" s="1339"/>
      <c r="AP77" s="1285"/>
      <c r="AQ77" s="465"/>
      <c r="AR77" s="466"/>
      <c r="AS77" s="466"/>
      <c r="AT77" s="466"/>
      <c r="AU77" s="1347"/>
      <c r="AV77" s="1289"/>
      <c r="AW77" s="466"/>
      <c r="AX77" s="465"/>
      <c r="AY77" s="465"/>
      <c r="AZ77" s="465"/>
      <c r="BA77" s="1339"/>
      <c r="BB77" s="1285"/>
      <c r="BC77" s="465"/>
      <c r="BD77" s="466"/>
      <c r="BE77" s="466"/>
      <c r="BF77" s="466"/>
      <c r="BG77" s="1347"/>
      <c r="BH77" s="1289"/>
      <c r="BI77" s="466"/>
      <c r="BJ77" s="465"/>
      <c r="BK77" s="465"/>
      <c r="BL77" s="465"/>
      <c r="BM77" s="465"/>
      <c r="BN77" s="1285"/>
      <c r="BO77" s="465"/>
      <c r="BP77" s="466"/>
      <c r="BQ77" s="466"/>
      <c r="BR77" s="466"/>
      <c r="BS77" s="466"/>
      <c r="BT77" s="1289"/>
      <c r="BU77" s="466"/>
      <c r="BV77" s="465"/>
      <c r="BW77" s="465"/>
    </row>
    <row r="78" spans="1:80" ht="14.25">
      <c r="O78" s="465"/>
      <c r="P78" s="465"/>
      <c r="Q78" s="465"/>
      <c r="R78" s="465"/>
      <c r="S78" s="465"/>
      <c r="T78" s="466"/>
      <c r="U78" s="466"/>
      <c r="V78" s="466"/>
      <c r="W78" s="1347"/>
      <c r="X78" s="1289"/>
      <c r="Y78" s="466"/>
      <c r="Z78" s="465"/>
      <c r="AA78" s="465"/>
      <c r="AB78" s="465"/>
      <c r="AC78" s="1339"/>
      <c r="AD78" s="1285"/>
      <c r="AE78" s="465"/>
      <c r="AF78" s="466"/>
      <c r="AG78" s="466"/>
      <c r="AH78" s="466"/>
      <c r="AI78" s="1347"/>
      <c r="AJ78" s="1289"/>
      <c r="AK78" s="466"/>
      <c r="AL78" s="465"/>
      <c r="AM78" s="465"/>
      <c r="AN78" s="465"/>
      <c r="AO78" s="1339"/>
      <c r="AP78" s="1285"/>
      <c r="AQ78" s="465"/>
      <c r="AR78" s="466"/>
      <c r="AS78" s="466"/>
      <c r="AT78" s="466"/>
      <c r="AU78" s="1347"/>
      <c r="AV78" s="1289"/>
      <c r="AW78" s="466"/>
      <c r="AX78" s="465"/>
      <c r="AY78" s="465"/>
      <c r="AZ78" s="465"/>
      <c r="BA78" s="1339"/>
      <c r="BB78" s="1285"/>
      <c r="BC78" s="465"/>
      <c r="BD78" s="466"/>
      <c r="BE78" s="466"/>
      <c r="BF78" s="466"/>
      <c r="BG78" s="1347"/>
      <c r="BH78" s="1289"/>
      <c r="BI78" s="466"/>
      <c r="BJ78" s="465"/>
      <c r="BK78" s="465"/>
      <c r="BL78" s="465"/>
      <c r="BM78" s="465"/>
      <c r="BN78" s="1285"/>
      <c r="BO78" s="465"/>
      <c r="BP78" s="466"/>
      <c r="BQ78" s="466"/>
      <c r="BR78" s="466"/>
      <c r="BS78" s="466"/>
      <c r="BT78" s="1289"/>
      <c r="BU78" s="466"/>
      <c r="BV78" s="465"/>
      <c r="BW78" s="465"/>
    </row>
    <row r="79" spans="1:80" ht="14.25">
      <c r="O79" s="465"/>
      <c r="P79" s="465"/>
      <c r="Q79" s="465"/>
      <c r="R79" s="465"/>
      <c r="S79" s="465"/>
      <c r="T79" s="466"/>
      <c r="U79" s="466"/>
      <c r="V79" s="466"/>
      <c r="W79" s="1347"/>
      <c r="X79" s="1289"/>
      <c r="Y79" s="466"/>
      <c r="Z79" s="465"/>
      <c r="AA79" s="465"/>
      <c r="AB79" s="465"/>
      <c r="AC79" s="1339"/>
      <c r="AD79" s="1285"/>
      <c r="AE79" s="465"/>
      <c r="AF79" s="466"/>
      <c r="AG79" s="466"/>
      <c r="AH79" s="466"/>
      <c r="AI79" s="1347"/>
      <c r="AJ79" s="1289"/>
      <c r="AK79" s="466"/>
      <c r="AL79" s="465"/>
      <c r="AM79" s="465"/>
      <c r="AN79" s="465"/>
      <c r="AO79" s="1339"/>
      <c r="AP79" s="1285"/>
      <c r="AQ79" s="465"/>
      <c r="AR79" s="466"/>
      <c r="AS79" s="466"/>
      <c r="AT79" s="466"/>
      <c r="AU79" s="1347"/>
      <c r="AV79" s="1289"/>
      <c r="AW79" s="466"/>
      <c r="AX79" s="465"/>
      <c r="AY79" s="465"/>
      <c r="AZ79" s="465"/>
      <c r="BA79" s="1339"/>
      <c r="BB79" s="1285"/>
      <c r="BC79" s="465"/>
      <c r="BD79" s="466"/>
      <c r="BE79" s="466"/>
      <c r="BF79" s="466"/>
      <c r="BG79" s="1347"/>
      <c r="BH79" s="1289"/>
      <c r="BI79" s="466"/>
      <c r="BJ79" s="465"/>
      <c r="BK79" s="465"/>
      <c r="BL79" s="465"/>
      <c r="BM79" s="465"/>
      <c r="BN79" s="1285"/>
      <c r="BO79" s="465"/>
      <c r="BP79" s="466"/>
      <c r="BQ79" s="466"/>
      <c r="BR79" s="466"/>
      <c r="BS79" s="466"/>
      <c r="BT79" s="1289"/>
      <c r="BU79" s="466"/>
      <c r="BV79" s="465"/>
      <c r="BW79" s="465"/>
    </row>
    <row r="80" spans="1:80" ht="14.25">
      <c r="O80" s="465"/>
      <c r="P80" s="465"/>
      <c r="Q80" s="465"/>
      <c r="R80" s="465"/>
      <c r="S80" s="465"/>
      <c r="T80" s="466"/>
      <c r="U80" s="466"/>
      <c r="V80" s="466"/>
      <c r="W80" s="1347"/>
      <c r="X80" s="1289"/>
      <c r="Y80" s="466"/>
      <c r="Z80" s="465"/>
      <c r="AA80" s="465"/>
      <c r="AB80" s="465"/>
      <c r="AC80" s="1339"/>
      <c r="AD80" s="1285"/>
      <c r="AE80" s="465"/>
      <c r="AF80" s="466"/>
      <c r="AG80" s="466"/>
      <c r="AH80" s="466"/>
      <c r="AI80" s="1347"/>
      <c r="AJ80" s="1289"/>
      <c r="AK80" s="466"/>
      <c r="AL80" s="465"/>
      <c r="AM80" s="465"/>
      <c r="AN80" s="465"/>
      <c r="AO80" s="1339"/>
      <c r="AP80" s="1285"/>
      <c r="AQ80" s="465"/>
      <c r="AR80" s="466"/>
      <c r="AS80" s="466"/>
      <c r="AT80" s="466"/>
      <c r="AU80" s="1347"/>
      <c r="AV80" s="1289"/>
      <c r="AW80" s="466"/>
      <c r="AX80" s="465"/>
      <c r="AY80" s="465"/>
      <c r="AZ80" s="465"/>
      <c r="BA80" s="1339"/>
      <c r="BB80" s="1285"/>
      <c r="BC80" s="465"/>
      <c r="BD80" s="466"/>
      <c r="BE80" s="466"/>
      <c r="BF80" s="466"/>
      <c r="BG80" s="1347"/>
      <c r="BH80" s="1289"/>
      <c r="BI80" s="466"/>
      <c r="BJ80" s="465"/>
      <c r="BK80" s="465"/>
      <c r="BL80" s="465"/>
      <c r="BM80" s="465"/>
      <c r="BN80" s="1285"/>
      <c r="BO80" s="465"/>
      <c r="BP80" s="466"/>
      <c r="BQ80" s="466"/>
      <c r="BR80" s="466"/>
      <c r="BS80" s="466"/>
      <c r="BT80" s="1289"/>
      <c r="BU80" s="466"/>
      <c r="BV80" s="465"/>
      <c r="BW80" s="465"/>
    </row>
    <row r="81" spans="15:75" ht="14.25">
      <c r="O81" s="465"/>
      <c r="P81" s="465"/>
      <c r="Q81" s="465"/>
      <c r="R81" s="465"/>
      <c r="S81" s="465"/>
      <c r="T81" s="466"/>
      <c r="U81" s="466"/>
      <c r="V81" s="466"/>
      <c r="W81" s="1347"/>
      <c r="X81" s="1289"/>
      <c r="Y81" s="466"/>
      <c r="Z81" s="465"/>
      <c r="AA81" s="465"/>
      <c r="AB81" s="465"/>
      <c r="AC81" s="1339"/>
      <c r="AD81" s="1285"/>
      <c r="AE81" s="465"/>
      <c r="AF81" s="466"/>
      <c r="AG81" s="466"/>
      <c r="AH81" s="466"/>
      <c r="AI81" s="1347"/>
      <c r="AJ81" s="1289"/>
      <c r="AK81" s="466"/>
      <c r="AL81" s="465"/>
      <c r="AM81" s="465"/>
      <c r="AN81" s="465"/>
      <c r="AO81" s="1339"/>
      <c r="AP81" s="1285"/>
      <c r="AQ81" s="465"/>
      <c r="AR81" s="466"/>
      <c r="AS81" s="466"/>
      <c r="AT81" s="466"/>
      <c r="AU81" s="1347"/>
      <c r="AV81" s="1289"/>
      <c r="AW81" s="466"/>
      <c r="AX81" s="465"/>
      <c r="AY81" s="465"/>
      <c r="AZ81" s="465"/>
      <c r="BA81" s="1339"/>
      <c r="BB81" s="1285"/>
      <c r="BC81" s="465"/>
      <c r="BD81" s="466"/>
      <c r="BE81" s="466"/>
      <c r="BF81" s="466"/>
      <c r="BG81" s="1347"/>
      <c r="BH81" s="1289"/>
      <c r="BI81" s="466"/>
      <c r="BJ81" s="465"/>
      <c r="BK81" s="465"/>
      <c r="BL81" s="465"/>
      <c r="BM81" s="465"/>
      <c r="BN81" s="1285"/>
      <c r="BO81" s="465"/>
      <c r="BP81" s="466"/>
      <c r="BQ81" s="466"/>
      <c r="BR81" s="466"/>
      <c r="BS81" s="466"/>
      <c r="BT81" s="1289"/>
      <c r="BU81" s="466"/>
      <c r="BV81" s="465"/>
      <c r="BW81" s="465"/>
    </row>
    <row r="82" spans="15:75" ht="14.25">
      <c r="O82" s="465"/>
      <c r="P82" s="465"/>
      <c r="Q82" s="465"/>
      <c r="R82" s="465"/>
      <c r="S82" s="465"/>
      <c r="T82" s="466"/>
      <c r="U82" s="466"/>
      <c r="V82" s="466"/>
      <c r="W82" s="1347"/>
      <c r="X82" s="1289"/>
      <c r="Y82" s="466"/>
      <c r="Z82" s="465"/>
      <c r="AA82" s="465"/>
      <c r="AB82" s="465"/>
      <c r="AC82" s="1339"/>
      <c r="AD82" s="1285"/>
      <c r="AE82" s="465"/>
      <c r="AF82" s="466"/>
      <c r="AG82" s="466"/>
      <c r="AH82" s="466"/>
      <c r="AI82" s="1347"/>
      <c r="AJ82" s="1289"/>
      <c r="AK82" s="466"/>
      <c r="AL82" s="465"/>
      <c r="AM82" s="465"/>
      <c r="AN82" s="465"/>
      <c r="AO82" s="1339"/>
      <c r="AP82" s="1285"/>
      <c r="AQ82" s="465"/>
      <c r="AR82" s="466"/>
      <c r="AS82" s="466"/>
      <c r="AT82" s="466"/>
      <c r="AU82" s="1347"/>
      <c r="AV82" s="1289"/>
      <c r="AW82" s="466"/>
      <c r="AX82" s="465"/>
      <c r="AY82" s="465"/>
      <c r="AZ82" s="465"/>
      <c r="BA82" s="1339"/>
      <c r="BB82" s="1285"/>
      <c r="BC82" s="465"/>
      <c r="BD82" s="466"/>
      <c r="BE82" s="466"/>
      <c r="BF82" s="466"/>
      <c r="BG82" s="1347"/>
      <c r="BH82" s="1289"/>
      <c r="BI82" s="466"/>
      <c r="BJ82" s="465"/>
      <c r="BK82" s="465"/>
      <c r="BL82" s="465"/>
      <c r="BM82" s="465"/>
      <c r="BN82" s="1285"/>
      <c r="BO82" s="465"/>
      <c r="BP82" s="466"/>
      <c r="BQ82" s="466"/>
      <c r="BR82" s="466"/>
      <c r="BS82" s="466"/>
      <c r="BT82" s="1289"/>
      <c r="BU82" s="466"/>
      <c r="BV82" s="465"/>
      <c r="BW82" s="465"/>
    </row>
    <row r="83" spans="15:75" ht="14.25">
      <c r="O83" s="465"/>
      <c r="P83" s="465"/>
      <c r="Q83" s="465"/>
      <c r="R83" s="465"/>
      <c r="S83" s="465"/>
      <c r="T83" s="466"/>
      <c r="U83" s="466"/>
      <c r="V83" s="466"/>
      <c r="W83" s="1347"/>
      <c r="X83" s="1289"/>
      <c r="Y83" s="466"/>
      <c r="Z83" s="465"/>
      <c r="AA83" s="465"/>
      <c r="AB83" s="465"/>
      <c r="AC83" s="1339"/>
      <c r="AD83" s="1285"/>
      <c r="AE83" s="465"/>
      <c r="AF83" s="466"/>
      <c r="AG83" s="466"/>
      <c r="AH83" s="466"/>
      <c r="AI83" s="1347"/>
      <c r="AJ83" s="1289"/>
      <c r="AK83" s="466"/>
      <c r="AL83" s="465"/>
      <c r="AM83" s="465"/>
      <c r="AN83" s="465"/>
      <c r="AO83" s="1339"/>
      <c r="AP83" s="1285"/>
      <c r="AQ83" s="465"/>
      <c r="AR83" s="466"/>
      <c r="AS83" s="466"/>
      <c r="AT83" s="466"/>
      <c r="AU83" s="1347"/>
      <c r="AV83" s="1289"/>
      <c r="AW83" s="466"/>
      <c r="AX83" s="465"/>
      <c r="AY83" s="465"/>
      <c r="AZ83" s="465"/>
      <c r="BA83" s="1339"/>
      <c r="BB83" s="1285"/>
      <c r="BC83" s="465"/>
      <c r="BD83" s="466"/>
      <c r="BE83" s="466"/>
      <c r="BF83" s="466"/>
      <c r="BG83" s="1347"/>
      <c r="BH83" s="1289"/>
      <c r="BI83" s="466"/>
      <c r="BJ83" s="465"/>
      <c r="BK83" s="465"/>
      <c r="BL83" s="465"/>
      <c r="BM83" s="465"/>
      <c r="BN83" s="1285"/>
      <c r="BO83" s="465"/>
      <c r="BP83" s="466"/>
      <c r="BQ83" s="466"/>
      <c r="BR83" s="466"/>
      <c r="BS83" s="466"/>
      <c r="BT83" s="1289"/>
      <c r="BU83" s="466"/>
      <c r="BV83" s="465"/>
      <c r="BW83" s="465"/>
    </row>
    <row r="84" spans="15:75" ht="14.25">
      <c r="O84" s="465"/>
      <c r="P84" s="465"/>
      <c r="Q84" s="465"/>
      <c r="R84" s="465"/>
      <c r="S84" s="465"/>
      <c r="T84" s="466"/>
      <c r="U84" s="466"/>
      <c r="V84" s="466"/>
      <c r="W84" s="1347"/>
      <c r="X84" s="1289"/>
      <c r="Y84" s="466"/>
      <c r="Z84" s="465"/>
      <c r="AA84" s="465"/>
      <c r="AB84" s="465"/>
      <c r="AC84" s="1339"/>
      <c r="AD84" s="1285"/>
      <c r="AE84" s="465"/>
      <c r="AF84" s="466"/>
      <c r="AG84" s="466"/>
      <c r="AH84" s="466"/>
      <c r="AI84" s="1347"/>
      <c r="AJ84" s="1289"/>
      <c r="AK84" s="466"/>
      <c r="AL84" s="465"/>
      <c r="AM84" s="465"/>
      <c r="AN84" s="465"/>
      <c r="AO84" s="1339"/>
      <c r="AP84" s="1285"/>
      <c r="AQ84" s="465"/>
      <c r="AR84" s="466"/>
      <c r="AS84" s="466"/>
      <c r="AT84" s="466"/>
      <c r="AU84" s="1347"/>
      <c r="AV84" s="1289"/>
      <c r="AW84" s="466"/>
      <c r="AX84" s="465"/>
      <c r="AY84" s="465"/>
      <c r="AZ84" s="465"/>
      <c r="BA84" s="1339"/>
      <c r="BB84" s="1285"/>
      <c r="BC84" s="465"/>
      <c r="BD84" s="466"/>
      <c r="BE84" s="466"/>
      <c r="BF84" s="466"/>
      <c r="BG84" s="1347"/>
      <c r="BH84" s="1289"/>
      <c r="BI84" s="466"/>
      <c r="BJ84" s="465"/>
      <c r="BK84" s="465"/>
      <c r="BL84" s="465"/>
      <c r="BM84" s="465"/>
      <c r="BN84" s="1285"/>
      <c r="BO84" s="465"/>
      <c r="BP84" s="466"/>
      <c r="BQ84" s="466"/>
      <c r="BR84" s="466"/>
      <c r="BS84" s="466"/>
      <c r="BT84" s="1289"/>
      <c r="BU84" s="466"/>
      <c r="BV84" s="465"/>
      <c r="BW84" s="465"/>
    </row>
    <row r="85" spans="15:75" ht="14.25">
      <c r="P85" s="374"/>
      <c r="Q85" s="374"/>
      <c r="R85" s="374"/>
    </row>
    <row r="86" spans="15:75" ht="14.25">
      <c r="P86" s="369"/>
      <c r="Q86" s="369"/>
      <c r="R86" s="369"/>
    </row>
    <row r="87" spans="15:75" ht="14.25">
      <c r="P87" s="369"/>
      <c r="Q87" s="369"/>
      <c r="R87" s="369"/>
    </row>
    <row r="88" spans="15:75" ht="14.25">
      <c r="P88" s="369"/>
      <c r="Q88" s="369"/>
      <c r="R88" s="369"/>
    </row>
    <row r="89" spans="15:75" ht="14.25">
      <c r="P89" s="369"/>
      <c r="Q89" s="369"/>
      <c r="R89" s="369"/>
    </row>
    <row r="90" spans="15:75" ht="14.25">
      <c r="P90" s="369"/>
      <c r="Q90" s="369"/>
      <c r="R90" s="369"/>
    </row>
    <row r="91" spans="15:75" ht="14.25">
      <c r="P91" s="369"/>
      <c r="Q91" s="369"/>
      <c r="R91" s="369"/>
    </row>
    <row r="92" spans="15:75" ht="14.25">
      <c r="P92" s="369"/>
      <c r="Q92" s="369"/>
      <c r="R92" s="369"/>
    </row>
    <row r="93" spans="15:75" ht="14.25">
      <c r="P93" s="369"/>
      <c r="Q93" s="369"/>
      <c r="R93" s="369"/>
    </row>
    <row r="94" spans="15:75" ht="14.25">
      <c r="P94" s="369"/>
      <c r="Q94" s="369"/>
      <c r="R94" s="369"/>
    </row>
    <row r="95" spans="15:75" ht="14.25">
      <c r="P95" s="369"/>
      <c r="Q95" s="369"/>
      <c r="R95" s="369"/>
    </row>
    <row r="96" spans="15:75" ht="14.25">
      <c r="P96" s="369"/>
      <c r="Q96" s="369"/>
      <c r="R96" s="369"/>
    </row>
    <row r="97" spans="16:18" ht="14.25">
      <c r="P97" s="369"/>
      <c r="Q97" s="369"/>
      <c r="R97" s="369"/>
    </row>
    <row r="98" spans="16:18" ht="14.25">
      <c r="P98" s="369"/>
      <c r="Q98" s="369"/>
      <c r="R98" s="369"/>
    </row>
    <row r="99" spans="16:18" ht="14.25">
      <c r="P99" s="369"/>
      <c r="Q99" s="369"/>
      <c r="R99" s="369"/>
    </row>
    <row r="100" spans="16:18" ht="14.25">
      <c r="P100" s="369"/>
      <c r="Q100" s="369"/>
      <c r="R100" s="369"/>
    </row>
    <row r="101" spans="16:18" ht="14.25">
      <c r="P101" s="369"/>
      <c r="Q101" s="369"/>
      <c r="R101" s="369"/>
    </row>
    <row r="102" spans="16:18" ht="14.25">
      <c r="P102" s="369"/>
      <c r="Q102" s="369"/>
      <c r="R102" s="369"/>
    </row>
    <row r="103" spans="16:18" ht="14.25">
      <c r="P103" s="369"/>
      <c r="Q103" s="369"/>
      <c r="R103" s="369"/>
    </row>
    <row r="104" spans="16:18" ht="14.25">
      <c r="P104" s="369"/>
      <c r="Q104" s="369"/>
      <c r="R104" s="369"/>
    </row>
    <row r="105" spans="16:18" ht="14.25">
      <c r="P105" s="369"/>
      <c r="Q105" s="369"/>
      <c r="R105" s="369"/>
    </row>
    <row r="106" spans="16:18" ht="14.25">
      <c r="P106" s="369"/>
      <c r="Q106" s="369"/>
      <c r="R106" s="369"/>
    </row>
    <row r="107" spans="16:18" ht="14.25">
      <c r="P107" s="369"/>
      <c r="Q107" s="369"/>
      <c r="R107" s="369"/>
    </row>
    <row r="108" spans="16:18" ht="14.25">
      <c r="P108" s="369"/>
      <c r="Q108" s="369"/>
      <c r="R108" s="369"/>
    </row>
    <row r="109" spans="16:18" ht="14.25">
      <c r="P109" s="369"/>
      <c r="Q109" s="369"/>
      <c r="R109" s="369"/>
    </row>
    <row r="110" spans="16:18" ht="14.25">
      <c r="P110" s="369"/>
      <c r="Q110" s="369"/>
      <c r="R110" s="369"/>
    </row>
    <row r="111" spans="16:18" ht="14.25">
      <c r="P111" s="369"/>
      <c r="Q111" s="369"/>
      <c r="R111" s="369"/>
    </row>
    <row r="112" spans="16:18" ht="14.25">
      <c r="P112" s="369"/>
      <c r="Q112" s="369"/>
      <c r="R112" s="369"/>
    </row>
    <row r="113" spans="16:18" ht="14.25">
      <c r="P113" s="369"/>
      <c r="Q113" s="369"/>
      <c r="R113" s="369"/>
    </row>
    <row r="114" spans="16:18" ht="14.25">
      <c r="P114" s="369"/>
      <c r="Q114" s="369"/>
      <c r="R114" s="369"/>
    </row>
    <row r="115" spans="16:18" ht="14.25">
      <c r="P115" s="369"/>
      <c r="Q115" s="369"/>
      <c r="R115" s="369"/>
    </row>
    <row r="116" spans="16:18" ht="14.25">
      <c r="P116" s="369"/>
      <c r="Q116" s="369"/>
      <c r="R116" s="369"/>
    </row>
    <row r="117" spans="16:18" ht="14.25">
      <c r="P117" s="369"/>
      <c r="Q117" s="369"/>
      <c r="R117" s="369"/>
    </row>
    <row r="118" spans="16:18" ht="14.25">
      <c r="P118" s="369"/>
      <c r="Q118" s="369"/>
      <c r="R118" s="369"/>
    </row>
    <row r="119" spans="16:18" ht="14.25">
      <c r="P119" s="369"/>
      <c r="Q119" s="369"/>
      <c r="R119" s="369"/>
    </row>
    <row r="120" spans="16:18" ht="14.25">
      <c r="P120" s="369"/>
      <c r="Q120" s="369"/>
      <c r="R120" s="369"/>
    </row>
    <row r="121" spans="16:18" ht="14.25">
      <c r="P121" s="369"/>
      <c r="Q121" s="369"/>
      <c r="R121" s="369"/>
    </row>
    <row r="122" spans="16:18" ht="14.25">
      <c r="P122" s="369"/>
      <c r="Q122" s="369"/>
      <c r="R122" s="369"/>
    </row>
    <row r="123" spans="16:18" ht="14.25">
      <c r="P123" s="369"/>
      <c r="Q123" s="369"/>
      <c r="R123" s="369"/>
    </row>
    <row r="124" spans="16:18" ht="14.25">
      <c r="P124" s="369"/>
      <c r="Q124" s="369"/>
      <c r="R124" s="369"/>
    </row>
    <row r="125" spans="16:18" ht="14.25">
      <c r="P125" s="369"/>
      <c r="Q125" s="369"/>
      <c r="R125" s="369"/>
    </row>
    <row r="126" spans="16:18" ht="14.25">
      <c r="P126" s="369"/>
      <c r="Q126" s="369"/>
      <c r="R126" s="369"/>
    </row>
    <row r="127" spans="16:18" ht="14.25">
      <c r="P127" s="369"/>
      <c r="Q127" s="369"/>
      <c r="R127" s="369"/>
    </row>
    <row r="128" spans="16:18" ht="14.25">
      <c r="P128" s="369"/>
      <c r="Q128" s="369"/>
      <c r="R128" s="369"/>
    </row>
    <row r="129" spans="16:18" ht="14.25">
      <c r="P129" s="369"/>
      <c r="Q129" s="369"/>
      <c r="R129" s="369"/>
    </row>
    <row r="130" spans="16:18" ht="14.25">
      <c r="P130" s="369"/>
      <c r="Q130" s="369"/>
      <c r="R130" s="369"/>
    </row>
    <row r="131" spans="16:18" ht="14.25">
      <c r="P131" s="369"/>
      <c r="Q131" s="369"/>
      <c r="R131" s="369"/>
    </row>
    <row r="132" spans="16:18" ht="14.25">
      <c r="P132" s="369"/>
      <c r="Q132" s="369"/>
      <c r="R132" s="369"/>
    </row>
    <row r="133" spans="16:18" ht="14.25">
      <c r="P133" s="369"/>
      <c r="Q133" s="369"/>
      <c r="R133" s="369"/>
    </row>
    <row r="134" spans="16:18" ht="14.25">
      <c r="P134" s="369"/>
      <c r="Q134" s="369"/>
      <c r="R134" s="369"/>
    </row>
    <row r="135" spans="16:18" ht="14.25">
      <c r="P135" s="369"/>
      <c r="Q135" s="369"/>
      <c r="R135" s="369"/>
    </row>
    <row r="136" spans="16:18" ht="14.25">
      <c r="P136" s="369"/>
      <c r="Q136" s="369"/>
      <c r="R136" s="369"/>
    </row>
    <row r="137" spans="16:18" ht="14.25">
      <c r="P137" s="369"/>
      <c r="Q137" s="369"/>
      <c r="R137" s="369"/>
    </row>
    <row r="138" spans="16:18" ht="14.25">
      <c r="P138" s="369"/>
      <c r="Q138" s="369"/>
      <c r="R138" s="369"/>
    </row>
    <row r="139" spans="16:18" ht="14.25">
      <c r="P139" s="369"/>
      <c r="Q139" s="369"/>
      <c r="R139" s="369"/>
    </row>
    <row r="140" spans="16:18" ht="14.25">
      <c r="P140" s="369"/>
      <c r="Q140" s="369"/>
      <c r="R140" s="369"/>
    </row>
    <row r="141" spans="16:18" ht="14.25">
      <c r="P141" s="369"/>
      <c r="Q141" s="369"/>
      <c r="R141" s="369"/>
    </row>
    <row r="142" spans="16:18" ht="14.25">
      <c r="P142" s="369"/>
      <c r="Q142" s="369"/>
      <c r="R142" s="369"/>
    </row>
    <row r="143" spans="16:18" ht="14.25">
      <c r="P143" s="369"/>
      <c r="Q143" s="369"/>
      <c r="R143" s="369"/>
    </row>
    <row r="144" spans="16:18" ht="14.25">
      <c r="P144" s="369"/>
      <c r="Q144" s="369"/>
      <c r="R144" s="369"/>
    </row>
    <row r="145" spans="16:18" ht="14.25">
      <c r="P145" s="369"/>
      <c r="Q145" s="369"/>
      <c r="R145" s="369"/>
    </row>
    <row r="146" spans="16:18" ht="14.25">
      <c r="P146" s="369"/>
      <c r="Q146" s="369"/>
      <c r="R146" s="369"/>
    </row>
    <row r="147" spans="16:18" ht="14.25">
      <c r="P147" s="369"/>
      <c r="Q147" s="369"/>
      <c r="R147" s="369"/>
    </row>
    <row r="148" spans="16:18" ht="14.25">
      <c r="P148" s="369"/>
      <c r="Q148" s="369"/>
      <c r="R148" s="369"/>
    </row>
    <row r="149" spans="16:18" ht="14.25">
      <c r="P149" s="369"/>
      <c r="Q149" s="369"/>
      <c r="R149" s="369"/>
    </row>
    <row r="150" spans="16:18" ht="14.25">
      <c r="P150" s="369"/>
      <c r="Q150" s="369"/>
      <c r="R150" s="369"/>
    </row>
    <row r="151" spans="16:18" ht="14.25">
      <c r="P151" s="369"/>
      <c r="Q151" s="369"/>
      <c r="R151" s="369"/>
    </row>
    <row r="152" spans="16:18" ht="14.25">
      <c r="P152" s="369"/>
      <c r="Q152" s="369"/>
      <c r="R152" s="369"/>
    </row>
    <row r="153" spans="16:18" ht="14.25">
      <c r="P153" s="369"/>
      <c r="Q153" s="369"/>
      <c r="R153" s="369"/>
    </row>
    <row r="154" spans="16:18" ht="14.25">
      <c r="P154" s="369"/>
      <c r="Q154" s="369"/>
      <c r="R154" s="369"/>
    </row>
    <row r="155" spans="16:18" ht="14.25">
      <c r="P155" s="369"/>
      <c r="Q155" s="369"/>
      <c r="R155" s="369"/>
    </row>
    <row r="156" spans="16:18" ht="14.25">
      <c r="P156" s="369"/>
      <c r="Q156" s="369"/>
      <c r="R156" s="369"/>
    </row>
    <row r="157" spans="16:18" ht="14.25">
      <c r="P157" s="369"/>
      <c r="Q157" s="369"/>
      <c r="R157" s="369"/>
    </row>
    <row r="158" spans="16:18" ht="14.25">
      <c r="P158" s="369"/>
      <c r="Q158" s="369"/>
      <c r="R158" s="369"/>
    </row>
    <row r="159" spans="16:18" ht="14.25">
      <c r="P159" s="369"/>
      <c r="Q159" s="369"/>
      <c r="R159" s="369"/>
    </row>
    <row r="160" spans="16:18" ht="14.25">
      <c r="P160" s="369"/>
      <c r="Q160" s="369"/>
      <c r="R160" s="369"/>
    </row>
    <row r="161" spans="16:18" ht="14.25">
      <c r="P161" s="369"/>
      <c r="Q161" s="369"/>
      <c r="R161" s="369"/>
    </row>
    <row r="162" spans="16:18" ht="14.25">
      <c r="P162" s="369"/>
      <c r="Q162" s="369"/>
      <c r="R162" s="369"/>
    </row>
    <row r="163" spans="16:18" ht="14.25">
      <c r="P163" s="369"/>
      <c r="Q163" s="369"/>
      <c r="R163" s="369"/>
    </row>
    <row r="164" spans="16:18" ht="14.25">
      <c r="P164" s="369"/>
      <c r="Q164" s="369"/>
      <c r="R164" s="369"/>
    </row>
    <row r="165" spans="16:18" ht="14.25">
      <c r="P165" s="369"/>
      <c r="Q165" s="369"/>
      <c r="R165" s="369"/>
    </row>
    <row r="166" spans="16:18" ht="14.25">
      <c r="P166" s="369"/>
      <c r="Q166" s="369"/>
      <c r="R166" s="369"/>
    </row>
    <row r="167" spans="16:18" ht="14.25">
      <c r="P167" s="369"/>
      <c r="Q167" s="369"/>
      <c r="R167" s="369"/>
    </row>
    <row r="168" spans="16:18" ht="14.25">
      <c r="P168" s="369"/>
      <c r="Q168" s="369"/>
      <c r="R168" s="369"/>
    </row>
    <row r="169" spans="16:18" ht="14.25">
      <c r="P169" s="369"/>
      <c r="Q169" s="369"/>
      <c r="R169" s="369"/>
    </row>
    <row r="170" spans="16:18" ht="14.25">
      <c r="P170" s="369"/>
      <c r="Q170" s="369"/>
      <c r="R170" s="369"/>
    </row>
    <row r="171" spans="16:18" ht="14.25">
      <c r="P171" s="369"/>
      <c r="Q171" s="369"/>
      <c r="R171" s="369"/>
    </row>
    <row r="172" spans="16:18" ht="14.25">
      <c r="P172" s="369"/>
      <c r="Q172" s="369"/>
      <c r="R172" s="369"/>
    </row>
    <row r="173" spans="16:18" ht="14.25">
      <c r="P173" s="369"/>
      <c r="Q173" s="369"/>
      <c r="R173" s="369"/>
    </row>
    <row r="174" spans="16:18" ht="14.25">
      <c r="P174" s="369"/>
      <c r="Q174" s="369"/>
      <c r="R174" s="369"/>
    </row>
    <row r="175" spans="16:18" ht="14.25">
      <c r="P175" s="369"/>
      <c r="Q175" s="369"/>
      <c r="R175" s="369"/>
    </row>
    <row r="176" spans="16:18" ht="14.25">
      <c r="P176" s="369"/>
      <c r="Q176" s="369"/>
      <c r="R176" s="369"/>
    </row>
    <row r="177" spans="16:18" ht="14.25">
      <c r="P177" s="369"/>
      <c r="Q177" s="369"/>
      <c r="R177" s="369"/>
    </row>
    <row r="178" spans="16:18" ht="14.25">
      <c r="P178" s="369"/>
      <c r="Q178" s="369"/>
      <c r="R178" s="369"/>
    </row>
    <row r="179" spans="16:18" ht="14.25">
      <c r="P179" s="369"/>
      <c r="Q179" s="369"/>
      <c r="R179" s="369"/>
    </row>
    <row r="180" spans="16:18" ht="14.25">
      <c r="P180" s="369"/>
      <c r="Q180" s="369"/>
      <c r="R180" s="369"/>
    </row>
    <row r="181" spans="16:18" ht="14.25">
      <c r="P181" s="369"/>
      <c r="Q181" s="369"/>
      <c r="R181" s="369"/>
    </row>
    <row r="182" spans="16:18" ht="14.25">
      <c r="P182" s="369"/>
      <c r="Q182" s="369"/>
      <c r="R182" s="369"/>
    </row>
    <row r="183" spans="16:18" ht="14.25">
      <c r="P183" s="369"/>
      <c r="Q183" s="369"/>
      <c r="R183" s="369"/>
    </row>
    <row r="184" spans="16:18" ht="14.25">
      <c r="P184" s="369"/>
      <c r="Q184" s="369"/>
      <c r="R184" s="369"/>
    </row>
    <row r="185" spans="16:18" ht="14.25">
      <c r="P185" s="369"/>
      <c r="Q185" s="369"/>
      <c r="R185" s="369"/>
    </row>
    <row r="186" spans="16:18" ht="14.25">
      <c r="P186" s="369"/>
      <c r="Q186" s="369"/>
      <c r="R186" s="369"/>
    </row>
    <row r="187" spans="16:18" ht="14.25">
      <c r="P187" s="369"/>
      <c r="Q187" s="369"/>
      <c r="R187" s="369"/>
    </row>
    <row r="188" spans="16:18" ht="14.25">
      <c r="P188" s="369"/>
      <c r="Q188" s="369"/>
      <c r="R188" s="369"/>
    </row>
    <row r="189" spans="16:18" ht="14.25">
      <c r="P189" s="369"/>
      <c r="Q189" s="369"/>
      <c r="R189" s="369"/>
    </row>
    <row r="190" spans="16:18" ht="14.25">
      <c r="P190" s="369"/>
      <c r="Q190" s="369"/>
      <c r="R190" s="369"/>
    </row>
    <row r="191" spans="16:18" ht="14.25">
      <c r="P191" s="369"/>
      <c r="Q191" s="369"/>
      <c r="R191" s="369"/>
    </row>
    <row r="192" spans="16:18" ht="14.25">
      <c r="P192" s="369"/>
      <c r="Q192" s="369"/>
      <c r="R192" s="369"/>
    </row>
    <row r="193" spans="16:18" ht="14.25">
      <c r="P193" s="369"/>
      <c r="Q193" s="369"/>
      <c r="R193" s="369"/>
    </row>
    <row r="194" spans="16:18" ht="14.25">
      <c r="P194" s="369"/>
      <c r="Q194" s="369"/>
      <c r="R194" s="369"/>
    </row>
    <row r="195" spans="16:18" ht="14.25">
      <c r="P195" s="369"/>
      <c r="Q195" s="369"/>
      <c r="R195" s="369"/>
    </row>
    <row r="196" spans="16:18" ht="14.25">
      <c r="P196" s="369"/>
      <c r="Q196" s="369"/>
      <c r="R196" s="369"/>
    </row>
    <row r="197" spans="16:18" ht="14.25">
      <c r="P197" s="369"/>
      <c r="Q197" s="369"/>
      <c r="R197" s="369"/>
    </row>
    <row r="198" spans="16:18" ht="14.25">
      <c r="P198" s="369"/>
      <c r="Q198" s="369"/>
      <c r="R198" s="369"/>
    </row>
    <row r="199" spans="16:18" ht="14.25">
      <c r="P199" s="369"/>
      <c r="Q199" s="369"/>
      <c r="R199" s="369"/>
    </row>
    <row r="200" spans="16:18" ht="14.25">
      <c r="P200" s="369"/>
      <c r="Q200" s="369"/>
      <c r="R200" s="369"/>
    </row>
    <row r="201" spans="16:18" ht="14.25">
      <c r="P201" s="369"/>
      <c r="Q201" s="369"/>
      <c r="R201" s="369"/>
    </row>
    <row r="202" spans="16:18" ht="14.25">
      <c r="P202" s="369"/>
      <c r="Q202" s="369"/>
      <c r="R202" s="369"/>
    </row>
    <row r="203" spans="16:18" ht="14.25">
      <c r="P203" s="369"/>
      <c r="Q203" s="369"/>
      <c r="R203" s="369"/>
    </row>
    <row r="204" spans="16:18" ht="14.25">
      <c r="P204" s="369"/>
      <c r="Q204" s="369"/>
      <c r="R204" s="369"/>
    </row>
    <row r="205" spans="16:18" ht="14.25">
      <c r="P205" s="369"/>
      <c r="Q205" s="369"/>
      <c r="R205" s="369"/>
    </row>
  </sheetData>
  <mergeCells count="209">
    <mergeCell ref="AC35:AC36"/>
    <mergeCell ref="AG35:AG36"/>
    <mergeCell ref="A28:A31"/>
    <mergeCell ref="B28:B31"/>
    <mergeCell ref="A32:A34"/>
    <mergeCell ref="P53:P56"/>
    <mergeCell ref="Q53:Q56"/>
    <mergeCell ref="R53:R56"/>
    <mergeCell ref="K53:K56"/>
    <mergeCell ref="M53:M56"/>
    <mergeCell ref="O53:O56"/>
    <mergeCell ref="H53:H56"/>
    <mergeCell ref="N53:N56"/>
    <mergeCell ref="K50:K51"/>
    <mergeCell ref="M50:M51"/>
    <mergeCell ref="K46:K47"/>
    <mergeCell ref="M46:M47"/>
    <mergeCell ref="B32:B34"/>
    <mergeCell ref="A35:A36"/>
    <mergeCell ref="B35:B36"/>
    <mergeCell ref="K35:K36"/>
    <mergeCell ref="M35:M36"/>
    <mergeCell ref="W35:W36"/>
    <mergeCell ref="AA35:AA36"/>
    <mergeCell ref="A5:A8"/>
    <mergeCell ref="B5:B8"/>
    <mergeCell ref="T2:X2"/>
    <mergeCell ref="Z2:AD2"/>
    <mergeCell ref="AF2:AJ2"/>
    <mergeCell ref="AL2:AP2"/>
    <mergeCell ref="AR2:AV2"/>
    <mergeCell ref="A23:A27"/>
    <mergeCell ref="B23:B27"/>
    <mergeCell ref="K20:K21"/>
    <mergeCell ref="M20:M21"/>
    <mergeCell ref="A20:A21"/>
    <mergeCell ref="B20:B21"/>
    <mergeCell ref="I20:I21"/>
    <mergeCell ref="U20:U21"/>
    <mergeCell ref="A9:A11"/>
    <mergeCell ref="B9:B11"/>
    <mergeCell ref="A12:A14"/>
    <mergeCell ref="B12:B14"/>
    <mergeCell ref="A17:A19"/>
    <mergeCell ref="B17:B19"/>
    <mergeCell ref="K17:K19"/>
    <mergeCell ref="M17:M19"/>
    <mergeCell ref="J2:R2"/>
    <mergeCell ref="BS17:BS19"/>
    <mergeCell ref="BG17:BG19"/>
    <mergeCell ref="BK17:BK19"/>
    <mergeCell ref="BM17:BM19"/>
    <mergeCell ref="BQ17:BQ19"/>
    <mergeCell ref="I17:I19"/>
    <mergeCell ref="U17:U19"/>
    <mergeCell ref="BJ2:BN2"/>
    <mergeCell ref="BP2:BT2"/>
    <mergeCell ref="AX2:BB2"/>
    <mergeCell ref="BD2:BH2"/>
    <mergeCell ref="BV2:BZ2"/>
    <mergeCell ref="W17:W19"/>
    <mergeCell ref="AA17:AA19"/>
    <mergeCell ref="AC17:AC19"/>
    <mergeCell ref="AG17:AG19"/>
    <mergeCell ref="BW17:BW19"/>
    <mergeCell ref="BY17:BY19"/>
    <mergeCell ref="W20:W21"/>
    <mergeCell ref="AA20:AA21"/>
    <mergeCell ref="AC20:AC21"/>
    <mergeCell ref="BA17:BA19"/>
    <mergeCell ref="BE17:BE19"/>
    <mergeCell ref="AI17:AI19"/>
    <mergeCell ref="AM17:AM19"/>
    <mergeCell ref="AO17:AO19"/>
    <mergeCell ref="AS17:AS19"/>
    <mergeCell ref="AU17:AU19"/>
    <mergeCell ref="AY17:AY19"/>
    <mergeCell ref="BQ20:BQ21"/>
    <mergeCell ref="BS20:BS21"/>
    <mergeCell ref="BW20:BW21"/>
    <mergeCell ref="BY20:BY21"/>
    <mergeCell ref="AY20:AY21"/>
    <mergeCell ref="BA20:BA21"/>
    <mergeCell ref="BE20:BE21"/>
    <mergeCell ref="BG20:BG21"/>
    <mergeCell ref="BK20:BK21"/>
    <mergeCell ref="BM20:BM21"/>
    <mergeCell ref="AG20:AG21"/>
    <mergeCell ref="AI20:AI21"/>
    <mergeCell ref="AM20:AM21"/>
    <mergeCell ref="AO20:AO21"/>
    <mergeCell ref="AS20:AS21"/>
    <mergeCell ref="AU20:AU21"/>
    <mergeCell ref="BS35:BS36"/>
    <mergeCell ref="BW35:BW36"/>
    <mergeCell ref="BY35:BY36"/>
    <mergeCell ref="A38:A39"/>
    <mergeCell ref="B38:B39"/>
    <mergeCell ref="I38:I39"/>
    <mergeCell ref="U38:U39"/>
    <mergeCell ref="W38:W39"/>
    <mergeCell ref="AA38:AA39"/>
    <mergeCell ref="AC38:AC39"/>
    <mergeCell ref="BA35:BA36"/>
    <mergeCell ref="BE35:BE36"/>
    <mergeCell ref="BG35:BG36"/>
    <mergeCell ref="BK35:BK36"/>
    <mergeCell ref="BM35:BM36"/>
    <mergeCell ref="BQ35:BQ36"/>
    <mergeCell ref="AI35:AI36"/>
    <mergeCell ref="AM35:AM36"/>
    <mergeCell ref="AO35:AO36"/>
    <mergeCell ref="AS35:AS36"/>
    <mergeCell ref="AU35:AU36"/>
    <mergeCell ref="AY35:AY36"/>
    <mergeCell ref="I35:I36"/>
    <mergeCell ref="U35:U36"/>
    <mergeCell ref="BY38:BY39"/>
    <mergeCell ref="A40:A42"/>
    <mergeCell ref="B40:B42"/>
    <mergeCell ref="AY38:AY39"/>
    <mergeCell ref="BA38:BA39"/>
    <mergeCell ref="BE38:BE39"/>
    <mergeCell ref="BG38:BG39"/>
    <mergeCell ref="BK38:BK39"/>
    <mergeCell ref="BM38:BM39"/>
    <mergeCell ref="AG38:AG39"/>
    <mergeCell ref="AI38:AI39"/>
    <mergeCell ref="AM38:AM39"/>
    <mergeCell ref="AO38:AO39"/>
    <mergeCell ref="AS38:AS39"/>
    <mergeCell ref="AU38:AU39"/>
    <mergeCell ref="K38:K39"/>
    <mergeCell ref="M38:M39"/>
    <mergeCell ref="A43:A45"/>
    <mergeCell ref="B43:B45"/>
    <mergeCell ref="A46:A47"/>
    <mergeCell ref="B46:B47"/>
    <mergeCell ref="I46:I47"/>
    <mergeCell ref="U46:U47"/>
    <mergeCell ref="BQ38:BQ39"/>
    <mergeCell ref="BS38:BS39"/>
    <mergeCell ref="BW38:BW39"/>
    <mergeCell ref="AY46:AY47"/>
    <mergeCell ref="BA46:BA47"/>
    <mergeCell ref="BE46:BE47"/>
    <mergeCell ref="W46:W47"/>
    <mergeCell ref="AA46:AA47"/>
    <mergeCell ref="AC46:AC47"/>
    <mergeCell ref="AG46:AG47"/>
    <mergeCell ref="AI46:AI47"/>
    <mergeCell ref="AM46:AM47"/>
    <mergeCell ref="AU50:AU51"/>
    <mergeCell ref="AY50:AY51"/>
    <mergeCell ref="BA50:BA51"/>
    <mergeCell ref="G54:G56"/>
    <mergeCell ref="BA53:BA56"/>
    <mergeCell ref="BY46:BY47"/>
    <mergeCell ref="A50:A51"/>
    <mergeCell ref="B50:B51"/>
    <mergeCell ref="I50:I51"/>
    <mergeCell ref="U50:U51"/>
    <mergeCell ref="W50:W51"/>
    <mergeCell ref="AA50:AA51"/>
    <mergeCell ref="AC50:AC51"/>
    <mergeCell ref="AG50:AG51"/>
    <mergeCell ref="AI50:AI51"/>
    <mergeCell ref="BG46:BG47"/>
    <mergeCell ref="BK46:BK47"/>
    <mergeCell ref="BM46:BM47"/>
    <mergeCell ref="BQ46:BQ47"/>
    <mergeCell ref="BS46:BS47"/>
    <mergeCell ref="BW46:BW47"/>
    <mergeCell ref="AO46:AO47"/>
    <mergeCell ref="AS46:AS47"/>
    <mergeCell ref="AU46:AU47"/>
    <mergeCell ref="BM53:BM56"/>
    <mergeCell ref="BQ53:BQ56"/>
    <mergeCell ref="BS53:BS56"/>
    <mergeCell ref="BW53:BW56"/>
    <mergeCell ref="BY53:BY56"/>
    <mergeCell ref="BW50:BW51"/>
    <mergeCell ref="BY50:BY51"/>
    <mergeCell ref="A53:A56"/>
    <mergeCell ref="B53:B56"/>
    <mergeCell ref="I53:I56"/>
    <mergeCell ref="U53:U56"/>
    <mergeCell ref="W53:W56"/>
    <mergeCell ref="AA53:AA56"/>
    <mergeCell ref="AC53:AC56"/>
    <mergeCell ref="AG53:AG56"/>
    <mergeCell ref="BE50:BE51"/>
    <mergeCell ref="BG50:BG51"/>
    <mergeCell ref="BK50:BK51"/>
    <mergeCell ref="BM50:BM51"/>
    <mergeCell ref="BQ50:BQ51"/>
    <mergeCell ref="BS50:BS51"/>
    <mergeCell ref="AM50:AM51"/>
    <mergeCell ref="AO50:AO51"/>
    <mergeCell ref="AS50:AS51"/>
    <mergeCell ref="BE53:BE56"/>
    <mergeCell ref="BG53:BG56"/>
    <mergeCell ref="AI53:AI56"/>
    <mergeCell ref="AM53:AM56"/>
    <mergeCell ref="AO53:AO56"/>
    <mergeCell ref="AS53:AS56"/>
    <mergeCell ref="AU53:AU56"/>
    <mergeCell ref="AY53:AY56"/>
    <mergeCell ref="BK53:BK56"/>
  </mergeCells>
  <phoneticPr fontId="3" type="noConversion"/>
  <conditionalFormatting sqref="BZ4:BZ56 AJ4:AJ56 AV4:AV56 BB4:BB56 BH4:BH56 AP4:AP56 AD4:AD56 X4:X56 BN4:BN56 BT4:BT56">
    <cfRule type="cellIs" dxfId="177" priority="418" operator="lessThan">
      <formula>-0.3</formula>
    </cfRule>
    <cfRule type="cellIs" dxfId="176" priority="419" operator="greaterThan">
      <formula>0.3</formula>
    </cfRule>
  </conditionalFormatting>
  <conditionalFormatting sqref="U5 AA5 AG5 AM5 AS5 AY5 BE5 BW5 BK5 AC5 U9 U12 U15:U16 W5 BG5 BM5 BQ5">
    <cfRule type="cellIs" dxfId="175" priority="417" operator="notEqual">
      <formula>$I$5</formula>
    </cfRule>
  </conditionalFormatting>
  <conditionalFormatting sqref="U9 AA9 AG9 AM9 AS9 AY9 BE9 BK9 BQ9 BW9 U12 U15:U16 AI9 BM9">
    <cfRule type="cellIs" dxfId="174" priority="406" operator="notEqual">
      <formula>$I$9</formula>
    </cfRule>
  </conditionalFormatting>
  <conditionalFormatting sqref="U12 AA12 AG12 AM12 AS12 AY12 BE12 BK12 BQ12 BW12 U15:U16">
    <cfRule type="cellIs" dxfId="173" priority="396" operator="notEqual">
      <formula>$I$12</formula>
    </cfRule>
  </conditionalFormatting>
  <conditionalFormatting sqref="BW20:BW21 AA20:AA21 AG20:AG21 AM20:AM21 AS20:AS21 AY20:AY21 BE20:BE21 BK20:BK21 BQ20:BQ21 U20">
    <cfRule type="cellIs" dxfId="172" priority="386" operator="notEqual">
      <formula>$I$20</formula>
    </cfRule>
  </conditionalFormatting>
  <conditionalFormatting sqref="AA22 AG22 AM22 AS22 AY22 BE22 BK22 BQ22 BW22 U22 W22 AC22 AI22 AO22 AU22 BA22 BG22 BM22 BS22 BY22">
    <cfRule type="cellIs" dxfId="171" priority="376" operator="notEqual">
      <formula>$I$22</formula>
    </cfRule>
  </conditionalFormatting>
  <conditionalFormatting sqref="U23 AA23 AG23 AM23 AS23 AY23 BE23 BK23 BQ23 BW23 W23 AC23 AI23 AO23 AU23 BA23 BG23 BM23 BS23 BY23">
    <cfRule type="cellIs" dxfId="170" priority="365" operator="notEqual">
      <formula>$I$23</formula>
    </cfRule>
  </conditionalFormatting>
  <conditionalFormatting sqref="U28 AA28 AG28 AM28 AS28 AY28 BE28 BK28 BQ28 BW28 W28 AC28 AI28 AO28 AU28 BA28 BG28 BM28 BS28 BY28">
    <cfRule type="cellIs" dxfId="169" priority="355" operator="notEqual">
      <formula>$I$28</formula>
    </cfRule>
  </conditionalFormatting>
  <conditionalFormatting sqref="U32 AA32 AG32 AS32 AY32 BE32 BQ32 BW32 W32 AC32 AO32 AU32 BA32 BG32 BM32 BS32 BY32 AI32 BK32 AM32">
    <cfRule type="cellIs" dxfId="168" priority="345" operator="notEqual">
      <formula>$I$32</formula>
    </cfRule>
  </conditionalFormatting>
  <conditionalFormatting sqref="U35:U36 AA35:AA36 AG35:AG36 AM35:AM36 AS35:AS36 AY35:AY36 BE35:BE36 BK35:BK36 BQ35:BQ36 BW35:BW36">
    <cfRule type="cellIs" dxfId="167" priority="335" operator="notEqual">
      <formula>$I$35</formula>
    </cfRule>
  </conditionalFormatting>
  <conditionalFormatting sqref="U38:U39 AA38:AA39 AG38:AG39 AM38:AM39 AS38:AS39 AY38:AY39 BE38:BE39 BK38:BK39 BQ38:BQ39 BW38:BW39 W38:W39 AC38:AC39 AI38:AI39 AO38:AO39 AU38:AU39 BA38:BA39 BG38:BG39 BM38:BM39 BS38:BS39 BY38:BY39">
    <cfRule type="cellIs" dxfId="166" priority="325" operator="notEqual">
      <formula>$I$38</formula>
    </cfRule>
  </conditionalFormatting>
  <conditionalFormatting sqref="U40 AA40 AG40 AM40 AS40 AY40 BE40 BK40 BQ40 BW40 W40 AC40 AI40 AO40 AU40 BA40 BG40 BM40 BS40 BY40">
    <cfRule type="cellIs" dxfId="165" priority="315" operator="notEqual">
      <formula>$I$40</formula>
    </cfRule>
  </conditionalFormatting>
  <conditionalFormatting sqref="U43 AA43 AG43 AM43 AS43 AY43 BE43 BK43 BQ43 BW43 W43 AC43 AI43 AO43 AU43 BA43 BG43 BM43 BS43 BY43">
    <cfRule type="cellIs" dxfId="164" priority="305" operator="notEqual">
      <formula>$I$43</formula>
    </cfRule>
  </conditionalFormatting>
  <conditionalFormatting sqref="U46:U47 AA46:AA47 AG46:AG47 AM46:AM47 AS46:AS47 AY46:AY47 BE46:BE47 BK46:BK47 BQ46:BQ47 BW46:BW47">
    <cfRule type="cellIs" dxfId="163" priority="295" operator="notEqual">
      <formula>$I$46</formula>
    </cfRule>
  </conditionalFormatting>
  <conditionalFormatting sqref="U48 AA48 AG48 AM48 AS48 AY48 BE48 BK48 BQ48 BW48">
    <cfRule type="cellIs" dxfId="162" priority="285" operator="notEqual">
      <formula>$I$48</formula>
    </cfRule>
  </conditionalFormatting>
  <conditionalFormatting sqref="U50:U51 AA50:AA51 AG50:AG51 AM50:AM51 AS50:AS51 AY50:AY51 BE50:BE51 BK50:BK51 BQ50:BQ51 BW50:BW51">
    <cfRule type="cellIs" dxfId="161" priority="275" operator="notEqual">
      <formula>$I$50</formula>
    </cfRule>
  </conditionalFormatting>
  <conditionalFormatting sqref="BZ4:BZ55 X4:X55 AD4:AD55 AP4:AP55 BH4:BH55 BB4:BB55 AV4:AV55 AJ4:AJ55 BN4:BN55 BT4:BT55">
    <cfRule type="cellIs" dxfId="160" priority="264" stopIfTrue="1" operator="lessThanOrEqual">
      <formula>-0.3</formula>
    </cfRule>
    <cfRule type="cellIs" dxfId="159" priority="265" stopIfTrue="1" operator="greaterThanOrEqual">
      <formula>0.3</formula>
    </cfRule>
  </conditionalFormatting>
  <conditionalFormatting sqref="W4 AC4 AI4 AO4 AU4 BA4 BG4 BM4 BS4 BY4">
    <cfRule type="cellIs" dxfId="158" priority="125" operator="notEqual">
      <formula>$I$4</formula>
    </cfRule>
  </conditionalFormatting>
  <conditionalFormatting sqref="W37 AC37 AI37 AO37 AU37 BA37 BG37 BM37 BS37 BY37">
    <cfRule type="cellIs" dxfId="157" priority="120" operator="notEqual">
      <formula>$I$37</formula>
    </cfRule>
  </conditionalFormatting>
  <conditionalFormatting sqref="W46:W47 AC46:AC47 AI46:AI47 AO46:AO47 AU46:AU47 BA46:BA47 BG46:BG47 BM46:BM47 BS46:BS47 BY46:BY47">
    <cfRule type="cellIs" dxfId="156" priority="88" operator="notEqual">
      <formula>6</formula>
    </cfRule>
  </conditionalFormatting>
  <conditionalFormatting sqref="W48 AC48 AI48 AO48 AU48 BA48 BG48 BM48 BS48 BY48">
    <cfRule type="cellIs" dxfId="155" priority="78" operator="notEqual">
      <formula>5</formula>
    </cfRule>
  </conditionalFormatting>
  <conditionalFormatting sqref="W49 AC49 AI49 AO49 AU49 BA49 BG49 BM49 BS49 BY49">
    <cfRule type="cellIs" dxfId="154" priority="68" operator="notEqual">
      <formula>"不扣分"</formula>
    </cfRule>
  </conditionalFormatting>
  <conditionalFormatting sqref="W50:W51 AC50:AC51 AI50:AI51 AO50:AO51 AU50:AU51 BA50:BA51 BG50:BG51 BM50:BM51 BS50:BS51 BY50:BY51">
    <cfRule type="cellIs" dxfId="153" priority="58" operator="notEqual">
      <formula>3</formula>
    </cfRule>
  </conditionalFormatting>
  <conditionalFormatting sqref="W52 AC52 AI52 AO52 AU52 BA52 BG52 BM52 BS52 BY52">
    <cfRule type="cellIs" dxfId="152" priority="47" operator="notEqual">
      <formula>$I$52</formula>
    </cfRule>
  </conditionalFormatting>
  <conditionalFormatting sqref="O4:R48 P50:P53">
    <cfRule type="expression" dxfId="151" priority="36">
      <formula>$O4&lt;&gt;0</formula>
    </cfRule>
  </conditionalFormatting>
  <conditionalFormatting sqref="O50:R53">
    <cfRule type="expression" dxfId="150" priority="35">
      <formula>$O50&lt;&gt;0</formula>
    </cfRule>
  </conditionalFormatting>
  <conditionalFormatting sqref="U4">
    <cfRule type="expression" dxfId="149" priority="33">
      <formula>$U4&lt;&gt;$I4</formula>
    </cfRule>
  </conditionalFormatting>
  <conditionalFormatting sqref="U5">
    <cfRule type="expression" dxfId="148" priority="32">
      <formula>$U5&lt;&gt;$I5</formula>
    </cfRule>
  </conditionalFormatting>
  <conditionalFormatting sqref="U9">
    <cfRule type="expression" dxfId="147" priority="30">
      <formula>$U9&lt;&gt;$I9</formula>
    </cfRule>
  </conditionalFormatting>
  <conditionalFormatting sqref="U12">
    <cfRule type="expression" dxfId="146" priority="27">
      <formula>$U12&lt;&gt;$I12</formula>
    </cfRule>
  </conditionalFormatting>
  <conditionalFormatting sqref="U15:U16">
    <cfRule type="expression" dxfId="145" priority="23">
      <formula>$U15&lt;&gt;$I15</formula>
    </cfRule>
  </conditionalFormatting>
  <conditionalFormatting sqref="U17:U19">
    <cfRule type="expression" dxfId="144" priority="22">
      <formula>$U17&lt;&gt;$I17</formula>
    </cfRule>
  </conditionalFormatting>
  <conditionalFormatting sqref="AG17:AG19">
    <cfRule type="expression" dxfId="143" priority="15" stopIfTrue="1">
      <formula>AG$17&lt;&gt;I$17</formula>
    </cfRule>
  </conditionalFormatting>
  <conditionalFormatting sqref="P50:R53 P65:R65 P5:R48 P60:R61">
    <cfRule type="expression" dxfId="142" priority="8">
      <formula>$I5&gt;$M5</formula>
    </cfRule>
  </conditionalFormatting>
  <conditionalFormatting sqref="P4:R4 R50:R53 P50:P53 R65 R5:R48 P5:P48 R60:R61">
    <cfRule type="expression" dxfId="141" priority="6">
      <formula>$I4&gt;$M4</formula>
    </cfRule>
  </conditionalFormatting>
  <conditionalFormatting sqref="Q50:Q53 Q65 Q5:Q48 Q60:Q61">
    <cfRule type="expression" dxfId="140" priority="5">
      <formula>$I5&gt;$M5</formula>
    </cfRule>
  </conditionalFormatting>
  <conditionalFormatting sqref="R50:R53 R65 R5:R48 R60:R61">
    <cfRule type="expression" dxfId="139" priority="4">
      <formula>$I5&gt;$M5</formula>
    </cfRule>
  </conditionalFormatting>
  <conditionalFormatting sqref="N4:N56">
    <cfRule type="cellIs" dxfId="138" priority="2" operator="lessThan">
      <formula>0</formula>
    </cfRule>
    <cfRule type="cellIs" dxfId="137" priority="3" operator="greaterThan">
      <formula>0</formula>
    </cfRule>
  </conditionalFormatting>
  <dataValidations disablePrompts="1" count="1">
    <dataValidation type="list" allowBlank="1" showInputMessage="1" showErrorMessage="1" sqref="A37:B37 A15:B16 A52:B52">
      <formula1>#REF!</formula1>
    </dataValidation>
  </dataValidations>
  <hyperlinks>
    <hyperlink ref="D69" location="权重!A1" display="权重!A1"/>
    <hyperlink ref="D70" location="目录!A1" display="目录!A1"/>
  </hyperlinks>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sheetPr codeName="Sheet2">
    <tabColor theme="6"/>
  </sheetPr>
  <dimension ref="A1:AA176"/>
  <sheetViews>
    <sheetView workbookViewId="0">
      <pane xSplit="8" ySplit="3" topLeftCell="I4" activePane="bottomRight" state="frozenSplit"/>
      <selection activeCell="C1" sqref="C1"/>
      <selection pane="topRight" activeCell="M1" sqref="M1"/>
      <selection pane="bottomLeft" activeCell="C15" sqref="C15"/>
      <selection pane="bottomRight" activeCell="N14" sqref="N14"/>
    </sheetView>
  </sheetViews>
  <sheetFormatPr defaultColWidth="8.875" defaultRowHeight="16.5" outlineLevelCol="2"/>
  <cols>
    <col min="1" max="1" width="23.25" style="384" hidden="1" customWidth="1" outlineLevel="1"/>
    <col min="2" max="2" width="27.75" style="384" hidden="1" customWidth="1" outlineLevel="1"/>
    <col min="3" max="3" width="5" style="536" customWidth="1" collapsed="1"/>
    <col min="4" max="4" width="35.875" style="384" customWidth="1"/>
    <col min="5" max="5" width="13.125" style="374" hidden="1" customWidth="1" outlineLevel="1"/>
    <col min="6" max="6" width="13.25" style="461" hidden="1" customWidth="1" outlineLevel="2"/>
    <col min="7" max="7" width="13.25" style="532" hidden="1" customWidth="1" outlineLevel="1"/>
    <col min="8" max="8" width="6.5" style="371" customWidth="1" collapsed="1"/>
    <col min="9" max="9" width="17.5" style="374" hidden="1" customWidth="1" outlineLevel="2"/>
    <col min="10" max="10" width="15" style="459" customWidth="1" outlineLevel="1" collapsed="1"/>
    <col min="11" max="11" width="15.25" style="459" customWidth="1" outlineLevel="1"/>
    <col min="12" max="12" width="7.125" style="371" customWidth="1" outlineLevel="1"/>
    <col min="13" max="13" width="7" style="371" customWidth="1" outlineLevel="1"/>
    <col min="14" max="14" width="6.5" style="371" customWidth="1" outlineLevel="1"/>
    <col min="15" max="16" width="6.25" style="371" customWidth="1" outlineLevel="1"/>
    <col min="17" max="17" width="8.125" style="653" bestFit="1" customWidth="1"/>
    <col min="18" max="18" width="11.125" style="559" customWidth="1"/>
    <col min="19" max="19" width="10.75" style="371" customWidth="1"/>
    <col min="20" max="20" width="10.125" style="371" customWidth="1"/>
    <col min="21" max="21" width="9.625" style="371" bestFit="1" customWidth="1"/>
    <col min="22" max="22" width="8.5" style="371" customWidth="1"/>
    <col min="23" max="23" width="11.375" style="371" customWidth="1"/>
    <col min="24" max="24" width="12.625" style="774" customWidth="1"/>
    <col min="25" max="27" width="8.875" style="532"/>
    <col min="28" max="16384" width="8.875" style="371"/>
  </cols>
  <sheetData>
    <row r="1" spans="1:25">
      <c r="A1" s="914"/>
      <c r="B1" s="914"/>
      <c r="C1" s="911" t="s">
        <v>0</v>
      </c>
      <c r="D1" s="914"/>
      <c r="F1" s="914"/>
      <c r="J1" s="729"/>
      <c r="K1" s="729"/>
    </row>
    <row r="2" spans="1:25" ht="16.5" customHeight="1">
      <c r="A2" s="527"/>
      <c r="B2" s="527"/>
      <c r="C2" s="528"/>
      <c r="D2" s="915"/>
      <c r="F2" s="527"/>
      <c r="J2" s="729"/>
      <c r="K2" s="729"/>
      <c r="N2" s="917"/>
      <c r="S2" s="364" t="s">
        <v>1656</v>
      </c>
    </row>
    <row r="3" spans="1:25">
      <c r="A3" s="531" t="s">
        <v>395</v>
      </c>
      <c r="B3" s="531" t="s">
        <v>416</v>
      </c>
      <c r="C3" s="530" t="s">
        <v>184</v>
      </c>
      <c r="D3" s="531" t="s">
        <v>183</v>
      </c>
      <c r="E3" s="531" t="s">
        <v>1523</v>
      </c>
      <c r="F3" s="531" t="s">
        <v>1524</v>
      </c>
      <c r="G3" s="916" t="s">
        <v>1526</v>
      </c>
      <c r="H3" s="531" t="s">
        <v>489</v>
      </c>
      <c r="I3" s="531" t="s">
        <v>1525</v>
      </c>
      <c r="J3" s="605" t="s">
        <v>1421</v>
      </c>
      <c r="K3" s="606" t="s">
        <v>2255</v>
      </c>
      <c r="L3" s="531" t="s">
        <v>1415</v>
      </c>
      <c r="M3" s="531" t="s">
        <v>1416</v>
      </c>
      <c r="N3" s="531" t="s">
        <v>1417</v>
      </c>
      <c r="O3" s="531" t="s">
        <v>1418</v>
      </c>
      <c r="P3" s="531" t="s">
        <v>2070</v>
      </c>
      <c r="Q3" s="578" t="s">
        <v>1100</v>
      </c>
      <c r="R3" s="606" t="s">
        <v>2258</v>
      </c>
      <c r="S3" s="605" t="s">
        <v>2259</v>
      </c>
      <c r="T3" s="531" t="s">
        <v>1101</v>
      </c>
      <c r="U3" s="531" t="s">
        <v>465</v>
      </c>
      <c r="V3" s="533" t="s">
        <v>1601</v>
      </c>
      <c r="W3" s="533" t="s">
        <v>1602</v>
      </c>
      <c r="X3" s="1307" t="s">
        <v>2467</v>
      </c>
    </row>
    <row r="4" spans="1:25">
      <c r="A4" s="1686" t="s">
        <v>1081</v>
      </c>
      <c r="B4" s="1686" t="s">
        <v>470</v>
      </c>
      <c r="C4" s="913">
        <v>1</v>
      </c>
      <c r="D4" s="1416" t="s">
        <v>1</v>
      </c>
      <c r="E4" s="534"/>
      <c r="F4" s="535" t="s">
        <v>398</v>
      </c>
      <c r="G4" s="360" t="s">
        <v>1531</v>
      </c>
      <c r="H4" s="670">
        <v>9</v>
      </c>
      <c r="I4" s="542"/>
      <c r="J4" s="22">
        <v>0.3259974667511083</v>
      </c>
      <c r="K4" s="22">
        <f t="shared" ref="K4:P4" si="0">IF(SUM(K6:K7)=0,"",K5*2/SUM(K6:K7))</f>
        <v>0.25042531473290236</v>
      </c>
      <c r="L4" s="1155">
        <f t="shared" si="0"/>
        <v>0.25680864362889544</v>
      </c>
      <c r="M4" s="1155">
        <f t="shared" si="0"/>
        <v>0.13333333333333333</v>
      </c>
      <c r="N4" s="22">
        <f t="shared" si="0"/>
        <v>0.1471861471861472</v>
      </c>
      <c r="O4" s="22">
        <f t="shared" si="0"/>
        <v>0.10909090909090909</v>
      </c>
      <c r="P4" s="22">
        <f t="shared" si="0"/>
        <v>7.792207792207792E-2</v>
      </c>
      <c r="Q4" s="648">
        <f t="shared" ref="Q4:Q23" si="1">IF(AND(J4=0,K4&lt;&gt;0),1,IF(AND(J4=0,K4=0),0,K4/J4-1))</f>
        <v>-0.23181821862408392</v>
      </c>
      <c r="R4" s="1380" t="str">
        <f>G4</f>
        <v>行业排序评分</v>
      </c>
      <c r="S4" s="360" t="str">
        <f>G4</f>
        <v>行业排序评分</v>
      </c>
      <c r="T4" s="360" t="str">
        <f>"行业排序评分"</f>
        <v>行业排序评分</v>
      </c>
      <c r="U4" s="1457">
        <f>9</f>
        <v>9</v>
      </c>
      <c r="V4" s="1457">
        <f>U4*0.3</f>
        <v>2.6999999999999997</v>
      </c>
      <c r="W4" s="1482">
        <f>V4/9</f>
        <v>0.3</v>
      </c>
      <c r="X4" s="1482">
        <f>W4/2</f>
        <v>0.15</v>
      </c>
    </row>
    <row r="5" spans="1:25">
      <c r="A5" s="1687"/>
      <c r="B5" s="1687"/>
      <c r="C5" s="912">
        <v>1.1000000000000001</v>
      </c>
      <c r="D5" s="921" t="s">
        <v>2482</v>
      </c>
      <c r="E5" s="534" t="s">
        <v>452</v>
      </c>
      <c r="F5" s="535"/>
      <c r="G5" s="922"/>
      <c r="H5" s="923"/>
      <c r="I5" s="542" t="s">
        <v>639</v>
      </c>
      <c r="J5" s="910">
        <v>2059</v>
      </c>
      <c r="K5" s="910">
        <v>1472</v>
      </c>
      <c r="L5" s="622">
        <v>1438</v>
      </c>
      <c r="M5" s="622">
        <v>8</v>
      </c>
      <c r="N5" s="669">
        <v>17</v>
      </c>
      <c r="O5" s="669">
        <v>3</v>
      </c>
      <c r="P5" s="669">
        <v>6</v>
      </c>
      <c r="Q5" s="648">
        <f t="shared" si="1"/>
        <v>-0.28508984944147642</v>
      </c>
      <c r="R5" s="242"/>
      <c r="S5" s="923"/>
      <c r="T5" s="408">
        <f t="shared" ref="T5:T10" si="2">R5-S5</f>
        <v>0</v>
      </c>
      <c r="U5" s="1457">
        <f t="shared" ref="U5:U10" si="3">H5-R5</f>
        <v>0</v>
      </c>
      <c r="V5" s="1457">
        <f t="shared" ref="V5:V36" si="4">U5*0.3</f>
        <v>0</v>
      </c>
      <c r="W5" s="1482">
        <f t="shared" ref="W5:W41" si="5">V5/9</f>
        <v>0</v>
      </c>
      <c r="X5" s="1482">
        <f t="shared" ref="X5:X41" si="6">W5/2</f>
        <v>0</v>
      </c>
    </row>
    <row r="6" spans="1:25">
      <c r="A6" s="1687"/>
      <c r="B6" s="1687"/>
      <c r="C6" s="912">
        <v>1.2</v>
      </c>
      <c r="D6" s="921" t="s">
        <v>2483</v>
      </c>
      <c r="E6" s="534" t="s">
        <v>452</v>
      </c>
      <c r="F6" s="535"/>
      <c r="G6" s="922"/>
      <c r="H6" s="923"/>
      <c r="I6" s="542" t="s">
        <v>639</v>
      </c>
      <c r="J6" s="910">
        <v>6636</v>
      </c>
      <c r="K6" s="1506">
        <v>5996</v>
      </c>
      <c r="L6" s="622">
        <v>5723</v>
      </c>
      <c r="M6" s="622">
        <v>62</v>
      </c>
      <c r="N6" s="669">
        <v>113</v>
      </c>
      <c r="O6" s="669">
        <v>28</v>
      </c>
      <c r="P6" s="669">
        <v>73</v>
      </c>
      <c r="Q6" s="648">
        <f t="shared" si="1"/>
        <v>-9.6443640747438164E-2</v>
      </c>
      <c r="R6" s="242"/>
      <c r="S6" s="923"/>
      <c r="T6" s="408">
        <f t="shared" si="2"/>
        <v>0</v>
      </c>
      <c r="U6" s="1457">
        <f t="shared" si="3"/>
        <v>0</v>
      </c>
      <c r="V6" s="1457">
        <f t="shared" si="4"/>
        <v>0</v>
      </c>
      <c r="W6" s="1482">
        <f t="shared" si="5"/>
        <v>0</v>
      </c>
      <c r="X6" s="1482">
        <f t="shared" si="6"/>
        <v>0</v>
      </c>
    </row>
    <row r="7" spans="1:25">
      <c r="A7" s="1688"/>
      <c r="B7" s="1688"/>
      <c r="C7" s="912">
        <v>1.3</v>
      </c>
      <c r="D7" s="921" t="s">
        <v>189</v>
      </c>
      <c r="E7" s="534" t="s">
        <v>452</v>
      </c>
      <c r="F7" s="535"/>
      <c r="G7" s="922"/>
      <c r="H7" s="923"/>
      <c r="I7" s="542" t="s">
        <v>639</v>
      </c>
      <c r="J7" s="910">
        <v>5996</v>
      </c>
      <c r="K7" s="910">
        <v>5760</v>
      </c>
      <c r="L7" s="622">
        <v>5476</v>
      </c>
      <c r="M7" s="622">
        <v>58</v>
      </c>
      <c r="N7" s="669">
        <v>118</v>
      </c>
      <c r="O7" s="669">
        <v>27</v>
      </c>
      <c r="P7" s="669">
        <v>81</v>
      </c>
      <c r="Q7" s="648">
        <f t="shared" si="1"/>
        <v>-3.9359573048699081E-2</v>
      </c>
      <c r="R7" s="242"/>
      <c r="S7" s="923"/>
      <c r="T7" s="408">
        <f t="shared" si="2"/>
        <v>0</v>
      </c>
      <c r="U7" s="1457">
        <f t="shared" si="3"/>
        <v>0</v>
      </c>
      <c r="V7" s="1457">
        <f t="shared" si="4"/>
        <v>0</v>
      </c>
      <c r="W7" s="1482">
        <f t="shared" si="5"/>
        <v>0</v>
      </c>
      <c r="X7" s="1482">
        <f t="shared" si="6"/>
        <v>0</v>
      </c>
    </row>
    <row r="8" spans="1:25" s="374" customFormat="1" ht="14.25">
      <c r="A8" s="1686" t="s">
        <v>2476</v>
      </c>
      <c r="B8" s="1686" t="s">
        <v>2477</v>
      </c>
      <c r="C8" s="913">
        <v>2</v>
      </c>
      <c r="D8" s="1427" t="s">
        <v>2479</v>
      </c>
      <c r="E8" s="534"/>
      <c r="F8" s="535" t="s">
        <v>400</v>
      </c>
      <c r="G8" s="542" t="s">
        <v>1532</v>
      </c>
      <c r="H8" s="670">
        <v>6</v>
      </c>
      <c r="I8" s="542"/>
      <c r="J8" s="22">
        <v>1</v>
      </c>
      <c r="K8" s="22">
        <f>IF(K9=0,"",K10/K9)</f>
        <v>0.88888888888888884</v>
      </c>
      <c r="L8" s="622"/>
      <c r="M8" s="22">
        <f>IF(M9=0,"",M10/M9)</f>
        <v>1</v>
      </c>
      <c r="N8" s="669"/>
      <c r="O8" s="669"/>
      <c r="P8" s="669"/>
      <c r="Q8" s="648">
        <f t="shared" si="1"/>
        <v>-0.11111111111111116</v>
      </c>
      <c r="R8" s="1430" t="str">
        <f>IF(K8=1,6,"行业水平得分")</f>
        <v>行业水平得分</v>
      </c>
      <c r="S8" s="668">
        <f>IF(J8=1,6,"行业水平得分")</f>
        <v>6</v>
      </c>
      <c r="T8" s="1380">
        <v>6</v>
      </c>
      <c r="U8" s="1457">
        <v>6</v>
      </c>
      <c r="V8" s="1457">
        <f t="shared" si="4"/>
        <v>1.7999999999999998</v>
      </c>
      <c r="W8" s="1482">
        <f t="shared" si="5"/>
        <v>0.19999999999999998</v>
      </c>
      <c r="X8" s="1482">
        <f t="shared" si="6"/>
        <v>9.9999999999999992E-2</v>
      </c>
      <c r="Y8" s="374">
        <f>X8/2</f>
        <v>4.9999999999999996E-2</v>
      </c>
    </row>
    <row r="9" spans="1:25" s="374" customFormat="1" ht="15.6" customHeight="1">
      <c r="A9" s="1687"/>
      <c r="B9" s="1687"/>
      <c r="C9" s="912">
        <v>2.1</v>
      </c>
      <c r="D9" s="1428" t="s">
        <v>1478</v>
      </c>
      <c r="E9" s="534" t="s">
        <v>203</v>
      </c>
      <c r="F9" s="535"/>
      <c r="G9" s="542"/>
      <c r="H9" s="379"/>
      <c r="I9" s="542" t="s">
        <v>217</v>
      </c>
      <c r="J9" s="910">
        <v>8</v>
      </c>
      <c r="K9" s="910">
        <v>9</v>
      </c>
      <c r="L9" s="622"/>
      <c r="M9" s="622">
        <v>2</v>
      </c>
      <c r="N9" s="669"/>
      <c r="O9" s="669"/>
      <c r="P9" s="669"/>
      <c r="Q9" s="648">
        <f t="shared" si="1"/>
        <v>0.125</v>
      </c>
      <c r="R9" s="1380"/>
      <c r="S9" s="379"/>
      <c r="T9" s="408">
        <f t="shared" si="2"/>
        <v>0</v>
      </c>
      <c r="U9" s="1457">
        <f t="shared" si="3"/>
        <v>0</v>
      </c>
      <c r="V9" s="1457">
        <f t="shared" si="4"/>
        <v>0</v>
      </c>
      <c r="W9" s="1482">
        <f t="shared" si="5"/>
        <v>0</v>
      </c>
      <c r="X9" s="1482">
        <f t="shared" si="6"/>
        <v>0</v>
      </c>
    </row>
    <row r="10" spans="1:25" s="374" customFormat="1" ht="15.6" customHeight="1">
      <c r="A10" s="1688"/>
      <c r="B10" s="1688"/>
      <c r="C10" s="912">
        <v>2.2000000000000002</v>
      </c>
      <c r="D10" s="918" t="s">
        <v>2229</v>
      </c>
      <c r="E10" s="534" t="s">
        <v>203</v>
      </c>
      <c r="F10" s="535"/>
      <c r="G10" s="542"/>
      <c r="H10" s="379"/>
      <c r="I10" s="542" t="s">
        <v>217</v>
      </c>
      <c r="J10" s="910">
        <v>8</v>
      </c>
      <c r="K10" s="910">
        <v>8</v>
      </c>
      <c r="L10" s="622"/>
      <c r="M10" s="622">
        <v>2</v>
      </c>
      <c r="N10" s="669"/>
      <c r="O10" s="669"/>
      <c r="P10" s="669"/>
      <c r="Q10" s="648">
        <f t="shared" si="1"/>
        <v>0</v>
      </c>
      <c r="R10" s="1380"/>
      <c r="S10" s="379"/>
      <c r="T10" s="408">
        <f t="shared" si="2"/>
        <v>0</v>
      </c>
      <c r="U10" s="1457">
        <f t="shared" si="3"/>
        <v>0</v>
      </c>
      <c r="V10" s="1457">
        <f t="shared" si="4"/>
        <v>0</v>
      </c>
      <c r="W10" s="1482">
        <f t="shared" si="5"/>
        <v>0</v>
      </c>
      <c r="X10" s="1482">
        <f t="shared" si="6"/>
        <v>0</v>
      </c>
    </row>
    <row r="11" spans="1:25" s="374" customFormat="1" ht="15.6" customHeight="1">
      <c r="A11" s="1686" t="s">
        <v>2481</v>
      </c>
      <c r="B11" s="1686" t="s">
        <v>466</v>
      </c>
      <c r="C11" s="913">
        <v>3</v>
      </c>
      <c r="D11" s="1435" t="s">
        <v>2</v>
      </c>
      <c r="E11" s="534"/>
      <c r="F11" s="535" t="s">
        <v>400</v>
      </c>
      <c r="G11" s="542" t="s">
        <v>1530</v>
      </c>
      <c r="H11" s="670">
        <v>7</v>
      </c>
      <c r="I11" s="542"/>
      <c r="J11" s="22">
        <v>0.76617745163442297</v>
      </c>
      <c r="K11" s="22">
        <f t="shared" ref="K11:P11" si="7">IF(K12=0,"",K13/K12)</f>
        <v>0.74878472222222225</v>
      </c>
      <c r="L11" s="22">
        <f t="shared" si="7"/>
        <v>0.74342585829072316</v>
      </c>
      <c r="M11" s="22">
        <f t="shared" si="7"/>
        <v>0.91379310344827591</v>
      </c>
      <c r="N11" s="22">
        <f t="shared" si="7"/>
        <v>0.73728813559322037</v>
      </c>
      <c r="O11" s="22">
        <f t="shared" si="7"/>
        <v>0.96296296296296291</v>
      </c>
      <c r="P11" s="22">
        <f t="shared" si="7"/>
        <v>0.93827160493827155</v>
      </c>
      <c r="Q11" s="648">
        <f t="shared" si="1"/>
        <v>-2.2700654234992457E-2</v>
      </c>
      <c r="R11" s="1380" t="str">
        <f>G11</f>
        <v>行业排序评分</v>
      </c>
      <c r="S11" s="360" t="str">
        <f>G11</f>
        <v>行业排序评分</v>
      </c>
      <c r="T11" s="360" t="str">
        <f>"行业排序评分"</f>
        <v>行业排序评分</v>
      </c>
      <c r="U11" s="1457">
        <f>7</f>
        <v>7</v>
      </c>
      <c r="V11" s="1457">
        <f t="shared" si="4"/>
        <v>2.1</v>
      </c>
      <c r="W11" s="1482">
        <f t="shared" si="5"/>
        <v>0.23333333333333334</v>
      </c>
      <c r="X11" s="1482">
        <f t="shared" si="6"/>
        <v>0.11666666666666667</v>
      </c>
    </row>
    <row r="12" spans="1:25" s="374" customFormat="1" ht="15.6" customHeight="1">
      <c r="A12" s="1687"/>
      <c r="B12" s="1687"/>
      <c r="C12" s="912">
        <v>3.1</v>
      </c>
      <c r="D12" s="921" t="s">
        <v>2484</v>
      </c>
      <c r="E12" s="534" t="s">
        <v>452</v>
      </c>
      <c r="F12" s="535"/>
      <c r="G12" s="542"/>
      <c r="H12" s="379"/>
      <c r="I12" s="542" t="s">
        <v>639</v>
      </c>
      <c r="J12" s="910">
        <v>5996</v>
      </c>
      <c r="K12" s="910">
        <v>5760</v>
      </c>
      <c r="L12" s="669">
        <v>5476</v>
      </c>
      <c r="M12" s="669">
        <v>58</v>
      </c>
      <c r="N12" s="669">
        <v>118</v>
      </c>
      <c r="O12" s="669">
        <v>27</v>
      </c>
      <c r="P12" s="669">
        <v>81</v>
      </c>
      <c r="Q12" s="648">
        <f t="shared" si="1"/>
        <v>-3.9359573048699081E-2</v>
      </c>
      <c r="R12" s="1380"/>
      <c r="S12" s="379"/>
      <c r="T12" s="408">
        <f>R12-S12</f>
        <v>0</v>
      </c>
      <c r="U12" s="1457">
        <f>H12-R12</f>
        <v>0</v>
      </c>
      <c r="V12" s="1457">
        <f t="shared" si="4"/>
        <v>0</v>
      </c>
      <c r="W12" s="1482">
        <f t="shared" si="5"/>
        <v>0</v>
      </c>
      <c r="X12" s="1482">
        <f t="shared" si="6"/>
        <v>0</v>
      </c>
    </row>
    <row r="13" spans="1:25" s="374" customFormat="1" ht="15.6" customHeight="1">
      <c r="A13" s="1688"/>
      <c r="B13" s="1688"/>
      <c r="C13" s="912">
        <v>3.2</v>
      </c>
      <c r="D13" s="921" t="s">
        <v>2480</v>
      </c>
      <c r="E13" s="534" t="s">
        <v>452</v>
      </c>
      <c r="F13" s="535"/>
      <c r="G13" s="542"/>
      <c r="H13" s="379"/>
      <c r="I13" s="542" t="s">
        <v>639</v>
      </c>
      <c r="J13" s="910">
        <v>4594</v>
      </c>
      <c r="K13" s="910">
        <v>4313</v>
      </c>
      <c r="L13" s="669">
        <v>4071</v>
      </c>
      <c r="M13" s="669">
        <v>53</v>
      </c>
      <c r="N13" s="669">
        <v>87</v>
      </c>
      <c r="O13" s="669">
        <v>26</v>
      </c>
      <c r="P13" s="669">
        <v>76</v>
      </c>
      <c r="Q13" s="648">
        <f t="shared" si="1"/>
        <v>-6.1166739225076205E-2</v>
      </c>
      <c r="R13" s="1380"/>
      <c r="S13" s="379"/>
      <c r="T13" s="408">
        <f>R13-S13</f>
        <v>0</v>
      </c>
      <c r="U13" s="1457">
        <f>H13-R13</f>
        <v>0</v>
      </c>
      <c r="V13" s="1457">
        <f t="shared" si="4"/>
        <v>0</v>
      </c>
      <c r="W13" s="1482">
        <f t="shared" si="5"/>
        <v>0</v>
      </c>
      <c r="X13" s="1482">
        <f t="shared" si="6"/>
        <v>0</v>
      </c>
    </row>
    <row r="14" spans="1:25" s="374" customFormat="1" ht="39.75" customHeight="1">
      <c r="A14" s="1686" t="s">
        <v>471</v>
      </c>
      <c r="B14" s="1686" t="s">
        <v>435</v>
      </c>
      <c r="C14" s="913">
        <v>4</v>
      </c>
      <c r="D14" s="1416" t="s">
        <v>1702</v>
      </c>
      <c r="E14" s="534" t="s">
        <v>452</v>
      </c>
      <c r="F14" s="535" t="s">
        <v>397</v>
      </c>
      <c r="G14" s="1717" t="s">
        <v>1532</v>
      </c>
      <c r="H14" s="1679">
        <v>8</v>
      </c>
      <c r="I14" s="542" t="s">
        <v>640</v>
      </c>
      <c r="J14" s="1504">
        <v>5</v>
      </c>
      <c r="K14" s="1504">
        <v>4</v>
      </c>
      <c r="L14" s="668">
        <v>4</v>
      </c>
      <c r="M14" s="669">
        <v>0</v>
      </c>
      <c r="N14" s="669">
        <v>0</v>
      </c>
      <c r="O14" s="1498"/>
      <c r="P14" s="669">
        <v>0</v>
      </c>
      <c r="Q14" s="1471">
        <f t="shared" si="1"/>
        <v>-0.19999999999999996</v>
      </c>
      <c r="R14" s="1669" t="str">
        <f>IF(K14=0,8,"行业水平得分")</f>
        <v>行业水平得分</v>
      </c>
      <c r="S14" s="1669" t="str">
        <f>IF(J14=0,8,"行业水平得分")</f>
        <v>行业水平得分</v>
      </c>
      <c r="T14" s="1669" t="s">
        <v>2438</v>
      </c>
      <c r="U14" s="1669">
        <v>8</v>
      </c>
      <c r="V14" s="1669">
        <f t="shared" si="4"/>
        <v>2.4</v>
      </c>
      <c r="W14" s="1738">
        <f t="shared" si="5"/>
        <v>0.26666666666666666</v>
      </c>
      <c r="X14" s="1738">
        <f>W14/2</f>
        <v>0.13333333333333333</v>
      </c>
    </row>
    <row r="15" spans="1:25" s="374" customFormat="1" ht="34.5" customHeight="1">
      <c r="A15" s="1688"/>
      <c r="B15" s="1688"/>
      <c r="C15" s="397">
        <v>5</v>
      </c>
      <c r="D15" s="1416" t="s">
        <v>2470</v>
      </c>
      <c r="E15" s="534" t="s">
        <v>958</v>
      </c>
      <c r="F15" s="535" t="s">
        <v>397</v>
      </c>
      <c r="G15" s="1719"/>
      <c r="H15" s="1679"/>
      <c r="I15" s="542" t="s">
        <v>645</v>
      </c>
      <c r="J15" s="878">
        <v>1193905821.5799999</v>
      </c>
      <c r="K15" s="878">
        <v>1040229766.4400001</v>
      </c>
      <c r="L15" s="542"/>
      <c r="M15" s="542"/>
      <c r="N15" s="542"/>
      <c r="O15" s="542"/>
      <c r="P15" s="542"/>
      <c r="Q15" s="1471">
        <f t="shared" si="1"/>
        <v>-0.12871706659125504</v>
      </c>
      <c r="R15" s="1669"/>
      <c r="S15" s="1669"/>
      <c r="T15" s="1669"/>
      <c r="U15" s="1669"/>
      <c r="V15" s="1669"/>
      <c r="W15" s="1738"/>
      <c r="X15" s="1738"/>
    </row>
    <row r="16" spans="1:25" s="374" customFormat="1" ht="14.25">
      <c r="A16" s="1686" t="s">
        <v>1719</v>
      </c>
      <c r="B16" s="1686" t="s">
        <v>2497</v>
      </c>
      <c r="C16" s="913">
        <v>6</v>
      </c>
      <c r="D16" s="1415" t="s">
        <v>1705</v>
      </c>
      <c r="E16" s="534"/>
      <c r="F16" s="535" t="s">
        <v>398</v>
      </c>
      <c r="G16" s="542" t="s">
        <v>1528</v>
      </c>
      <c r="H16" s="670">
        <v>7</v>
      </c>
      <c r="I16" s="542"/>
      <c r="J16" s="1505">
        <v>0.99056183777045681</v>
      </c>
      <c r="K16" s="1505">
        <f t="shared" ref="K16:P16" si="8">IF(K18=0,"",K17/K18)</f>
        <v>0.98805316342276872</v>
      </c>
      <c r="L16" s="22">
        <f t="shared" si="8"/>
        <v>0.99191946860234204</v>
      </c>
      <c r="M16" s="22">
        <f t="shared" si="8"/>
        <v>1</v>
      </c>
      <c r="N16" s="22">
        <f t="shared" si="8"/>
        <v>0.96558704453441291</v>
      </c>
      <c r="O16" s="22">
        <f t="shared" si="8"/>
        <v>0.98007290400972058</v>
      </c>
      <c r="P16" s="22">
        <f t="shared" si="8"/>
        <v>0.9830985915492958</v>
      </c>
      <c r="Q16" s="648">
        <f t="shared" si="1"/>
        <v>-2.5325772223716569E-3</v>
      </c>
      <c r="R16" s="1429">
        <f>70*K16-63</f>
        <v>6.1637214395938145</v>
      </c>
      <c r="S16" s="1429">
        <f>70*J16-63</f>
        <v>6.339328643931978</v>
      </c>
      <c r="T16" s="408">
        <f>R16-S16</f>
        <v>-0.17560720433816357</v>
      </c>
      <c r="U16" s="1482">
        <f>H16-R16</f>
        <v>0.83627856040618553</v>
      </c>
      <c r="V16" s="1482">
        <f t="shared" si="4"/>
        <v>0.25088356812185564</v>
      </c>
      <c r="W16" s="1482">
        <f t="shared" si="5"/>
        <v>2.7875952013539516E-2</v>
      </c>
      <c r="X16" s="1482">
        <f t="shared" si="6"/>
        <v>1.3937976006769758E-2</v>
      </c>
    </row>
    <row r="17" spans="1:24" s="374" customFormat="1" ht="15.6" customHeight="1">
      <c r="A17" s="1687"/>
      <c r="B17" s="1687"/>
      <c r="C17" s="912">
        <v>6.1</v>
      </c>
      <c r="D17" s="921" t="s">
        <v>2214</v>
      </c>
      <c r="E17" s="534" t="s">
        <v>203</v>
      </c>
      <c r="F17" s="535"/>
      <c r="G17" s="542"/>
      <c r="H17" s="542"/>
      <c r="I17" s="542" t="s">
        <v>218</v>
      </c>
      <c r="J17" s="994">
        <v>22250</v>
      </c>
      <c r="K17" s="994">
        <v>19849</v>
      </c>
      <c r="L17" s="669">
        <v>14485</v>
      </c>
      <c r="M17" s="669">
        <v>28</v>
      </c>
      <c r="N17" s="669">
        <v>954</v>
      </c>
      <c r="O17" s="669">
        <v>4033</v>
      </c>
      <c r="P17" s="669">
        <v>349</v>
      </c>
      <c r="Q17" s="648">
        <f t="shared" si="1"/>
        <v>-0.10791011235955061</v>
      </c>
      <c r="R17" s="728"/>
      <c r="S17" s="416"/>
      <c r="T17" s="408">
        <f>R17-S17</f>
        <v>0</v>
      </c>
      <c r="U17" s="1482">
        <f>H17-R17</f>
        <v>0</v>
      </c>
      <c r="V17" s="1482">
        <f t="shared" si="4"/>
        <v>0</v>
      </c>
      <c r="W17" s="1482">
        <f t="shared" si="5"/>
        <v>0</v>
      </c>
      <c r="X17" s="1482">
        <f t="shared" si="6"/>
        <v>0</v>
      </c>
    </row>
    <row r="18" spans="1:24" s="374" customFormat="1" ht="15.6" customHeight="1">
      <c r="A18" s="1688"/>
      <c r="B18" s="1688"/>
      <c r="C18" s="912">
        <v>6.2</v>
      </c>
      <c r="D18" s="921" t="s">
        <v>2215</v>
      </c>
      <c r="E18" s="534" t="s">
        <v>203</v>
      </c>
      <c r="F18" s="535"/>
      <c r="G18" s="542"/>
      <c r="H18" s="542"/>
      <c r="I18" s="542" t="s">
        <v>218</v>
      </c>
      <c r="J18" s="994">
        <v>22462</v>
      </c>
      <c r="K18" s="994">
        <v>20089</v>
      </c>
      <c r="L18" s="669">
        <v>14603</v>
      </c>
      <c r="M18" s="669">
        <v>28</v>
      </c>
      <c r="N18" s="669">
        <v>988</v>
      </c>
      <c r="O18" s="669">
        <v>4115</v>
      </c>
      <c r="P18" s="669">
        <v>355</v>
      </c>
      <c r="Q18" s="648">
        <f t="shared" si="1"/>
        <v>-0.10564508948446261</v>
      </c>
      <c r="R18" s="1380"/>
      <c r="S18" s="379"/>
      <c r="T18" s="408">
        <f>R18-S18</f>
        <v>0</v>
      </c>
      <c r="U18" s="1482">
        <f>H18-R18</f>
        <v>0</v>
      </c>
      <c r="V18" s="1482">
        <f t="shared" si="4"/>
        <v>0</v>
      </c>
      <c r="W18" s="1482">
        <f t="shared" si="5"/>
        <v>0</v>
      </c>
      <c r="X18" s="1482">
        <f t="shared" si="6"/>
        <v>0</v>
      </c>
    </row>
    <row r="19" spans="1:24" s="385" customFormat="1" ht="14.25">
      <c r="A19" s="1686" t="s">
        <v>472</v>
      </c>
      <c r="B19" s="1686" t="s">
        <v>467</v>
      </c>
      <c r="C19" s="924">
        <v>7</v>
      </c>
      <c r="D19" s="1416" t="s">
        <v>1706</v>
      </c>
      <c r="E19" s="925"/>
      <c r="F19" s="535" t="s">
        <v>398</v>
      </c>
      <c r="G19" s="379" t="s">
        <v>1530</v>
      </c>
      <c r="H19" s="670">
        <v>7</v>
      </c>
      <c r="I19" s="379"/>
      <c r="J19" s="1505">
        <v>8.777062609713282E-3</v>
      </c>
      <c r="K19" s="1505">
        <f t="shared" ref="K19:P19" si="9">IF(K21=0,"",K20/K21)</f>
        <v>8.6975620470019759E-3</v>
      </c>
      <c r="L19" s="22">
        <f t="shared" si="9"/>
        <v>8.4369726892069251E-3</v>
      </c>
      <c r="M19" s="22">
        <f t="shared" si="9"/>
        <v>0</v>
      </c>
      <c r="N19" s="22">
        <f t="shared" si="9"/>
        <v>2.9456193353474321E-2</v>
      </c>
      <c r="O19" s="22">
        <f t="shared" si="9"/>
        <v>4.1289815178922528E-3</v>
      </c>
      <c r="P19" s="22">
        <f t="shared" si="9"/>
        <v>9.202453987730062E-3</v>
      </c>
      <c r="Q19" s="22">
        <f t="shared" si="1"/>
        <v>-9.0577641115747731E-3</v>
      </c>
      <c r="R19" s="1380" t="str">
        <f>G19</f>
        <v>行业排序评分</v>
      </c>
      <c r="S19" s="360" t="str">
        <f>G19</f>
        <v>行业排序评分</v>
      </c>
      <c r="T19" s="360" t="str">
        <f>"行业排序评分"</f>
        <v>行业排序评分</v>
      </c>
      <c r="U19" s="1482">
        <v>7</v>
      </c>
      <c r="V19" s="1482">
        <f t="shared" si="4"/>
        <v>2.1</v>
      </c>
      <c r="W19" s="1482">
        <f t="shared" si="5"/>
        <v>0.23333333333333334</v>
      </c>
      <c r="X19" s="1482">
        <f t="shared" si="6"/>
        <v>0.11666666666666667</v>
      </c>
    </row>
    <row r="20" spans="1:24" s="374" customFormat="1" ht="15" customHeight="1">
      <c r="A20" s="1687"/>
      <c r="B20" s="1687"/>
      <c r="C20" s="912">
        <v>7.1</v>
      </c>
      <c r="D20" s="921" t="s">
        <v>1707</v>
      </c>
      <c r="E20" s="534" t="s">
        <v>203</v>
      </c>
      <c r="F20" s="535"/>
      <c r="G20" s="542"/>
      <c r="H20" s="379"/>
      <c r="I20" s="542"/>
      <c r="J20" s="1502">
        <v>195</v>
      </c>
      <c r="K20" s="1502">
        <v>198</v>
      </c>
      <c r="L20" s="669">
        <v>135</v>
      </c>
      <c r="M20" s="669">
        <v>0</v>
      </c>
      <c r="N20" s="669">
        <v>39</v>
      </c>
      <c r="O20" s="669">
        <v>21</v>
      </c>
      <c r="P20" s="669">
        <v>3</v>
      </c>
      <c r="Q20" s="648">
        <f t="shared" si="1"/>
        <v>1.538461538461533E-2</v>
      </c>
      <c r="R20" s="1380"/>
      <c r="S20" s="379"/>
      <c r="T20" s="408">
        <f t="shared" ref="T20:T31" si="10">R20-S20</f>
        <v>0</v>
      </c>
      <c r="U20" s="1482">
        <f>H20-R20</f>
        <v>0</v>
      </c>
      <c r="V20" s="1482">
        <f t="shared" si="4"/>
        <v>0</v>
      </c>
      <c r="W20" s="1482">
        <f t="shared" si="5"/>
        <v>0</v>
      </c>
      <c r="X20" s="1482">
        <f t="shared" si="6"/>
        <v>0</v>
      </c>
    </row>
    <row r="21" spans="1:24" s="374" customFormat="1" ht="15.6" customHeight="1">
      <c r="A21" s="1688"/>
      <c r="B21" s="1688"/>
      <c r="C21" s="912">
        <v>7.2</v>
      </c>
      <c r="D21" s="921" t="s">
        <v>1708</v>
      </c>
      <c r="E21" s="534" t="s">
        <v>203</v>
      </c>
      <c r="F21" s="535"/>
      <c r="G21" s="542"/>
      <c r="H21" s="379"/>
      <c r="I21" s="542"/>
      <c r="J21" s="1502">
        <v>22217</v>
      </c>
      <c r="K21" s="1502">
        <v>22765</v>
      </c>
      <c r="L21" s="669">
        <v>16001</v>
      </c>
      <c r="M21" s="669">
        <v>28</v>
      </c>
      <c r="N21" s="669">
        <v>1324</v>
      </c>
      <c r="O21" s="669">
        <v>5086</v>
      </c>
      <c r="P21" s="669">
        <v>326</v>
      </c>
      <c r="Q21" s="648">
        <f t="shared" si="1"/>
        <v>2.4665796462168599E-2</v>
      </c>
      <c r="R21" s="1380"/>
      <c r="S21" s="379"/>
      <c r="T21" s="408">
        <f t="shared" si="10"/>
        <v>0</v>
      </c>
      <c r="U21" s="1482">
        <f>H21-R21</f>
        <v>0</v>
      </c>
      <c r="V21" s="1482">
        <f t="shared" si="4"/>
        <v>0</v>
      </c>
      <c r="W21" s="1482">
        <f t="shared" si="5"/>
        <v>0</v>
      </c>
      <c r="X21" s="1482">
        <f t="shared" si="6"/>
        <v>0</v>
      </c>
    </row>
    <row r="22" spans="1:24" s="374" customFormat="1" ht="15.6" customHeight="1">
      <c r="A22" s="570" t="s">
        <v>2175</v>
      </c>
      <c r="B22" s="570" t="s">
        <v>233</v>
      </c>
      <c r="C22" s="913">
        <v>8</v>
      </c>
      <c r="D22" s="595" t="s">
        <v>2488</v>
      </c>
      <c r="E22" s="925" t="s">
        <v>454</v>
      </c>
      <c r="F22" s="535" t="s">
        <v>449</v>
      </c>
      <c r="G22" s="542" t="s">
        <v>1528</v>
      </c>
      <c r="H22" s="670">
        <v>4</v>
      </c>
      <c r="I22" s="568"/>
      <c r="J22" s="1500">
        <v>3</v>
      </c>
      <c r="K22" s="1500">
        <v>3</v>
      </c>
      <c r="L22" s="669">
        <v>3</v>
      </c>
      <c r="M22" s="669">
        <v>0</v>
      </c>
      <c r="N22" s="669">
        <v>0</v>
      </c>
      <c r="O22" s="669">
        <v>0</v>
      </c>
      <c r="P22" s="669"/>
      <c r="Q22" s="648">
        <f t="shared" si="1"/>
        <v>0</v>
      </c>
      <c r="R22" s="1430">
        <f>$H$22-0.5*K22</f>
        <v>2.5</v>
      </c>
      <c r="S22" s="1430">
        <f>$H$22-0.5*J22</f>
        <v>2.5</v>
      </c>
      <c r="T22" s="401">
        <f t="shared" si="10"/>
        <v>0</v>
      </c>
      <c r="U22" s="1482">
        <f>H22-R22</f>
        <v>1.5</v>
      </c>
      <c r="V22" s="1482">
        <f t="shared" si="4"/>
        <v>0.44999999999999996</v>
      </c>
      <c r="W22" s="1482">
        <f t="shared" si="5"/>
        <v>4.9999999999999996E-2</v>
      </c>
      <c r="X22" s="1482">
        <f t="shared" si="6"/>
        <v>2.4999999999999998E-2</v>
      </c>
    </row>
    <row r="23" spans="1:24" s="374" customFormat="1" ht="15.6" customHeight="1">
      <c r="A23" s="570" t="s">
        <v>2002</v>
      </c>
      <c r="B23" s="570" t="s">
        <v>2030</v>
      </c>
      <c r="C23" s="913">
        <v>9</v>
      </c>
      <c r="D23" s="1415" t="s">
        <v>1823</v>
      </c>
      <c r="E23" s="925" t="s">
        <v>454</v>
      </c>
      <c r="F23" s="535" t="s">
        <v>449</v>
      </c>
      <c r="G23" s="542" t="s">
        <v>1529</v>
      </c>
      <c r="H23" s="670">
        <v>4</v>
      </c>
      <c r="I23" s="568"/>
      <c r="J23" s="994">
        <v>2</v>
      </c>
      <c r="K23" s="994">
        <v>3</v>
      </c>
      <c r="L23" s="668">
        <v>3</v>
      </c>
      <c r="M23" s="669">
        <v>0</v>
      </c>
      <c r="N23" s="669">
        <v>0</v>
      </c>
      <c r="O23" s="669">
        <v>0</v>
      </c>
      <c r="P23" s="669"/>
      <c r="Q23" s="648">
        <f t="shared" si="1"/>
        <v>0.5</v>
      </c>
      <c r="R23" s="1430">
        <f>$H$23-0.5*K23</f>
        <v>2.5</v>
      </c>
      <c r="S23" s="1430">
        <f>$H$23-0.5*J23</f>
        <v>3</v>
      </c>
      <c r="T23" s="408">
        <f t="shared" si="10"/>
        <v>-0.5</v>
      </c>
      <c r="U23" s="1482">
        <f>H23-R23</f>
        <v>1.5</v>
      </c>
      <c r="V23" s="1482">
        <f t="shared" si="4"/>
        <v>0.44999999999999996</v>
      </c>
      <c r="W23" s="1482">
        <f t="shared" si="5"/>
        <v>4.9999999999999996E-2</v>
      </c>
      <c r="X23" s="1482">
        <f t="shared" si="6"/>
        <v>2.4999999999999998E-2</v>
      </c>
    </row>
    <row r="24" spans="1:24" s="374" customFormat="1" ht="15.6" customHeight="1">
      <c r="A24" s="1686" t="s">
        <v>235</v>
      </c>
      <c r="B24" s="1686" t="s">
        <v>236</v>
      </c>
      <c r="C24" s="913">
        <v>10</v>
      </c>
      <c r="D24" s="410" t="s">
        <v>4</v>
      </c>
      <c r="E24" s="534"/>
      <c r="F24" s="535" t="s">
        <v>398</v>
      </c>
      <c r="G24" s="542" t="s">
        <v>1530</v>
      </c>
      <c r="H24" s="670">
        <v>3</v>
      </c>
      <c r="I24" s="542"/>
      <c r="J24" s="878" t="s">
        <v>1368</v>
      </c>
      <c r="K24" s="878" t="s">
        <v>1368</v>
      </c>
      <c r="L24" s="542"/>
      <c r="M24" s="542"/>
      <c r="N24" s="542"/>
      <c r="O24" s="542"/>
      <c r="P24" s="542"/>
      <c r="Q24" s="648"/>
      <c r="R24" s="1380" t="s">
        <v>1651</v>
      </c>
      <c r="S24" s="668" t="s">
        <v>1651</v>
      </c>
      <c r="T24" s="408">
        <v>0</v>
      </c>
      <c r="U24" s="1482"/>
      <c r="V24" s="1482">
        <f t="shared" si="4"/>
        <v>0</v>
      </c>
      <c r="W24" s="1482">
        <f t="shared" si="5"/>
        <v>0</v>
      </c>
      <c r="X24" s="1482">
        <f t="shared" si="6"/>
        <v>0</v>
      </c>
    </row>
    <row r="25" spans="1:24" s="374" customFormat="1" ht="15.6" customHeight="1">
      <c r="A25" s="1687"/>
      <c r="B25" s="1687"/>
      <c r="C25" s="912">
        <v>10.1</v>
      </c>
      <c r="D25" s="921" t="s">
        <v>5</v>
      </c>
      <c r="E25" s="534"/>
      <c r="F25" s="535"/>
      <c r="G25" s="542"/>
      <c r="H25" s="542"/>
      <c r="I25" s="542"/>
      <c r="J25" s="878" t="s">
        <v>1368</v>
      </c>
      <c r="K25" s="878" t="s">
        <v>1368</v>
      </c>
      <c r="L25" s="542"/>
      <c r="M25" s="542"/>
      <c r="N25" s="542"/>
      <c r="O25" s="542"/>
      <c r="P25" s="542"/>
      <c r="Q25" s="648"/>
      <c r="R25" s="1382"/>
      <c r="S25" s="542"/>
      <c r="T25" s="408">
        <f t="shared" si="10"/>
        <v>0</v>
      </c>
      <c r="U25" s="1482">
        <f t="shared" ref="U25:U31" si="11">H25-R25</f>
        <v>0</v>
      </c>
      <c r="V25" s="1482">
        <f t="shared" si="4"/>
        <v>0</v>
      </c>
      <c r="W25" s="1482">
        <f t="shared" si="5"/>
        <v>0</v>
      </c>
      <c r="X25" s="1482">
        <f t="shared" si="6"/>
        <v>0</v>
      </c>
    </row>
    <row r="26" spans="1:24" s="374" customFormat="1" ht="15.6" customHeight="1">
      <c r="A26" s="1688"/>
      <c r="B26" s="1688"/>
      <c r="C26" s="912">
        <v>10.199999999999999</v>
      </c>
      <c r="D26" s="921" t="s">
        <v>6</v>
      </c>
      <c r="E26" s="534"/>
      <c r="F26" s="535"/>
      <c r="G26" s="542"/>
      <c r="H26" s="542"/>
      <c r="I26" s="542"/>
      <c r="J26" s="878" t="s">
        <v>1368</v>
      </c>
      <c r="K26" s="878" t="s">
        <v>1368</v>
      </c>
      <c r="L26" s="542"/>
      <c r="M26" s="542"/>
      <c r="N26" s="542"/>
      <c r="O26" s="542"/>
      <c r="P26" s="542"/>
      <c r="Q26" s="648"/>
      <c r="R26" s="1382"/>
      <c r="S26" s="542"/>
      <c r="T26" s="408">
        <f t="shared" si="10"/>
        <v>0</v>
      </c>
      <c r="U26" s="1482">
        <f t="shared" si="11"/>
        <v>0</v>
      </c>
      <c r="V26" s="1482">
        <f t="shared" si="4"/>
        <v>0</v>
      </c>
      <c r="W26" s="1482">
        <f t="shared" si="5"/>
        <v>0</v>
      </c>
      <c r="X26" s="1482">
        <f t="shared" si="6"/>
        <v>0</v>
      </c>
    </row>
    <row r="27" spans="1:24" s="374" customFormat="1" ht="15.6" customHeight="1">
      <c r="A27" s="570" t="s">
        <v>2177</v>
      </c>
      <c r="B27" s="570" t="s">
        <v>234</v>
      </c>
      <c r="C27" s="913">
        <v>11</v>
      </c>
      <c r="D27" s="434" t="s">
        <v>1670</v>
      </c>
      <c r="E27" s="534" t="s">
        <v>1431</v>
      </c>
      <c r="F27" s="535" t="s">
        <v>449</v>
      </c>
      <c r="G27" s="542" t="s">
        <v>1529</v>
      </c>
      <c r="H27" s="670">
        <v>5</v>
      </c>
      <c r="I27" s="542" t="s">
        <v>959</v>
      </c>
      <c r="J27" s="994">
        <v>1</v>
      </c>
      <c r="K27" s="994">
        <v>0</v>
      </c>
      <c r="L27" s="542">
        <v>0</v>
      </c>
      <c r="M27" s="542">
        <v>0</v>
      </c>
      <c r="N27" s="542">
        <v>0</v>
      </c>
      <c r="O27" s="542">
        <v>0</v>
      </c>
      <c r="P27" s="542">
        <v>0</v>
      </c>
      <c r="Q27" s="648">
        <f>IF(AND(J27=0,K27&lt;&gt;0),1,IF(AND(J27=0,K27=0),0,K27/J27-1))</f>
        <v>-1</v>
      </c>
      <c r="R27" s="1380">
        <f>MAX(5-K27*0.5,0)</f>
        <v>5</v>
      </c>
      <c r="S27" s="1430">
        <f>MAX(5-J27*0.5,0)</f>
        <v>4.5</v>
      </c>
      <c r="T27" s="408">
        <f t="shared" si="10"/>
        <v>0.5</v>
      </c>
      <c r="U27" s="1482">
        <f t="shared" si="11"/>
        <v>0</v>
      </c>
      <c r="V27" s="1482">
        <f t="shared" si="4"/>
        <v>0</v>
      </c>
      <c r="W27" s="1482">
        <f t="shared" si="5"/>
        <v>0</v>
      </c>
      <c r="X27" s="1482">
        <f t="shared" si="6"/>
        <v>0</v>
      </c>
    </row>
    <row r="28" spans="1:24" s="374" customFormat="1" ht="15.6" customHeight="1">
      <c r="A28" s="570" t="s">
        <v>237</v>
      </c>
      <c r="B28" s="570" t="s">
        <v>234</v>
      </c>
      <c r="C28" s="913">
        <v>12</v>
      </c>
      <c r="D28" s="410" t="s">
        <v>1824</v>
      </c>
      <c r="E28" s="534" t="s">
        <v>1431</v>
      </c>
      <c r="F28" s="535" t="s">
        <v>449</v>
      </c>
      <c r="G28" s="542" t="s">
        <v>1528</v>
      </c>
      <c r="H28" s="670">
        <v>5</v>
      </c>
      <c r="I28" s="542" t="s">
        <v>959</v>
      </c>
      <c r="J28" s="1502">
        <v>0</v>
      </c>
      <c r="K28" s="1502">
        <v>0</v>
      </c>
      <c r="L28" s="542">
        <v>0</v>
      </c>
      <c r="M28" s="542">
        <v>0</v>
      </c>
      <c r="N28" s="542">
        <v>0</v>
      </c>
      <c r="O28" s="542">
        <v>0</v>
      </c>
      <c r="P28" s="542">
        <v>0</v>
      </c>
      <c r="Q28" s="648">
        <f>IF(AND(J28=0,K28&lt;&gt;0),1,IF(AND(J28=0,K28=0),0,K28/J28-1))</f>
        <v>0</v>
      </c>
      <c r="R28" s="1380">
        <f>MAX(5-K28*0.5,0)</f>
        <v>5</v>
      </c>
      <c r="S28" s="668">
        <f>MAX(5-J28*0.5,0)</f>
        <v>5</v>
      </c>
      <c r="T28" s="408">
        <f t="shared" si="10"/>
        <v>0</v>
      </c>
      <c r="U28" s="1482">
        <f t="shared" si="11"/>
        <v>0</v>
      </c>
      <c r="V28" s="1482">
        <f t="shared" si="4"/>
        <v>0</v>
      </c>
      <c r="W28" s="1482">
        <f t="shared" si="5"/>
        <v>0</v>
      </c>
      <c r="X28" s="1482">
        <f t="shared" si="6"/>
        <v>0</v>
      </c>
    </row>
    <row r="29" spans="1:24" s="374" customFormat="1" ht="15.6" customHeight="1">
      <c r="A29" s="570" t="s">
        <v>238</v>
      </c>
      <c r="B29" s="570" t="s">
        <v>234</v>
      </c>
      <c r="C29" s="913">
        <v>13</v>
      </c>
      <c r="D29" s="410" t="s">
        <v>2178</v>
      </c>
      <c r="E29" s="534" t="s">
        <v>453</v>
      </c>
      <c r="F29" s="535" t="s">
        <v>449</v>
      </c>
      <c r="G29" s="542" t="s">
        <v>1528</v>
      </c>
      <c r="H29" s="670">
        <v>5</v>
      </c>
      <c r="I29" s="542"/>
      <c r="J29" s="1502">
        <v>0</v>
      </c>
      <c r="K29" s="1502">
        <v>0</v>
      </c>
      <c r="L29" s="542">
        <v>0</v>
      </c>
      <c r="M29" s="542">
        <v>0</v>
      </c>
      <c r="N29" s="542">
        <v>0</v>
      </c>
      <c r="O29" s="542">
        <v>0</v>
      </c>
      <c r="P29" s="542">
        <v>0</v>
      </c>
      <c r="Q29" s="648">
        <f>IF(AND(J29=0,K29&lt;&gt;0),1,IF(AND(J29=0,K29=0),0,K29/J29-1))</f>
        <v>0</v>
      </c>
      <c r="R29" s="1380">
        <f>MAX(5-K29*0.5,0)</f>
        <v>5</v>
      </c>
      <c r="S29" s="668">
        <f>MAX(5-J29*0.5,0)</f>
        <v>5</v>
      </c>
      <c r="T29" s="408">
        <f t="shared" si="10"/>
        <v>0</v>
      </c>
      <c r="U29" s="1482">
        <f t="shared" si="11"/>
        <v>0</v>
      </c>
      <c r="V29" s="1482">
        <f t="shared" si="4"/>
        <v>0</v>
      </c>
      <c r="W29" s="1482">
        <f t="shared" si="5"/>
        <v>0</v>
      </c>
      <c r="X29" s="1482">
        <f t="shared" si="6"/>
        <v>0</v>
      </c>
    </row>
    <row r="30" spans="1:24" s="374" customFormat="1" ht="15.6" customHeight="1">
      <c r="A30" s="570" t="s">
        <v>2179</v>
      </c>
      <c r="B30" s="570" t="s">
        <v>234</v>
      </c>
      <c r="C30" s="913">
        <v>14</v>
      </c>
      <c r="D30" s="410" t="s">
        <v>1827</v>
      </c>
      <c r="E30" s="534" t="s">
        <v>453</v>
      </c>
      <c r="F30" s="535" t="s">
        <v>449</v>
      </c>
      <c r="G30" s="542" t="s">
        <v>1528</v>
      </c>
      <c r="H30" s="670">
        <v>5</v>
      </c>
      <c r="I30" s="542"/>
      <c r="J30" s="1502">
        <v>0</v>
      </c>
      <c r="K30" s="1502">
        <v>0</v>
      </c>
      <c r="L30" s="542">
        <v>0</v>
      </c>
      <c r="M30" s="542">
        <v>0</v>
      </c>
      <c r="N30" s="542">
        <v>0</v>
      </c>
      <c r="O30" s="542">
        <v>0</v>
      </c>
      <c r="P30" s="542">
        <v>0</v>
      </c>
      <c r="Q30" s="648">
        <f>IF(AND(J30=0,K30&lt;&gt;0),1,IF(AND(J30=0,K30=0),0,K30/J30-1))</f>
        <v>0</v>
      </c>
      <c r="R30" s="1380">
        <f>MAX(5-K30*0.5,0)</f>
        <v>5</v>
      </c>
      <c r="S30" s="668">
        <f>MAX(5-J30*0.5,0)</f>
        <v>5</v>
      </c>
      <c r="T30" s="408">
        <f t="shared" si="10"/>
        <v>0</v>
      </c>
      <c r="U30" s="1482">
        <f t="shared" si="11"/>
        <v>0</v>
      </c>
      <c r="V30" s="1482">
        <f t="shared" si="4"/>
        <v>0</v>
      </c>
      <c r="W30" s="1482">
        <f t="shared" si="5"/>
        <v>0</v>
      </c>
      <c r="X30" s="1482">
        <f t="shared" si="6"/>
        <v>0</v>
      </c>
    </row>
    <row r="31" spans="1:24" s="465" customFormat="1" ht="15.6" customHeight="1">
      <c r="A31" s="1689" t="s">
        <v>239</v>
      </c>
      <c r="B31" s="1732" t="s">
        <v>240</v>
      </c>
      <c r="C31" s="913">
        <v>15</v>
      </c>
      <c r="D31" s="471" t="s">
        <v>7</v>
      </c>
      <c r="E31" s="534" t="s">
        <v>455</v>
      </c>
      <c r="F31" s="535" t="s">
        <v>400</v>
      </c>
      <c r="G31" s="1677" t="s">
        <v>1528</v>
      </c>
      <c r="H31" s="1679">
        <v>5</v>
      </c>
      <c r="I31" s="414"/>
      <c r="J31" s="756" t="s">
        <v>8</v>
      </c>
      <c r="K31" s="756" t="s">
        <v>8</v>
      </c>
      <c r="L31" s="414" t="s">
        <v>8</v>
      </c>
      <c r="M31" s="414" t="s">
        <v>9</v>
      </c>
      <c r="N31" s="414"/>
      <c r="O31" s="414"/>
      <c r="P31" s="414"/>
      <c r="Q31" s="1734">
        <v>0</v>
      </c>
      <c r="R31" s="1669">
        <v>5</v>
      </c>
      <c r="S31" s="1669">
        <v>5</v>
      </c>
      <c r="T31" s="408">
        <f t="shared" si="10"/>
        <v>0</v>
      </c>
      <c r="U31" s="1482">
        <f t="shared" si="11"/>
        <v>0</v>
      </c>
      <c r="V31" s="1482">
        <f t="shared" si="4"/>
        <v>0</v>
      </c>
      <c r="W31" s="1482">
        <f t="shared" si="5"/>
        <v>0</v>
      </c>
      <c r="X31" s="1482">
        <f t="shared" si="6"/>
        <v>0</v>
      </c>
    </row>
    <row r="32" spans="1:24" s="465" customFormat="1" ht="15.6" customHeight="1">
      <c r="A32" s="1691"/>
      <c r="B32" s="1733"/>
      <c r="C32" s="913">
        <v>16</v>
      </c>
      <c r="D32" s="471" t="s">
        <v>10</v>
      </c>
      <c r="E32" s="534" t="s">
        <v>455</v>
      </c>
      <c r="F32" s="535" t="s">
        <v>400</v>
      </c>
      <c r="G32" s="1677"/>
      <c r="H32" s="1679"/>
      <c r="I32" s="414"/>
      <c r="J32" s="756" t="s">
        <v>11</v>
      </c>
      <c r="K32" s="756" t="s">
        <v>11</v>
      </c>
      <c r="L32" s="414" t="s">
        <v>11</v>
      </c>
      <c r="M32" s="414" t="s">
        <v>12</v>
      </c>
      <c r="N32" s="414"/>
      <c r="O32" s="414"/>
      <c r="P32" s="414"/>
      <c r="Q32" s="1734"/>
      <c r="R32" s="1669"/>
      <c r="S32" s="1669"/>
      <c r="T32" s="408"/>
      <c r="U32" s="1482"/>
      <c r="V32" s="1482">
        <f t="shared" si="4"/>
        <v>0</v>
      </c>
      <c r="W32" s="1482">
        <f t="shared" si="5"/>
        <v>0</v>
      </c>
      <c r="X32" s="1482">
        <f t="shared" si="6"/>
        <v>0</v>
      </c>
    </row>
    <row r="33" spans="1:27" s="465" customFormat="1" ht="15.6" customHeight="1">
      <c r="A33" s="1686" t="s">
        <v>241</v>
      </c>
      <c r="B33" s="1686" t="s">
        <v>242</v>
      </c>
      <c r="C33" s="913">
        <v>17</v>
      </c>
      <c r="D33" s="471" t="s">
        <v>13</v>
      </c>
      <c r="E33" s="534" t="s">
        <v>455</v>
      </c>
      <c r="F33" s="535" t="s">
        <v>400</v>
      </c>
      <c r="G33" s="1677" t="s">
        <v>1528</v>
      </c>
      <c r="H33" s="1679">
        <v>5</v>
      </c>
      <c r="I33" s="414"/>
      <c r="J33" s="756" t="s">
        <v>16</v>
      </c>
      <c r="K33" s="756" t="s">
        <v>16</v>
      </c>
      <c r="L33" s="414" t="s">
        <v>14</v>
      </c>
      <c r="M33" s="414" t="s">
        <v>15</v>
      </c>
      <c r="N33" s="414" t="s">
        <v>16</v>
      </c>
      <c r="O33" s="414"/>
      <c r="P33" s="414"/>
      <c r="Q33" s="1734">
        <v>0</v>
      </c>
      <c r="R33" s="1669">
        <v>5</v>
      </c>
      <c r="S33" s="1669">
        <v>5</v>
      </c>
      <c r="T33" s="408">
        <f>R33-S33</f>
        <v>0</v>
      </c>
      <c r="U33" s="1482">
        <f>H33-R33</f>
        <v>0</v>
      </c>
      <c r="V33" s="1482">
        <f t="shared" si="4"/>
        <v>0</v>
      </c>
      <c r="W33" s="1482">
        <f t="shared" si="5"/>
        <v>0</v>
      </c>
      <c r="X33" s="1482">
        <f t="shared" si="6"/>
        <v>0</v>
      </c>
    </row>
    <row r="34" spans="1:27" s="465" customFormat="1" ht="15.6" customHeight="1">
      <c r="A34" s="1688"/>
      <c r="B34" s="1688"/>
      <c r="C34" s="913">
        <v>18</v>
      </c>
      <c r="D34" s="471" t="s">
        <v>17</v>
      </c>
      <c r="E34" s="534" t="s">
        <v>455</v>
      </c>
      <c r="F34" s="535" t="s">
        <v>400</v>
      </c>
      <c r="G34" s="1677"/>
      <c r="H34" s="1679"/>
      <c r="I34" s="414"/>
      <c r="J34" s="756" t="s">
        <v>20</v>
      </c>
      <c r="K34" s="756" t="s">
        <v>20</v>
      </c>
      <c r="L34" s="414" t="s">
        <v>18</v>
      </c>
      <c r="M34" s="414" t="s">
        <v>19</v>
      </c>
      <c r="N34" s="414" t="s">
        <v>20</v>
      </c>
      <c r="O34" s="414"/>
      <c r="P34" s="414"/>
      <c r="Q34" s="1734"/>
      <c r="R34" s="1669"/>
      <c r="S34" s="1669"/>
      <c r="T34" s="408"/>
      <c r="U34" s="1482"/>
      <c r="V34" s="1482">
        <f t="shared" si="4"/>
        <v>0</v>
      </c>
      <c r="W34" s="1482">
        <f t="shared" si="5"/>
        <v>0</v>
      </c>
      <c r="X34" s="1482">
        <f t="shared" si="6"/>
        <v>0</v>
      </c>
    </row>
    <row r="35" spans="1:27" s="465" customFormat="1" ht="22.5" customHeight="1">
      <c r="A35" s="570" t="s">
        <v>243</v>
      </c>
      <c r="B35" s="570" t="s">
        <v>244</v>
      </c>
      <c r="C35" s="913">
        <v>19</v>
      </c>
      <c r="D35" s="471" t="s">
        <v>21</v>
      </c>
      <c r="E35" s="534" t="s">
        <v>455</v>
      </c>
      <c r="F35" s="535" t="s">
        <v>398</v>
      </c>
      <c r="G35" s="414" t="s">
        <v>1528</v>
      </c>
      <c r="H35" s="670">
        <v>5</v>
      </c>
      <c r="I35" s="414"/>
      <c r="J35" s="994">
        <v>0</v>
      </c>
      <c r="K35" s="994">
        <v>0</v>
      </c>
      <c r="L35" s="414"/>
      <c r="M35" s="414"/>
      <c r="N35" s="414"/>
      <c r="O35" s="414"/>
      <c r="P35" s="414"/>
      <c r="Q35" s="648">
        <f>IF(AND(J35=0,K35&lt;&gt;0),1,IF(AND(J35=0,K35=0),0,K35/J35-1))</f>
        <v>0</v>
      </c>
      <c r="R35" s="1380">
        <f>MAX(5-K35,0)</f>
        <v>5</v>
      </c>
      <c r="S35" s="668">
        <f>MAX(5-J35,0)</f>
        <v>5</v>
      </c>
      <c r="T35" s="408">
        <f>R35-S35</f>
        <v>0</v>
      </c>
      <c r="U35" s="1482">
        <f>H35-R35</f>
        <v>0</v>
      </c>
      <c r="V35" s="1482">
        <f t="shared" si="4"/>
        <v>0</v>
      </c>
      <c r="W35" s="1482">
        <f t="shared" si="5"/>
        <v>0</v>
      </c>
      <c r="X35" s="1482">
        <f t="shared" si="6"/>
        <v>0</v>
      </c>
    </row>
    <row r="36" spans="1:27" s="465" customFormat="1" ht="14.25">
      <c r="A36" s="1735" t="s">
        <v>1741</v>
      </c>
      <c r="B36" s="1735" t="s">
        <v>438</v>
      </c>
      <c r="C36" s="913">
        <v>20</v>
      </c>
      <c r="D36" s="1425" t="s">
        <v>202</v>
      </c>
      <c r="E36" s="472" t="s">
        <v>203</v>
      </c>
      <c r="F36" s="535" t="s">
        <v>398</v>
      </c>
      <c r="G36" s="1678" t="s">
        <v>1530</v>
      </c>
      <c r="H36" s="1679">
        <v>10</v>
      </c>
      <c r="I36" s="414" t="s">
        <v>216</v>
      </c>
      <c r="J36" s="994">
        <v>595</v>
      </c>
      <c r="K36" s="994">
        <v>522</v>
      </c>
      <c r="L36" s="669">
        <v>54</v>
      </c>
      <c r="M36" s="669"/>
      <c r="N36" s="669">
        <v>26</v>
      </c>
      <c r="O36" s="669">
        <v>442</v>
      </c>
      <c r="P36" s="669">
        <v>0</v>
      </c>
      <c r="Q36" s="648">
        <f>IF(AND(J36=0,K36&lt;&gt;0),1,IF(AND(J36=0,K36=0),0,K36/J36-1))</f>
        <v>-0.12268907563025211</v>
      </c>
      <c r="R36" s="1669" t="str">
        <f>IF(K36=0,10,"行业排序得分")</f>
        <v>行业排序得分</v>
      </c>
      <c r="S36" s="1721" t="str">
        <f>IF(J36=0,10,"行业排序得分")</f>
        <v>行业排序得分</v>
      </c>
      <c r="T36" s="408">
        <v>0</v>
      </c>
      <c r="U36" s="1736">
        <v>10</v>
      </c>
      <c r="V36" s="1736">
        <f t="shared" si="4"/>
        <v>3</v>
      </c>
      <c r="W36" s="1736">
        <f t="shared" si="5"/>
        <v>0.33333333333333331</v>
      </c>
      <c r="X36" s="1736">
        <f t="shared" si="6"/>
        <v>0.16666666666666666</v>
      </c>
    </row>
    <row r="37" spans="1:27" s="465" customFormat="1" ht="14.25">
      <c r="A37" s="1688"/>
      <c r="B37" s="1688"/>
      <c r="C37" s="397">
        <v>21</v>
      </c>
      <c r="D37" s="1425" t="s">
        <v>3</v>
      </c>
      <c r="E37" s="472" t="s">
        <v>958</v>
      </c>
      <c r="F37" s="535" t="s">
        <v>398</v>
      </c>
      <c r="G37" s="1678"/>
      <c r="H37" s="1679"/>
      <c r="I37" s="542" t="s">
        <v>645</v>
      </c>
      <c r="J37" s="878">
        <v>1193905821.5799999</v>
      </c>
      <c r="K37" s="878">
        <v>1040229766.4400001</v>
      </c>
      <c r="L37" s="414"/>
      <c r="M37" s="414"/>
      <c r="N37" s="414"/>
      <c r="O37" s="414"/>
      <c r="P37" s="414"/>
      <c r="Q37" s="648">
        <f>IF(AND(J37=0,K37&lt;&gt;0),1,IF(AND(J37=0,K37=0),0,K37/J37-1))</f>
        <v>-0.12871706659125504</v>
      </c>
      <c r="R37" s="1669"/>
      <c r="S37" s="1721"/>
      <c r="T37" s="408"/>
      <c r="U37" s="1737"/>
      <c r="V37" s="1737"/>
      <c r="W37" s="1737"/>
      <c r="X37" s="1737"/>
    </row>
    <row r="38" spans="1:27" s="930" customFormat="1" ht="15.6" customHeight="1">
      <c r="A38" s="471"/>
      <c r="B38" s="471"/>
      <c r="C38" s="663"/>
      <c r="D38" s="522" t="s">
        <v>223</v>
      </c>
      <c r="E38" s="926"/>
      <c r="F38" s="424"/>
      <c r="G38" s="927"/>
      <c r="H38" s="499">
        <v>97</v>
      </c>
      <c r="I38" s="928"/>
      <c r="J38" s="665"/>
      <c r="K38" s="665"/>
      <c r="L38" s="926"/>
      <c r="M38" s="928"/>
      <c r="N38" s="928"/>
      <c r="O38" s="928"/>
      <c r="P38" s="928"/>
      <c r="Q38" s="1152"/>
      <c r="R38" s="1431">
        <f>SUBTOTAL(9,R4:R37)</f>
        <v>46.163721439593814</v>
      </c>
      <c r="S38" s="929">
        <f>SUBTOTAL(9,S4:S37)</f>
        <v>52.339328643931978</v>
      </c>
      <c r="T38" s="427">
        <f>SUM(T4:T37)</f>
        <v>5.8243927956618364</v>
      </c>
      <c r="U38" s="1387">
        <f>SUM(U4:U37)</f>
        <v>50.836278560406186</v>
      </c>
      <c r="V38" s="1308">
        <f>U38*0.3</f>
        <v>15.250883568121855</v>
      </c>
      <c r="W38" s="1308">
        <f t="shared" si="5"/>
        <v>1.6945426186802062</v>
      </c>
      <c r="X38" s="1308">
        <f t="shared" si="6"/>
        <v>0.84727130934010308</v>
      </c>
      <c r="Y38" s="465" t="s">
        <v>1549</v>
      </c>
      <c r="Z38" s="465"/>
      <c r="AA38" s="465"/>
    </row>
    <row r="39" spans="1:27" s="930" customFormat="1" ht="15.6" customHeight="1">
      <c r="A39" s="505"/>
      <c r="B39" s="505"/>
      <c r="C39" s="931"/>
      <c r="D39" s="522" t="s">
        <v>1533</v>
      </c>
      <c r="E39" s="932"/>
      <c r="F39" s="507"/>
      <c r="G39" s="932"/>
      <c r="H39" s="499">
        <v>50</v>
      </c>
      <c r="I39" s="932"/>
      <c r="J39" s="933"/>
      <c r="K39" s="933"/>
      <c r="L39" s="932"/>
      <c r="M39" s="932"/>
      <c r="N39" s="932"/>
      <c r="O39" s="932"/>
      <c r="P39" s="932"/>
      <c r="Q39" s="1153">
        <f>H39-R39-U39</f>
        <v>0</v>
      </c>
      <c r="R39" s="637">
        <f>R16+SUM(R22:R23)+SUM(R27:R35)</f>
        <v>46.163721439593814</v>
      </c>
      <c r="S39" s="427">
        <f>S16+SUM(S22:S23)+SUM(S27:S35)</f>
        <v>46.339328643931978</v>
      </c>
      <c r="T39" s="416"/>
      <c r="U39" s="1388">
        <f>U16+SUM(U22:U23)+SUM(U27:U35)</f>
        <v>3.8362785604061855</v>
      </c>
      <c r="V39" s="1308">
        <f>U39*0.3</f>
        <v>1.1508835681218557</v>
      </c>
      <c r="W39" s="1308">
        <f t="shared" si="5"/>
        <v>0.12787595201353952</v>
      </c>
      <c r="X39" s="1308">
        <f t="shared" si="6"/>
        <v>6.3937976006769759E-2</v>
      </c>
      <c r="Y39" s="934" t="s">
        <v>1538</v>
      </c>
      <c r="Z39" s="935"/>
      <c r="AA39" s="935"/>
    </row>
    <row r="40" spans="1:27" s="930" customFormat="1" ht="15.6" customHeight="1">
      <c r="A40" s="505"/>
      <c r="B40" s="505"/>
      <c r="C40" s="931"/>
      <c r="D40" s="522" t="s">
        <v>1534</v>
      </c>
      <c r="E40" s="932"/>
      <c r="F40" s="507"/>
      <c r="H40" s="499">
        <v>33</v>
      </c>
      <c r="I40" s="932"/>
      <c r="J40" s="933"/>
      <c r="K40" s="933"/>
      <c r="L40" s="932"/>
      <c r="M40" s="932"/>
      <c r="N40" s="932"/>
      <c r="O40" s="932"/>
      <c r="P40" s="932"/>
      <c r="Q40" s="1386">
        <f>H40-R40-U40</f>
        <v>0</v>
      </c>
      <c r="R40" s="637">
        <v>0</v>
      </c>
      <c r="S40" s="427">
        <v>0</v>
      </c>
      <c r="U40" s="1388">
        <f>U4+U11+U19+U36</f>
        <v>33</v>
      </c>
      <c r="V40" s="1308">
        <f>U40*0.3</f>
        <v>9.9</v>
      </c>
      <c r="W40" s="1308">
        <f t="shared" si="5"/>
        <v>1.1000000000000001</v>
      </c>
      <c r="X40" s="1308">
        <f t="shared" si="6"/>
        <v>0.55000000000000004</v>
      </c>
      <c r="Y40" s="934" t="s">
        <v>1536</v>
      </c>
      <c r="Z40" s="935"/>
      <c r="AA40" s="935"/>
    </row>
    <row r="41" spans="1:27" s="930" customFormat="1" ht="15.6" customHeight="1">
      <c r="A41" s="505"/>
      <c r="B41" s="505"/>
      <c r="C41" s="931"/>
      <c r="D41" s="522" t="s">
        <v>1535</v>
      </c>
      <c r="E41" s="932"/>
      <c r="F41" s="507"/>
      <c r="H41" s="499">
        <v>14</v>
      </c>
      <c r="I41" s="932"/>
      <c r="J41" s="933"/>
      <c r="K41" s="933"/>
      <c r="L41" s="932"/>
      <c r="M41" s="932"/>
      <c r="N41" s="932"/>
      <c r="O41" s="932"/>
      <c r="P41" s="932"/>
      <c r="Q41" s="1154">
        <f>H41-R41-U41</f>
        <v>0</v>
      </c>
      <c r="R41" s="637">
        <v>0</v>
      </c>
      <c r="S41" s="427">
        <v>6</v>
      </c>
      <c r="U41" s="1388">
        <f>U8+U14</f>
        <v>14</v>
      </c>
      <c r="V41" s="1308">
        <f>U41*0.3</f>
        <v>4.2</v>
      </c>
      <c r="W41" s="1308">
        <f t="shared" si="5"/>
        <v>0.46666666666666667</v>
      </c>
      <c r="X41" s="1308">
        <f t="shared" si="6"/>
        <v>0.23333333333333334</v>
      </c>
      <c r="Y41" s="934" t="s">
        <v>1537</v>
      </c>
      <c r="Z41" s="935"/>
      <c r="AA41" s="935"/>
    </row>
    <row r="42" spans="1:27" s="930" customFormat="1" ht="15.6" customHeight="1">
      <c r="A42" s="505"/>
      <c r="B42" s="505"/>
      <c r="C42" s="931"/>
      <c r="D42" s="434" t="s">
        <v>1548</v>
      </c>
      <c r="Q42" s="1154"/>
      <c r="R42" s="637">
        <f>R41+R40</f>
        <v>0</v>
      </c>
      <c r="S42" s="427">
        <f>S41+S40</f>
        <v>6</v>
      </c>
      <c r="X42" s="1309"/>
      <c r="Y42" s="465"/>
      <c r="Z42" s="465"/>
      <c r="AA42" s="465"/>
    </row>
    <row r="43" spans="1:27" s="374" customFormat="1" ht="15.6" customHeight="1">
      <c r="A43" s="385"/>
      <c r="B43" s="385"/>
      <c r="C43" s="376"/>
      <c r="D43" s="434" t="s">
        <v>463</v>
      </c>
      <c r="F43" s="436"/>
      <c r="H43" s="936"/>
      <c r="J43" s="432"/>
      <c r="K43" s="432"/>
      <c r="Q43" s="26"/>
      <c r="R43" s="637">
        <f>$H$40+$H$41-R42</f>
        <v>47</v>
      </c>
      <c r="S43" s="427">
        <f>$H$40+$H$41-S42</f>
        <v>41</v>
      </c>
      <c r="X43" s="1283"/>
    </row>
    <row r="44" spans="1:27" s="374" customFormat="1" ht="15.6" customHeight="1">
      <c r="A44" s="385"/>
      <c r="B44" s="385"/>
      <c r="C44" s="376"/>
      <c r="D44" s="434" t="s">
        <v>462</v>
      </c>
      <c r="F44" s="436"/>
      <c r="H44" s="937">
        <v>3</v>
      </c>
      <c r="J44" s="432"/>
      <c r="K44" s="432"/>
      <c r="Q44" s="26"/>
      <c r="R44" s="637">
        <v>3</v>
      </c>
      <c r="S44" s="427">
        <v>3</v>
      </c>
      <c r="X44" s="1283"/>
    </row>
    <row r="45" spans="1:27" s="374" customFormat="1" ht="15.6" customHeight="1">
      <c r="A45" s="385"/>
      <c r="B45" s="385"/>
      <c r="C45" s="376"/>
      <c r="D45" s="434" t="s">
        <v>464</v>
      </c>
      <c r="F45" s="436"/>
      <c r="H45" s="936"/>
      <c r="J45" s="432"/>
      <c r="K45" s="432"/>
      <c r="Q45" s="26"/>
      <c r="R45" s="637">
        <f>100-SUM(R39:R41)-R44</f>
        <v>50.836278560406186</v>
      </c>
      <c r="S45" s="427">
        <f>100-SUM(S39:S41)-S44</f>
        <v>44.660671356068022</v>
      </c>
      <c r="X45" s="1283"/>
    </row>
    <row r="46" spans="1:27" s="374" customFormat="1" ht="14.25">
      <c r="A46" s="385"/>
      <c r="B46" s="385"/>
      <c r="C46" s="376"/>
      <c r="D46" s="385"/>
      <c r="F46" s="436"/>
      <c r="J46" s="432"/>
      <c r="K46" s="432"/>
      <c r="Q46" s="26"/>
      <c r="R46" s="640"/>
      <c r="X46" s="1283"/>
    </row>
    <row r="47" spans="1:27" s="374" customFormat="1" ht="14.25">
      <c r="A47" s="385"/>
      <c r="B47" s="385"/>
      <c r="C47" s="376"/>
      <c r="D47" s="385"/>
      <c r="F47" s="436"/>
      <c r="J47" s="432"/>
      <c r="K47" s="920"/>
      <c r="Q47" s="26"/>
      <c r="R47" s="640"/>
      <c r="X47" s="1283"/>
    </row>
    <row r="48" spans="1:27" s="374" customFormat="1" ht="14.25">
      <c r="A48" s="432"/>
      <c r="B48" s="432"/>
      <c r="C48" s="376"/>
      <c r="D48" s="919" t="s">
        <v>1611</v>
      </c>
      <c r="F48" s="436"/>
      <c r="J48" s="432"/>
      <c r="K48" s="432"/>
      <c r="Q48" s="26"/>
      <c r="R48" s="640"/>
      <c r="X48" s="1283"/>
    </row>
    <row r="49" spans="1:24" s="374" customFormat="1" ht="14.25">
      <c r="A49" s="432"/>
      <c r="B49" s="432"/>
      <c r="C49" s="376"/>
      <c r="D49" s="375" t="s">
        <v>1655</v>
      </c>
      <c r="F49" s="436"/>
      <c r="J49" s="618"/>
      <c r="K49" s="618"/>
      <c r="Q49" s="26"/>
      <c r="R49" s="640"/>
      <c r="X49" s="1283"/>
    </row>
    <row r="50" spans="1:24" s="374" customFormat="1" ht="14.25">
      <c r="A50" s="432"/>
      <c r="B50" s="432"/>
      <c r="C50" s="376"/>
      <c r="D50" s="385"/>
      <c r="F50" s="436"/>
      <c r="J50" s="618"/>
      <c r="K50" s="618"/>
      <c r="Q50" s="26"/>
      <c r="R50" s="640"/>
      <c r="X50" s="1283"/>
    </row>
    <row r="51" spans="1:24" s="374" customFormat="1" ht="14.25">
      <c r="A51" s="432"/>
      <c r="B51" s="432"/>
      <c r="C51" s="376"/>
      <c r="D51" s="432"/>
      <c r="F51" s="436"/>
      <c r="J51" s="618"/>
      <c r="K51" s="618"/>
      <c r="Q51" s="26"/>
      <c r="R51" s="640"/>
      <c r="X51" s="1283"/>
    </row>
    <row r="52" spans="1:24" s="374" customFormat="1" ht="14.25">
      <c r="A52" s="432"/>
      <c r="B52" s="432"/>
      <c r="C52" s="376"/>
      <c r="D52" s="432"/>
      <c r="F52" s="436"/>
      <c r="J52" s="618"/>
      <c r="K52" s="618"/>
      <c r="Q52" s="26"/>
      <c r="R52" s="640"/>
      <c r="X52" s="1283"/>
    </row>
    <row r="53" spans="1:24" s="374" customFormat="1" ht="14.25">
      <c r="A53" s="432"/>
      <c r="B53" s="432"/>
      <c r="C53" s="376"/>
      <c r="D53" s="432"/>
      <c r="F53" s="436"/>
      <c r="J53" s="618"/>
      <c r="K53" s="618"/>
      <c r="Q53" s="26"/>
      <c r="R53" s="640"/>
      <c r="X53" s="1283"/>
    </row>
    <row r="54" spans="1:24" s="374" customFormat="1" ht="14.25">
      <c r="A54" s="432"/>
      <c r="B54" s="432"/>
      <c r="C54" s="376"/>
      <c r="D54" s="432"/>
      <c r="F54" s="436"/>
      <c r="J54" s="618"/>
      <c r="K54" s="618"/>
      <c r="Q54" s="26"/>
      <c r="R54" s="640"/>
      <c r="X54" s="1283"/>
    </row>
    <row r="55" spans="1:24" s="374" customFormat="1" ht="14.25">
      <c r="A55" s="432"/>
      <c r="B55" s="432"/>
      <c r="C55" s="376"/>
      <c r="D55" s="432"/>
      <c r="F55" s="436"/>
      <c r="J55" s="618"/>
      <c r="K55" s="618"/>
      <c r="Q55" s="26"/>
      <c r="R55" s="640"/>
      <c r="X55" s="1283"/>
    </row>
    <row r="56" spans="1:24" s="374" customFormat="1" ht="14.25">
      <c r="A56" s="432"/>
      <c r="B56" s="432"/>
      <c r="C56" s="376"/>
      <c r="D56" s="432"/>
      <c r="F56" s="436"/>
      <c r="J56" s="618"/>
      <c r="K56" s="618"/>
      <c r="Q56" s="26"/>
      <c r="R56" s="640"/>
      <c r="X56" s="1283"/>
    </row>
    <row r="57" spans="1:24" s="374" customFormat="1" ht="14.25">
      <c r="A57" s="432"/>
      <c r="B57" s="432"/>
      <c r="C57" s="376"/>
      <c r="D57" s="432"/>
      <c r="F57" s="436"/>
      <c r="J57" s="618"/>
      <c r="K57" s="618"/>
      <c r="Q57" s="26"/>
      <c r="R57" s="640"/>
      <c r="X57" s="1283"/>
    </row>
    <row r="58" spans="1:24" s="374" customFormat="1" ht="14.25">
      <c r="A58" s="432"/>
      <c r="B58" s="432"/>
      <c r="C58" s="376"/>
      <c r="D58" s="432"/>
      <c r="F58" s="436"/>
      <c r="J58" s="618"/>
      <c r="K58" s="618"/>
      <c r="Q58" s="26"/>
      <c r="R58" s="640"/>
      <c r="X58" s="1283"/>
    </row>
    <row r="59" spans="1:24" s="374" customFormat="1" ht="14.25">
      <c r="A59" s="432"/>
      <c r="B59" s="432"/>
      <c r="C59" s="376"/>
      <c r="D59" s="432"/>
      <c r="F59" s="436"/>
      <c r="J59" s="618"/>
      <c r="K59" s="618"/>
      <c r="Q59" s="26"/>
      <c r="R59" s="640"/>
      <c r="X59" s="1283"/>
    </row>
    <row r="60" spans="1:24" s="374" customFormat="1" ht="14.25">
      <c r="A60" s="432"/>
      <c r="B60" s="432"/>
      <c r="C60" s="376"/>
      <c r="D60" s="432"/>
      <c r="F60" s="436"/>
      <c r="J60" s="618"/>
      <c r="K60" s="618"/>
      <c r="Q60" s="26"/>
      <c r="R60" s="640"/>
      <c r="X60" s="1283"/>
    </row>
    <row r="61" spans="1:24" s="374" customFormat="1" ht="14.25">
      <c r="A61" s="432"/>
      <c r="B61" s="432"/>
      <c r="C61" s="376"/>
      <c r="D61" s="432"/>
      <c r="F61" s="436"/>
      <c r="J61" s="618"/>
      <c r="K61" s="618"/>
      <c r="Q61" s="26"/>
      <c r="R61" s="640"/>
      <c r="X61" s="1283"/>
    </row>
    <row r="62" spans="1:24" s="374" customFormat="1" ht="14.25">
      <c r="A62" s="432"/>
      <c r="B62" s="432"/>
      <c r="C62" s="376"/>
      <c r="D62" s="432"/>
      <c r="F62" s="436"/>
      <c r="J62" s="618"/>
      <c r="K62" s="618"/>
      <c r="Q62" s="26"/>
      <c r="R62" s="640"/>
      <c r="X62" s="1283"/>
    </row>
    <row r="63" spans="1:24" s="374" customFormat="1" ht="14.25">
      <c r="A63" s="432"/>
      <c r="B63" s="432"/>
      <c r="C63" s="376"/>
      <c r="D63" s="432"/>
      <c r="F63" s="436"/>
      <c r="J63" s="618"/>
      <c r="K63" s="618"/>
      <c r="Q63" s="26"/>
      <c r="R63" s="640"/>
      <c r="X63" s="1283"/>
    </row>
    <row r="64" spans="1:24" s="374" customFormat="1" ht="14.25">
      <c r="A64" s="432"/>
      <c r="B64" s="432"/>
      <c r="C64" s="376"/>
      <c r="D64" s="432"/>
      <c r="F64" s="436"/>
      <c r="J64" s="618"/>
      <c r="K64" s="618"/>
      <c r="Q64" s="26"/>
      <c r="R64" s="640"/>
      <c r="X64" s="1283"/>
    </row>
    <row r="65" spans="1:24" s="374" customFormat="1" ht="14.25">
      <c r="A65" s="432"/>
      <c r="B65" s="432"/>
      <c r="C65" s="376"/>
      <c r="D65" s="432"/>
      <c r="F65" s="436"/>
      <c r="J65" s="618"/>
      <c r="K65" s="618"/>
      <c r="Q65" s="26"/>
      <c r="R65" s="640"/>
      <c r="X65" s="1283"/>
    </row>
    <row r="66" spans="1:24" s="374" customFormat="1" ht="14.25">
      <c r="A66" s="432"/>
      <c r="B66" s="432"/>
      <c r="C66" s="376"/>
      <c r="D66" s="432"/>
      <c r="F66" s="436"/>
      <c r="J66" s="618"/>
      <c r="K66" s="618"/>
      <c r="Q66" s="26"/>
      <c r="R66" s="640"/>
      <c r="X66" s="1283"/>
    </row>
    <row r="67" spans="1:24" s="374" customFormat="1" ht="14.25">
      <c r="A67" s="432"/>
      <c r="B67" s="432"/>
      <c r="C67" s="376"/>
      <c r="D67" s="432"/>
      <c r="F67" s="436"/>
      <c r="J67" s="618"/>
      <c r="K67" s="618"/>
      <c r="Q67" s="26"/>
      <c r="R67" s="640"/>
      <c r="X67" s="1283"/>
    </row>
    <row r="68" spans="1:24" s="374" customFormat="1" ht="14.25">
      <c r="A68" s="432"/>
      <c r="B68" s="432"/>
      <c r="C68" s="376"/>
      <c r="D68" s="432"/>
      <c r="F68" s="436"/>
      <c r="J68" s="618"/>
      <c r="K68" s="618"/>
      <c r="Q68" s="26"/>
      <c r="R68" s="640"/>
      <c r="X68" s="1283"/>
    </row>
    <row r="69" spans="1:24" s="374" customFormat="1" ht="14.25">
      <c r="A69" s="432"/>
      <c r="B69" s="432"/>
      <c r="C69" s="376"/>
      <c r="D69" s="432"/>
      <c r="F69" s="436"/>
      <c r="J69" s="618"/>
      <c r="K69" s="618"/>
      <c r="Q69" s="26"/>
      <c r="R69" s="640"/>
      <c r="X69" s="1283"/>
    </row>
    <row r="70" spans="1:24" s="374" customFormat="1" ht="14.25">
      <c r="A70" s="432"/>
      <c r="B70" s="432"/>
      <c r="C70" s="376"/>
      <c r="D70" s="432"/>
      <c r="F70" s="436"/>
      <c r="J70" s="618"/>
      <c r="K70" s="618"/>
      <c r="Q70" s="26"/>
      <c r="R70" s="640"/>
      <c r="X70" s="1283"/>
    </row>
    <row r="71" spans="1:24" s="374" customFormat="1" ht="14.25">
      <c r="A71" s="432"/>
      <c r="B71" s="432"/>
      <c r="C71" s="376"/>
      <c r="D71" s="432"/>
      <c r="F71" s="436"/>
      <c r="J71" s="618"/>
      <c r="K71" s="618"/>
      <c r="Q71" s="26"/>
      <c r="R71" s="640"/>
      <c r="X71" s="1283"/>
    </row>
    <row r="72" spans="1:24" s="374" customFormat="1" ht="14.25">
      <c r="A72" s="432"/>
      <c r="B72" s="432"/>
      <c r="C72" s="376"/>
      <c r="D72" s="432"/>
      <c r="F72" s="436"/>
      <c r="J72" s="618"/>
      <c r="K72" s="618"/>
      <c r="Q72" s="26"/>
      <c r="R72" s="640"/>
      <c r="X72" s="1283"/>
    </row>
    <row r="73" spans="1:24" s="374" customFormat="1" ht="14.25">
      <c r="A73" s="432"/>
      <c r="B73" s="432"/>
      <c r="C73" s="376"/>
      <c r="D73" s="432"/>
      <c r="F73" s="436"/>
      <c r="J73" s="618"/>
      <c r="K73" s="618"/>
      <c r="Q73" s="26"/>
      <c r="R73" s="640"/>
      <c r="X73" s="1283"/>
    </row>
    <row r="74" spans="1:24" s="374" customFormat="1" ht="14.25">
      <c r="A74" s="432"/>
      <c r="B74" s="432"/>
      <c r="C74" s="376"/>
      <c r="D74" s="432"/>
      <c r="F74" s="436"/>
      <c r="J74" s="618"/>
      <c r="K74" s="618"/>
      <c r="Q74" s="26"/>
      <c r="R74" s="640"/>
      <c r="X74" s="1283"/>
    </row>
    <row r="75" spans="1:24" s="374" customFormat="1" ht="14.25">
      <c r="A75" s="432"/>
      <c r="B75" s="432"/>
      <c r="C75" s="376"/>
      <c r="D75" s="432"/>
      <c r="F75" s="436"/>
      <c r="J75" s="618"/>
      <c r="K75" s="618"/>
      <c r="Q75" s="26"/>
      <c r="R75" s="640"/>
      <c r="X75" s="1283"/>
    </row>
    <row r="76" spans="1:24" s="374" customFormat="1" ht="14.25">
      <c r="A76" s="385"/>
      <c r="B76" s="385"/>
      <c r="C76" s="376"/>
      <c r="D76" s="385"/>
      <c r="F76" s="436"/>
      <c r="J76" s="618"/>
      <c r="K76" s="618"/>
      <c r="Q76" s="26"/>
      <c r="R76" s="640"/>
      <c r="X76" s="1283"/>
    </row>
    <row r="77" spans="1:24" s="374" customFormat="1" ht="14.25">
      <c r="A77" s="385"/>
      <c r="B77" s="385"/>
      <c r="C77" s="376"/>
      <c r="D77" s="385"/>
      <c r="F77" s="436"/>
      <c r="J77" s="618"/>
      <c r="K77" s="618"/>
      <c r="Q77" s="26"/>
      <c r="R77" s="640"/>
      <c r="X77" s="1283"/>
    </row>
    <row r="78" spans="1:24" s="374" customFormat="1" ht="14.25">
      <c r="A78" s="385"/>
      <c r="B78" s="385"/>
      <c r="C78" s="376"/>
      <c r="D78" s="385"/>
      <c r="F78" s="436"/>
      <c r="J78" s="618"/>
      <c r="K78" s="618"/>
      <c r="Q78" s="26"/>
      <c r="R78" s="640"/>
      <c r="X78" s="1283"/>
    </row>
    <row r="79" spans="1:24" s="374" customFormat="1" ht="14.25">
      <c r="A79" s="385"/>
      <c r="B79" s="385"/>
      <c r="C79" s="376"/>
      <c r="D79" s="385"/>
      <c r="F79" s="436"/>
      <c r="J79" s="618"/>
      <c r="K79" s="618"/>
      <c r="Q79" s="26"/>
      <c r="R79" s="640"/>
      <c r="X79" s="1283"/>
    </row>
    <row r="80" spans="1:24" s="374" customFormat="1" ht="14.25">
      <c r="A80" s="385"/>
      <c r="B80" s="385"/>
      <c r="C80" s="376"/>
      <c r="D80" s="385"/>
      <c r="F80" s="436"/>
      <c r="J80" s="618"/>
      <c r="K80" s="618"/>
      <c r="Q80" s="26"/>
      <c r="R80" s="640"/>
      <c r="X80" s="1283"/>
    </row>
    <row r="81" spans="1:24" s="374" customFormat="1" ht="14.25">
      <c r="A81" s="385"/>
      <c r="B81" s="385"/>
      <c r="C81" s="376"/>
      <c r="D81" s="385"/>
      <c r="F81" s="436"/>
      <c r="J81" s="618"/>
      <c r="K81" s="618"/>
      <c r="Q81" s="26"/>
      <c r="R81" s="640"/>
      <c r="X81" s="1283"/>
    </row>
    <row r="82" spans="1:24" s="374" customFormat="1" ht="14.25">
      <c r="A82" s="385"/>
      <c r="B82" s="385"/>
      <c r="C82" s="376"/>
      <c r="D82" s="385"/>
      <c r="F82" s="436"/>
      <c r="J82" s="618"/>
      <c r="K82" s="618"/>
      <c r="Q82" s="26"/>
      <c r="R82" s="640"/>
      <c r="X82" s="1283"/>
    </row>
    <row r="83" spans="1:24">
      <c r="A83" s="385"/>
      <c r="B83" s="385"/>
      <c r="C83" s="376"/>
      <c r="D83" s="385"/>
      <c r="F83" s="436"/>
      <c r="J83" s="432"/>
      <c r="K83" s="432"/>
    </row>
    <row r="84" spans="1:24">
      <c r="A84" s="385"/>
      <c r="B84" s="385"/>
      <c r="C84" s="376"/>
      <c r="D84" s="385"/>
      <c r="F84" s="436"/>
      <c r="J84" s="432"/>
      <c r="K84" s="432"/>
    </row>
    <row r="85" spans="1:24">
      <c r="A85" s="385"/>
      <c r="B85" s="385"/>
      <c r="C85" s="376"/>
      <c r="D85" s="385"/>
      <c r="F85" s="436"/>
      <c r="J85" s="432"/>
      <c r="K85" s="432"/>
    </row>
    <row r="86" spans="1:24">
      <c r="A86" s="385"/>
      <c r="B86" s="385"/>
      <c r="C86" s="376"/>
      <c r="D86" s="385"/>
      <c r="F86" s="436"/>
      <c r="J86" s="432"/>
      <c r="K86" s="432"/>
    </row>
    <row r="87" spans="1:24">
      <c r="A87" s="385"/>
      <c r="B87" s="385"/>
      <c r="C87" s="376"/>
      <c r="D87" s="385"/>
      <c r="F87" s="436"/>
      <c r="J87" s="432"/>
      <c r="K87" s="432"/>
    </row>
    <row r="88" spans="1:24">
      <c r="A88" s="385"/>
      <c r="B88" s="385"/>
      <c r="C88" s="376"/>
      <c r="D88" s="385"/>
      <c r="F88" s="436"/>
      <c r="J88" s="432"/>
      <c r="K88" s="432"/>
    </row>
    <row r="89" spans="1:24">
      <c r="A89" s="385"/>
      <c r="B89" s="385"/>
      <c r="C89" s="376"/>
      <c r="D89" s="385"/>
      <c r="F89" s="436"/>
      <c r="J89" s="432"/>
      <c r="K89" s="432"/>
    </row>
    <row r="90" spans="1:24">
      <c r="A90" s="385"/>
      <c r="B90" s="385"/>
      <c r="C90" s="376"/>
      <c r="D90" s="385"/>
      <c r="F90" s="436"/>
      <c r="J90" s="432"/>
      <c r="K90" s="432"/>
    </row>
    <row r="91" spans="1:24">
      <c r="A91" s="385"/>
      <c r="B91" s="385"/>
      <c r="C91" s="376"/>
      <c r="D91" s="385"/>
      <c r="F91" s="436"/>
      <c r="J91" s="432"/>
      <c r="K91" s="432"/>
    </row>
    <row r="92" spans="1:24">
      <c r="A92" s="385"/>
      <c r="B92" s="385"/>
      <c r="C92" s="376"/>
      <c r="D92" s="385"/>
      <c r="F92" s="436"/>
      <c r="J92" s="432"/>
      <c r="K92" s="432"/>
    </row>
    <row r="93" spans="1:24">
      <c r="A93" s="385"/>
      <c r="B93" s="385"/>
      <c r="C93" s="376"/>
      <c r="D93" s="385"/>
      <c r="F93" s="436"/>
      <c r="J93" s="432"/>
      <c r="K93" s="432"/>
    </row>
    <row r="94" spans="1:24">
      <c r="A94" s="385"/>
      <c r="B94" s="385"/>
      <c r="C94" s="376"/>
      <c r="D94" s="385"/>
      <c r="F94" s="436"/>
      <c r="J94" s="432"/>
      <c r="K94" s="432"/>
    </row>
    <row r="95" spans="1:24">
      <c r="A95" s="385"/>
      <c r="B95" s="385"/>
      <c r="C95" s="376"/>
      <c r="D95" s="385"/>
      <c r="F95" s="436"/>
      <c r="J95" s="432"/>
      <c r="K95" s="432"/>
    </row>
    <row r="96" spans="1:24">
      <c r="A96" s="385"/>
      <c r="B96" s="385"/>
      <c r="C96" s="376"/>
      <c r="D96" s="385"/>
      <c r="F96" s="436"/>
      <c r="J96" s="432"/>
      <c r="K96" s="432"/>
    </row>
    <row r="97" spans="1:11">
      <c r="A97" s="385"/>
      <c r="B97" s="385"/>
      <c r="C97" s="376"/>
      <c r="D97" s="385"/>
      <c r="F97" s="436"/>
      <c r="J97" s="432"/>
      <c r="K97" s="432"/>
    </row>
    <row r="98" spans="1:11">
      <c r="A98" s="385"/>
      <c r="B98" s="385"/>
      <c r="C98" s="376"/>
      <c r="D98" s="385"/>
      <c r="F98" s="436"/>
      <c r="J98" s="432"/>
      <c r="K98" s="432"/>
    </row>
    <row r="99" spans="1:11">
      <c r="A99" s="385"/>
      <c r="B99" s="385"/>
      <c r="C99" s="376"/>
      <c r="D99" s="385"/>
      <c r="F99" s="436"/>
      <c r="J99" s="432"/>
      <c r="K99" s="432"/>
    </row>
    <row r="100" spans="1:11">
      <c r="A100" s="385"/>
      <c r="B100" s="385"/>
      <c r="C100" s="376"/>
      <c r="D100" s="385"/>
      <c r="F100" s="436"/>
      <c r="J100" s="432"/>
      <c r="K100" s="432"/>
    </row>
    <row r="101" spans="1:11">
      <c r="A101" s="385"/>
      <c r="B101" s="385"/>
      <c r="C101" s="376"/>
      <c r="D101" s="385"/>
      <c r="F101" s="436"/>
      <c r="J101" s="432"/>
      <c r="K101" s="432"/>
    </row>
    <row r="102" spans="1:11">
      <c r="A102" s="385"/>
      <c r="B102" s="385"/>
      <c r="C102" s="376"/>
      <c r="D102" s="385"/>
      <c r="F102" s="436"/>
      <c r="J102" s="432"/>
      <c r="K102" s="432"/>
    </row>
    <row r="103" spans="1:11">
      <c r="A103" s="385"/>
      <c r="B103" s="385"/>
      <c r="C103" s="376"/>
      <c r="D103" s="385"/>
      <c r="F103" s="436"/>
      <c r="J103" s="432"/>
      <c r="K103" s="432"/>
    </row>
    <row r="104" spans="1:11">
      <c r="A104" s="385"/>
      <c r="B104" s="385"/>
      <c r="C104" s="376"/>
      <c r="D104" s="385"/>
      <c r="F104" s="436"/>
      <c r="J104" s="432"/>
      <c r="K104" s="432"/>
    </row>
    <row r="105" spans="1:11">
      <c r="A105" s="385"/>
      <c r="B105" s="385"/>
      <c r="C105" s="376"/>
      <c r="D105" s="385"/>
      <c r="F105" s="436"/>
      <c r="J105" s="432"/>
      <c r="K105" s="432"/>
    </row>
    <row r="106" spans="1:11">
      <c r="A106" s="385"/>
      <c r="B106" s="385"/>
      <c r="C106" s="376"/>
      <c r="D106" s="385"/>
      <c r="F106" s="436"/>
      <c r="J106" s="432"/>
      <c r="K106" s="432"/>
    </row>
    <row r="107" spans="1:11">
      <c r="A107" s="385"/>
      <c r="B107" s="385"/>
      <c r="C107" s="376"/>
      <c r="D107" s="385"/>
      <c r="F107" s="436"/>
      <c r="J107" s="432"/>
      <c r="K107" s="432"/>
    </row>
    <row r="108" spans="1:11">
      <c r="A108" s="385"/>
      <c r="B108" s="385"/>
      <c r="C108" s="376"/>
      <c r="D108" s="385"/>
      <c r="F108" s="436"/>
      <c r="J108" s="432"/>
      <c r="K108" s="432"/>
    </row>
    <row r="109" spans="1:11">
      <c r="A109" s="385"/>
      <c r="B109" s="385"/>
      <c r="C109" s="376"/>
      <c r="D109" s="385"/>
      <c r="F109" s="436"/>
      <c r="J109" s="432"/>
      <c r="K109" s="432"/>
    </row>
    <row r="110" spans="1:11">
      <c r="A110" s="385"/>
      <c r="B110" s="385"/>
      <c r="C110" s="376"/>
      <c r="D110" s="385"/>
      <c r="F110" s="436"/>
      <c r="J110" s="432"/>
      <c r="K110" s="432"/>
    </row>
    <row r="111" spans="1:11">
      <c r="A111" s="385"/>
      <c r="B111" s="385"/>
      <c r="C111" s="376"/>
      <c r="D111" s="385"/>
      <c r="F111" s="436"/>
      <c r="J111" s="432"/>
      <c r="K111" s="432"/>
    </row>
    <row r="112" spans="1:11">
      <c r="A112" s="385"/>
      <c r="B112" s="385"/>
      <c r="C112" s="376"/>
      <c r="D112" s="385"/>
      <c r="F112" s="436"/>
      <c r="J112" s="432"/>
      <c r="K112" s="432"/>
    </row>
    <row r="113" spans="1:11">
      <c r="A113" s="385"/>
      <c r="B113" s="385"/>
      <c r="C113" s="376"/>
      <c r="D113" s="385"/>
      <c r="F113" s="436"/>
      <c r="J113" s="432"/>
      <c r="K113" s="432"/>
    </row>
    <row r="114" spans="1:11">
      <c r="A114" s="385"/>
      <c r="B114" s="385"/>
      <c r="C114" s="376"/>
      <c r="D114" s="385"/>
      <c r="F114" s="436"/>
      <c r="J114" s="432"/>
      <c r="K114" s="432"/>
    </row>
    <row r="115" spans="1:11">
      <c r="A115" s="385"/>
      <c r="B115" s="385"/>
      <c r="C115" s="376"/>
      <c r="D115" s="385"/>
      <c r="F115" s="436"/>
      <c r="J115" s="432"/>
      <c r="K115" s="432"/>
    </row>
    <row r="116" spans="1:11">
      <c r="A116" s="385"/>
      <c r="B116" s="385"/>
      <c r="C116" s="376"/>
      <c r="D116" s="385"/>
      <c r="F116" s="436"/>
      <c r="J116" s="432"/>
      <c r="K116" s="432"/>
    </row>
    <row r="117" spans="1:11">
      <c r="A117" s="385"/>
      <c r="B117" s="385"/>
      <c r="C117" s="376"/>
      <c r="D117" s="385"/>
      <c r="F117" s="436"/>
      <c r="J117" s="432"/>
      <c r="K117" s="432"/>
    </row>
    <row r="118" spans="1:11">
      <c r="A118" s="385"/>
      <c r="B118" s="385"/>
      <c r="C118" s="376"/>
      <c r="D118" s="385"/>
      <c r="F118" s="436"/>
      <c r="J118" s="432"/>
      <c r="K118" s="432"/>
    </row>
    <row r="119" spans="1:11">
      <c r="A119" s="385"/>
      <c r="B119" s="385"/>
      <c r="C119" s="376"/>
      <c r="D119" s="385"/>
      <c r="F119" s="436"/>
      <c r="J119" s="432"/>
      <c r="K119" s="432"/>
    </row>
    <row r="120" spans="1:11">
      <c r="A120" s="385"/>
      <c r="B120" s="385"/>
      <c r="C120" s="376"/>
      <c r="D120" s="385"/>
      <c r="F120" s="436"/>
      <c r="J120" s="432"/>
      <c r="K120" s="432"/>
    </row>
    <row r="121" spans="1:11">
      <c r="A121" s="385"/>
      <c r="B121" s="385"/>
      <c r="C121" s="376"/>
      <c r="D121" s="385"/>
      <c r="F121" s="436"/>
      <c r="J121" s="432"/>
      <c r="K121" s="432"/>
    </row>
    <row r="122" spans="1:11">
      <c r="A122" s="385"/>
      <c r="B122" s="385"/>
      <c r="C122" s="376"/>
      <c r="D122" s="385"/>
      <c r="F122" s="436"/>
      <c r="J122" s="432"/>
      <c r="K122" s="432"/>
    </row>
    <row r="123" spans="1:11">
      <c r="A123" s="385"/>
      <c r="B123" s="385"/>
      <c r="C123" s="376"/>
      <c r="D123" s="385"/>
      <c r="F123" s="436"/>
      <c r="J123" s="432"/>
      <c r="K123" s="432"/>
    </row>
    <row r="124" spans="1:11">
      <c r="A124" s="385"/>
      <c r="B124" s="385"/>
      <c r="C124" s="376"/>
      <c r="D124" s="385"/>
      <c r="F124" s="436"/>
      <c r="J124" s="432"/>
      <c r="K124" s="432"/>
    </row>
    <row r="125" spans="1:11">
      <c r="A125" s="385"/>
      <c r="B125" s="385"/>
      <c r="C125" s="376"/>
      <c r="D125" s="385"/>
      <c r="F125" s="436"/>
      <c r="J125" s="432"/>
      <c r="K125" s="432"/>
    </row>
    <row r="126" spans="1:11">
      <c r="A126" s="385"/>
      <c r="B126" s="385"/>
      <c r="C126" s="376"/>
      <c r="D126" s="385"/>
      <c r="F126" s="436"/>
      <c r="J126" s="432"/>
      <c r="K126" s="432"/>
    </row>
    <row r="127" spans="1:11">
      <c r="A127" s="385"/>
      <c r="B127" s="385"/>
      <c r="C127" s="376"/>
      <c r="D127" s="385"/>
      <c r="F127" s="436"/>
      <c r="J127" s="432"/>
      <c r="K127" s="432"/>
    </row>
    <row r="128" spans="1:11">
      <c r="A128" s="385"/>
      <c r="B128" s="385"/>
      <c r="C128" s="376"/>
      <c r="D128" s="385"/>
      <c r="F128" s="436"/>
      <c r="J128" s="432"/>
      <c r="K128" s="432"/>
    </row>
    <row r="129" spans="1:11">
      <c r="A129" s="385"/>
      <c r="B129" s="385"/>
      <c r="C129" s="376"/>
      <c r="D129" s="385"/>
      <c r="F129" s="436"/>
      <c r="J129" s="432"/>
      <c r="K129" s="432"/>
    </row>
    <row r="130" spans="1:11">
      <c r="A130" s="385"/>
      <c r="B130" s="385"/>
      <c r="C130" s="376"/>
      <c r="D130" s="385"/>
      <c r="F130" s="436"/>
      <c r="J130" s="432"/>
      <c r="K130" s="432"/>
    </row>
    <row r="131" spans="1:11">
      <c r="A131" s="385"/>
      <c r="B131" s="385"/>
      <c r="C131" s="376"/>
      <c r="D131" s="385"/>
      <c r="F131" s="436"/>
      <c r="J131" s="432"/>
      <c r="K131" s="432"/>
    </row>
    <row r="132" spans="1:11">
      <c r="A132" s="385"/>
      <c r="B132" s="385"/>
      <c r="C132" s="376"/>
      <c r="D132" s="385"/>
      <c r="F132" s="436"/>
      <c r="J132" s="432"/>
      <c r="K132" s="432"/>
    </row>
    <row r="133" spans="1:11">
      <c r="A133" s="385"/>
      <c r="B133" s="385"/>
      <c r="C133" s="376"/>
      <c r="D133" s="385"/>
      <c r="F133" s="436"/>
      <c r="J133" s="432"/>
      <c r="K133" s="432"/>
    </row>
    <row r="134" spans="1:11">
      <c r="A134" s="385"/>
      <c r="B134" s="385"/>
      <c r="C134" s="376"/>
      <c r="D134" s="385"/>
      <c r="F134" s="436"/>
      <c r="J134" s="432"/>
      <c r="K134" s="432"/>
    </row>
    <row r="135" spans="1:11">
      <c r="A135" s="385"/>
      <c r="B135" s="385"/>
      <c r="C135" s="376"/>
      <c r="D135" s="385"/>
      <c r="F135" s="436"/>
      <c r="J135" s="432"/>
      <c r="K135" s="432"/>
    </row>
    <row r="136" spans="1:11">
      <c r="A136" s="385"/>
      <c r="B136" s="385"/>
      <c r="C136" s="376"/>
      <c r="D136" s="385"/>
      <c r="F136" s="436"/>
      <c r="J136" s="432"/>
      <c r="K136" s="432"/>
    </row>
    <row r="137" spans="1:11">
      <c r="A137" s="385"/>
      <c r="B137" s="385"/>
      <c r="C137" s="376"/>
      <c r="D137" s="385"/>
      <c r="F137" s="436"/>
      <c r="J137" s="432"/>
      <c r="K137" s="432"/>
    </row>
    <row r="138" spans="1:11">
      <c r="A138" s="385"/>
      <c r="B138" s="385"/>
      <c r="C138" s="376"/>
      <c r="D138" s="385"/>
      <c r="F138" s="436"/>
      <c r="J138" s="432"/>
      <c r="K138" s="432"/>
    </row>
    <row r="139" spans="1:11">
      <c r="A139" s="385"/>
      <c r="B139" s="385"/>
      <c r="C139" s="376"/>
      <c r="D139" s="385"/>
      <c r="F139" s="436"/>
      <c r="J139" s="432"/>
      <c r="K139" s="432"/>
    </row>
    <row r="140" spans="1:11">
      <c r="A140" s="385"/>
      <c r="B140" s="385"/>
      <c r="C140" s="376"/>
      <c r="D140" s="385"/>
      <c r="F140" s="436"/>
      <c r="J140" s="432"/>
      <c r="K140" s="432"/>
    </row>
    <row r="141" spans="1:11">
      <c r="A141" s="385"/>
      <c r="B141" s="385"/>
      <c r="C141" s="376"/>
      <c r="D141" s="385"/>
      <c r="F141" s="436"/>
      <c r="J141" s="432"/>
      <c r="K141" s="432"/>
    </row>
    <row r="142" spans="1:11">
      <c r="A142" s="385"/>
      <c r="B142" s="385"/>
      <c r="C142" s="376"/>
      <c r="D142" s="385"/>
      <c r="F142" s="436"/>
      <c r="J142" s="432"/>
      <c r="K142" s="432"/>
    </row>
    <row r="143" spans="1:11">
      <c r="A143" s="385"/>
      <c r="B143" s="385"/>
      <c r="C143" s="376"/>
      <c r="D143" s="385"/>
      <c r="F143" s="436"/>
      <c r="J143" s="432"/>
      <c r="K143" s="432"/>
    </row>
    <row r="144" spans="1:11">
      <c r="A144" s="385"/>
      <c r="B144" s="385"/>
      <c r="C144" s="376"/>
      <c r="D144" s="385"/>
      <c r="F144" s="436"/>
      <c r="J144" s="432"/>
      <c r="K144" s="432"/>
    </row>
    <row r="145" spans="1:11">
      <c r="A145" s="385"/>
      <c r="B145" s="385"/>
      <c r="C145" s="376"/>
      <c r="D145" s="385"/>
      <c r="F145" s="436"/>
      <c r="J145" s="432"/>
      <c r="K145" s="432"/>
    </row>
    <row r="146" spans="1:11">
      <c r="A146" s="385"/>
      <c r="B146" s="385"/>
      <c r="C146" s="376"/>
      <c r="D146" s="385"/>
      <c r="F146" s="436"/>
      <c r="J146" s="432"/>
      <c r="K146" s="432"/>
    </row>
    <row r="147" spans="1:11">
      <c r="A147" s="385"/>
      <c r="B147" s="385"/>
      <c r="C147" s="376"/>
      <c r="D147" s="385"/>
      <c r="F147" s="436"/>
      <c r="J147" s="432"/>
      <c r="K147" s="432"/>
    </row>
    <row r="148" spans="1:11">
      <c r="A148" s="385"/>
      <c r="B148" s="385"/>
      <c r="C148" s="376"/>
      <c r="D148" s="385"/>
      <c r="F148" s="436"/>
      <c r="J148" s="432"/>
      <c r="K148" s="432"/>
    </row>
    <row r="149" spans="1:11">
      <c r="A149" s="385"/>
      <c r="B149" s="385"/>
      <c r="C149" s="376"/>
      <c r="D149" s="385"/>
      <c r="F149" s="436"/>
      <c r="J149" s="432"/>
      <c r="K149" s="432"/>
    </row>
    <row r="150" spans="1:11">
      <c r="A150" s="385"/>
      <c r="B150" s="385"/>
      <c r="C150" s="376"/>
      <c r="D150" s="385"/>
      <c r="F150" s="436"/>
      <c r="J150" s="432"/>
      <c r="K150" s="432"/>
    </row>
    <row r="151" spans="1:11">
      <c r="A151" s="385"/>
      <c r="B151" s="385"/>
      <c r="C151" s="376"/>
      <c r="D151" s="385"/>
      <c r="F151" s="436"/>
      <c r="J151" s="432"/>
      <c r="K151" s="432"/>
    </row>
    <row r="152" spans="1:11">
      <c r="A152" s="385"/>
      <c r="B152" s="385"/>
      <c r="C152" s="376"/>
      <c r="D152" s="385"/>
      <c r="F152" s="436"/>
      <c r="J152" s="432"/>
      <c r="K152" s="432"/>
    </row>
    <row r="153" spans="1:11">
      <c r="A153" s="385"/>
      <c r="B153" s="385"/>
      <c r="C153" s="376"/>
      <c r="D153" s="385"/>
      <c r="F153" s="436"/>
      <c r="J153" s="432"/>
      <c r="K153" s="432"/>
    </row>
    <row r="154" spans="1:11">
      <c r="A154" s="385"/>
      <c r="B154" s="385"/>
      <c r="C154" s="376"/>
      <c r="D154" s="385"/>
      <c r="F154" s="436"/>
      <c r="J154" s="432"/>
      <c r="K154" s="432"/>
    </row>
    <row r="155" spans="1:11">
      <c r="A155" s="385"/>
      <c r="B155" s="385"/>
      <c r="C155" s="376"/>
      <c r="D155" s="385"/>
      <c r="F155" s="436"/>
      <c r="J155" s="432"/>
      <c r="K155" s="432"/>
    </row>
    <row r="156" spans="1:11">
      <c r="A156" s="385"/>
      <c r="B156" s="385"/>
      <c r="C156" s="376"/>
      <c r="D156" s="385"/>
      <c r="F156" s="436"/>
      <c r="J156" s="432"/>
      <c r="K156" s="432"/>
    </row>
    <row r="157" spans="1:11">
      <c r="A157" s="385"/>
      <c r="B157" s="385"/>
      <c r="C157" s="376"/>
      <c r="D157" s="385"/>
      <c r="F157" s="436"/>
      <c r="J157" s="432"/>
      <c r="K157" s="432"/>
    </row>
    <row r="158" spans="1:11">
      <c r="A158" s="385"/>
      <c r="B158" s="385"/>
      <c r="C158" s="376"/>
      <c r="D158" s="385"/>
      <c r="F158" s="436"/>
      <c r="J158" s="432"/>
      <c r="K158" s="432"/>
    </row>
    <row r="159" spans="1:11">
      <c r="A159" s="385"/>
      <c r="B159" s="385"/>
      <c r="C159" s="376"/>
      <c r="D159" s="385"/>
      <c r="F159" s="436"/>
      <c r="J159" s="432"/>
      <c r="K159" s="432"/>
    </row>
    <row r="160" spans="1:11">
      <c r="A160" s="385"/>
      <c r="B160" s="385"/>
      <c r="C160" s="376"/>
      <c r="D160" s="385"/>
      <c r="F160" s="436"/>
      <c r="J160" s="432"/>
      <c r="K160" s="432"/>
    </row>
    <row r="161" spans="1:11">
      <c r="A161" s="385"/>
      <c r="B161" s="385"/>
      <c r="C161" s="376"/>
      <c r="D161" s="385"/>
      <c r="F161" s="436"/>
      <c r="J161" s="432"/>
      <c r="K161" s="432"/>
    </row>
    <row r="162" spans="1:11">
      <c r="A162" s="385"/>
      <c r="B162" s="385"/>
      <c r="C162" s="376"/>
      <c r="D162" s="385"/>
      <c r="F162" s="436"/>
      <c r="J162" s="432"/>
      <c r="K162" s="432"/>
    </row>
    <row r="163" spans="1:11">
      <c r="A163" s="385"/>
      <c r="B163" s="385"/>
      <c r="C163" s="376"/>
      <c r="D163" s="385"/>
      <c r="F163" s="436"/>
      <c r="J163" s="432"/>
      <c r="K163" s="432"/>
    </row>
    <row r="164" spans="1:11">
      <c r="A164" s="385"/>
      <c r="B164" s="385"/>
      <c r="C164" s="376"/>
      <c r="D164" s="385"/>
      <c r="F164" s="436"/>
      <c r="J164" s="432"/>
      <c r="K164" s="432"/>
    </row>
    <row r="165" spans="1:11">
      <c r="A165" s="385"/>
      <c r="B165" s="385"/>
      <c r="C165" s="376"/>
      <c r="D165" s="385"/>
      <c r="F165" s="436"/>
      <c r="J165" s="432"/>
      <c r="K165" s="432"/>
    </row>
    <row r="166" spans="1:11">
      <c r="A166" s="385"/>
      <c r="B166" s="385"/>
      <c r="C166" s="376"/>
      <c r="D166" s="385"/>
      <c r="F166" s="436"/>
      <c r="J166" s="432"/>
      <c r="K166" s="432"/>
    </row>
    <row r="167" spans="1:11">
      <c r="A167" s="385"/>
      <c r="B167" s="385"/>
      <c r="C167" s="376"/>
      <c r="D167" s="385"/>
      <c r="F167" s="436"/>
      <c r="J167" s="432"/>
      <c r="K167" s="432"/>
    </row>
    <row r="168" spans="1:11">
      <c r="A168" s="385"/>
      <c r="B168" s="385"/>
      <c r="C168" s="376"/>
      <c r="D168" s="385"/>
      <c r="F168" s="436"/>
      <c r="J168" s="432"/>
      <c r="K168" s="432"/>
    </row>
    <row r="169" spans="1:11">
      <c r="A169" s="385"/>
      <c r="B169" s="385"/>
      <c r="C169" s="376"/>
      <c r="D169" s="385"/>
      <c r="F169" s="436"/>
      <c r="J169" s="432"/>
      <c r="K169" s="432"/>
    </row>
    <row r="170" spans="1:11">
      <c r="C170" s="376"/>
      <c r="J170" s="432"/>
      <c r="K170" s="432"/>
    </row>
    <row r="171" spans="1:11">
      <c r="C171" s="376"/>
      <c r="J171" s="432"/>
      <c r="K171" s="432"/>
    </row>
    <row r="172" spans="1:11">
      <c r="C172" s="376"/>
      <c r="J172" s="432"/>
      <c r="K172" s="432"/>
    </row>
    <row r="173" spans="1:11">
      <c r="C173" s="376"/>
      <c r="J173" s="432"/>
      <c r="K173" s="432"/>
    </row>
    <row r="174" spans="1:11">
      <c r="C174" s="376"/>
      <c r="J174" s="432"/>
      <c r="K174" s="432"/>
    </row>
    <row r="175" spans="1:11">
      <c r="C175" s="376"/>
      <c r="J175" s="432"/>
      <c r="K175" s="432"/>
    </row>
    <row r="176" spans="1:11">
      <c r="C176" s="376"/>
      <c r="J176" s="432"/>
      <c r="K176" s="432"/>
    </row>
  </sheetData>
  <mergeCells count="47">
    <mergeCell ref="U14:U15"/>
    <mergeCell ref="U36:U37"/>
    <mergeCell ref="T14:T15"/>
    <mergeCell ref="X14:X15"/>
    <mergeCell ref="X36:X37"/>
    <mergeCell ref="V14:V15"/>
    <mergeCell ref="V36:V37"/>
    <mergeCell ref="W14:W15"/>
    <mergeCell ref="W36:W37"/>
    <mergeCell ref="G14:G15"/>
    <mergeCell ref="G31:G32"/>
    <mergeCell ref="G33:G34"/>
    <mergeCell ref="G36:G37"/>
    <mergeCell ref="A33:A34"/>
    <mergeCell ref="B33:B34"/>
    <mergeCell ref="A36:A37"/>
    <mergeCell ref="B36:B37"/>
    <mergeCell ref="H36:H37"/>
    <mergeCell ref="S36:S37"/>
    <mergeCell ref="R36:R37"/>
    <mergeCell ref="H14:H15"/>
    <mergeCell ref="H31:H32"/>
    <mergeCell ref="H33:H34"/>
    <mergeCell ref="S14:S15"/>
    <mergeCell ref="S31:S32"/>
    <mergeCell ref="S33:S34"/>
    <mergeCell ref="R14:R15"/>
    <mergeCell ref="R31:R32"/>
    <mergeCell ref="R33:R34"/>
    <mergeCell ref="Q31:Q32"/>
    <mergeCell ref="Q33:Q34"/>
    <mergeCell ref="A4:A7"/>
    <mergeCell ref="B4:B7"/>
    <mergeCell ref="A8:A10"/>
    <mergeCell ref="B8:B10"/>
    <mergeCell ref="A31:A32"/>
    <mergeCell ref="B31:B32"/>
    <mergeCell ref="A11:A13"/>
    <mergeCell ref="B11:B13"/>
    <mergeCell ref="B14:B15"/>
    <mergeCell ref="A14:A15"/>
    <mergeCell ref="A16:A18"/>
    <mergeCell ref="B16:B18"/>
    <mergeCell ref="B19:B21"/>
    <mergeCell ref="A19:A21"/>
    <mergeCell ref="A24:A26"/>
    <mergeCell ref="B24:B26"/>
  </mergeCells>
  <phoneticPr fontId="12" type="noConversion"/>
  <conditionalFormatting sqref="Q31:Q34">
    <cfRule type="expression" dxfId="136" priority="28">
      <formula>ABS($R$31/$S$31-1)&gt;0.3</formula>
    </cfRule>
  </conditionalFormatting>
  <conditionalFormatting sqref="U4:U37 V4:X14 V16:X36">
    <cfRule type="expression" dxfId="135" priority="25">
      <formula>U4&lt;&gt;0</formula>
    </cfRule>
  </conditionalFormatting>
  <conditionalFormatting sqref="Q4:Q34 Q36:Q37">
    <cfRule type="expression" dxfId="134" priority="30">
      <formula>ABS($Q4)&gt;0.3</formula>
    </cfRule>
  </conditionalFormatting>
  <conditionalFormatting sqref="T20:T37 T12:T13 T16:T18 T5:T7 T9:T10">
    <cfRule type="cellIs" dxfId="133" priority="23" stopIfTrue="1" operator="lessThan">
      <formula>0</formula>
    </cfRule>
    <cfRule type="cellIs" dxfId="132" priority="24" operator="greaterThan">
      <formula>0</formula>
    </cfRule>
  </conditionalFormatting>
  <dataValidations count="4">
    <dataValidation type="list" allowBlank="1" showInputMessage="1" showErrorMessage="1" sqref="J34:K34">
      <formula1>$L$34:$N$34</formula1>
    </dataValidation>
    <dataValidation type="list" allowBlank="1" showInputMessage="1" showErrorMessage="1" sqref="J33:K33">
      <formula1>$L$33:$N$33</formula1>
    </dataValidation>
    <dataValidation type="list" allowBlank="1" showInputMessage="1" showErrorMessage="1" sqref="J32:K32">
      <formula1>$L$32:$M$32</formula1>
    </dataValidation>
    <dataValidation type="list" allowBlank="1" showInputMessage="1" showErrorMessage="1" sqref="J31:K31">
      <formula1>$L$31:$M$31</formula1>
    </dataValidation>
  </dataValidations>
  <hyperlinks>
    <hyperlink ref="D48" location="权重!A1" display="权重!A1"/>
    <hyperlink ref="D49" location="目录!A1" display="目录!A1"/>
  </hyperlinks>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sheetPr codeName="Sheet3">
    <tabColor theme="6"/>
  </sheetPr>
  <dimension ref="A1:U170"/>
  <sheetViews>
    <sheetView workbookViewId="0">
      <pane xSplit="8" ySplit="3" topLeftCell="J4" activePane="bottomRight" state="frozenSplit"/>
      <selection activeCell="C1" sqref="C1"/>
      <selection pane="topRight" activeCell="D1" sqref="D1"/>
      <selection pane="bottomLeft" activeCell="C22" sqref="C22"/>
      <selection pane="bottomRight" activeCell="B14" sqref="B14"/>
    </sheetView>
  </sheetViews>
  <sheetFormatPr defaultColWidth="8.875" defaultRowHeight="16.5" outlineLevelCol="2"/>
  <cols>
    <col min="1" max="2" width="20.75" style="384" customWidth="1" outlineLevel="1"/>
    <col min="3" max="3" width="4.625" style="536" customWidth="1"/>
    <col min="4" max="4" width="43.875" style="384" customWidth="1"/>
    <col min="5" max="5" width="13.5" style="374" hidden="1" customWidth="1" outlineLevel="1"/>
    <col min="6" max="6" width="11.5" style="461" hidden="1" customWidth="1" outlineLevel="2"/>
    <col min="7" max="7" width="10.5" style="371" hidden="1" customWidth="1" outlineLevel="1"/>
    <col min="8" max="8" width="9" style="371" customWidth="1" collapsed="1"/>
    <col min="9" max="9" width="9.625" style="371" hidden="1" customWidth="1" outlineLevel="1"/>
    <col min="10" max="10" width="12.25" style="459" customWidth="1" collapsed="1"/>
    <col min="11" max="11" width="12.875" style="459" customWidth="1"/>
    <col min="12" max="12" width="9.375" style="653" bestFit="1" customWidth="1"/>
    <col min="13" max="13" width="10.75" style="371" bestFit="1" customWidth="1"/>
    <col min="14" max="14" width="11.375" style="371" customWidth="1"/>
    <col min="15" max="15" width="8.875" style="371" customWidth="1"/>
    <col min="16" max="17" width="9.625" style="371" customWidth="1"/>
    <col min="18" max="18" width="9.875" style="371" customWidth="1"/>
    <col min="19" max="19" width="13.25" style="371" bestFit="1" customWidth="1"/>
    <col min="20" max="21" width="8.875" style="532"/>
    <col min="22" max="16384" width="8.875" style="371"/>
  </cols>
  <sheetData>
    <row r="1" spans="1:19" ht="9.75" customHeight="1">
      <c r="A1" s="526"/>
      <c r="B1" s="526"/>
      <c r="C1" s="525" t="s">
        <v>22</v>
      </c>
      <c r="D1" s="526"/>
      <c r="F1" s="527"/>
      <c r="I1" s="583"/>
      <c r="J1" s="527"/>
      <c r="K1" s="527"/>
    </row>
    <row r="2" spans="1:19" s="374" customFormat="1" ht="27" customHeight="1">
      <c r="A2" s="527"/>
      <c r="B2" s="527"/>
      <c r="C2" s="528"/>
      <c r="D2" s="529"/>
      <c r="F2" s="527"/>
      <c r="J2" s="527"/>
      <c r="K2" s="527"/>
      <c r="L2" s="26"/>
      <c r="N2" s="364" t="s">
        <v>1656</v>
      </c>
    </row>
    <row r="3" spans="1:19" s="374" customFormat="1" ht="15">
      <c r="A3" s="531" t="s">
        <v>395</v>
      </c>
      <c r="B3" s="531" t="s">
        <v>396</v>
      </c>
      <c r="C3" s="530" t="s">
        <v>184</v>
      </c>
      <c r="D3" s="531" t="s">
        <v>190</v>
      </c>
      <c r="E3" s="531" t="s">
        <v>1485</v>
      </c>
      <c r="F3" s="531" t="s">
        <v>394</v>
      </c>
      <c r="G3" s="531" t="s">
        <v>650</v>
      </c>
      <c r="H3" s="531" t="s">
        <v>489</v>
      </c>
      <c r="I3" s="531" t="s">
        <v>1099</v>
      </c>
      <c r="J3" s="605" t="s">
        <v>1421</v>
      </c>
      <c r="K3" s="606" t="s">
        <v>2255</v>
      </c>
      <c r="L3" s="578" t="s">
        <v>1100</v>
      </c>
      <c r="M3" s="606" t="s">
        <v>2258</v>
      </c>
      <c r="N3" s="605" t="s">
        <v>2159</v>
      </c>
      <c r="O3" s="531" t="s">
        <v>1101</v>
      </c>
      <c r="P3" s="531" t="s">
        <v>465</v>
      </c>
      <c r="Q3" s="533" t="s">
        <v>1601</v>
      </c>
      <c r="R3" s="533" t="s">
        <v>1602</v>
      </c>
      <c r="S3" s="607" t="s">
        <v>2467</v>
      </c>
    </row>
    <row r="4" spans="1:19" s="374" customFormat="1" ht="15.75" customHeight="1">
      <c r="A4" s="654" t="s">
        <v>1731</v>
      </c>
      <c r="B4" s="655" t="s">
        <v>1732</v>
      </c>
      <c r="C4" s="397">
        <v>1</v>
      </c>
      <c r="D4" s="1416" t="s">
        <v>1709</v>
      </c>
      <c r="E4" s="534"/>
      <c r="F4" s="535" t="s">
        <v>401</v>
      </c>
      <c r="G4" s="360" t="s">
        <v>227</v>
      </c>
      <c r="H4" s="399">
        <v>10</v>
      </c>
      <c r="I4" s="542"/>
      <c r="J4" s="22">
        <v>0.8125</v>
      </c>
      <c r="K4" s="22">
        <f>IF(K6=0,"",ROUND(K5,0)/ROUND(K6,0))</f>
        <v>0.77777777777777779</v>
      </c>
      <c r="L4" s="648">
        <f t="shared" ref="L4:L21" si="0">IF(AND(J4=0,K4&lt;&gt;0),1,IF(AND(J4=0,K4=0),0,K4/J4-1))</f>
        <v>-4.2735042735042694E-2</v>
      </c>
      <c r="M4" s="380" t="str">
        <f>G4</f>
        <v>行业水平评分</v>
      </c>
      <c r="N4" s="380" t="str">
        <f>G4</f>
        <v>行业水平评分</v>
      </c>
      <c r="O4" s="408">
        <v>0</v>
      </c>
      <c r="P4" s="1483">
        <v>10</v>
      </c>
      <c r="Q4" s="1483">
        <f>P4*0.3</f>
        <v>3</v>
      </c>
      <c r="R4" s="1483">
        <f>Q4/9</f>
        <v>0.33333333333333331</v>
      </c>
      <c r="S4" s="1483">
        <f>R4/2</f>
        <v>0.16666666666666666</v>
      </c>
    </row>
    <row r="5" spans="1:19" s="374" customFormat="1" ht="15.6" customHeight="1">
      <c r="A5" s="656"/>
      <c r="B5" s="657"/>
      <c r="C5" s="404">
        <v>1.1000000000000001</v>
      </c>
      <c r="D5" s="405" t="s">
        <v>2124</v>
      </c>
      <c r="E5" s="534" t="s">
        <v>203</v>
      </c>
      <c r="F5" s="570"/>
      <c r="G5" s="542"/>
      <c r="H5" s="380"/>
      <c r="I5" s="542" t="s">
        <v>219</v>
      </c>
      <c r="J5" s="402">
        <v>13.2</v>
      </c>
      <c r="K5" s="402">
        <v>13.8</v>
      </c>
      <c r="L5" s="648">
        <f t="shared" si="0"/>
        <v>4.5454545454545636E-2</v>
      </c>
      <c r="M5" s="379"/>
      <c r="N5" s="379"/>
      <c r="O5" s="408">
        <f>M5-N5</f>
        <v>0</v>
      </c>
      <c r="P5" s="1341"/>
      <c r="Q5" s="1341">
        <f>P5*0.3</f>
        <v>0</v>
      </c>
      <c r="R5" s="1341">
        <f t="shared" ref="R5:R25" si="1">Q5/9</f>
        <v>0</v>
      </c>
      <c r="S5" s="1341">
        <f t="shared" ref="S5:S24" si="2">R5/2</f>
        <v>0</v>
      </c>
    </row>
    <row r="6" spans="1:19" s="374" customFormat="1" ht="15" customHeight="1">
      <c r="A6" s="658"/>
      <c r="B6" s="659"/>
      <c r="C6" s="404">
        <v>1.2</v>
      </c>
      <c r="D6" s="405" t="s">
        <v>2121</v>
      </c>
      <c r="E6" s="534" t="s">
        <v>203</v>
      </c>
      <c r="F6" s="570"/>
      <c r="G6" s="542"/>
      <c r="H6" s="380"/>
      <c r="I6" s="542" t="s">
        <v>219</v>
      </c>
      <c r="J6" s="402">
        <v>16</v>
      </c>
      <c r="K6" s="402">
        <v>18</v>
      </c>
      <c r="L6" s="648">
        <f t="shared" si="0"/>
        <v>0.125</v>
      </c>
      <c r="M6" s="379"/>
      <c r="N6" s="379"/>
      <c r="O6" s="408">
        <f>M6-N6</f>
        <v>0</v>
      </c>
      <c r="P6" s="1341"/>
      <c r="Q6" s="1341">
        <f t="shared" ref="Q6:Q25" si="3">P6*0.3</f>
        <v>0</v>
      </c>
      <c r="R6" s="1341">
        <f t="shared" si="1"/>
        <v>0</v>
      </c>
      <c r="S6" s="1341">
        <f t="shared" si="2"/>
        <v>0</v>
      </c>
    </row>
    <row r="7" spans="1:19" s="374" customFormat="1" ht="17.25" customHeight="1">
      <c r="A7" s="1741" t="s">
        <v>2120</v>
      </c>
      <c r="B7" s="1744" t="s">
        <v>2119</v>
      </c>
      <c r="C7" s="397">
        <v>2</v>
      </c>
      <c r="D7" s="1435" t="s">
        <v>1710</v>
      </c>
      <c r="E7" s="534"/>
      <c r="F7" s="535" t="s">
        <v>401</v>
      </c>
      <c r="G7" s="542" t="s">
        <v>231</v>
      </c>
      <c r="H7" s="399">
        <v>10</v>
      </c>
      <c r="I7" s="542"/>
      <c r="J7" s="22">
        <v>0.65217391304347827</v>
      </c>
      <c r="K7" s="22">
        <f>(ROUND(K8,0)+ROUND(K9,0))/ROUND(K10,0)</f>
        <v>0.66666666666666663</v>
      </c>
      <c r="L7" s="648">
        <f t="shared" si="0"/>
        <v>2.2222222222222143E-2</v>
      </c>
      <c r="M7" s="380" t="str">
        <f>G7</f>
        <v>行业水平评分</v>
      </c>
      <c r="N7" s="380" t="str">
        <f>G7</f>
        <v>行业水平评分</v>
      </c>
      <c r="O7" s="408">
        <v>0</v>
      </c>
      <c r="P7" s="1483">
        <v>10</v>
      </c>
      <c r="Q7" s="1483">
        <f t="shared" si="3"/>
        <v>3</v>
      </c>
      <c r="R7" s="1483">
        <f t="shared" si="1"/>
        <v>0.33333333333333331</v>
      </c>
      <c r="S7" s="1483">
        <f t="shared" si="2"/>
        <v>0.16666666666666666</v>
      </c>
    </row>
    <row r="8" spans="1:19" s="374" customFormat="1" ht="15.6" customHeight="1">
      <c r="A8" s="1742"/>
      <c r="B8" s="1745"/>
      <c r="C8" s="404">
        <v>2.1</v>
      </c>
      <c r="D8" s="405" t="s">
        <v>23</v>
      </c>
      <c r="E8" s="534" t="s">
        <v>203</v>
      </c>
      <c r="F8" s="570"/>
      <c r="G8" s="542"/>
      <c r="H8" s="380"/>
      <c r="I8" s="542" t="s">
        <v>219</v>
      </c>
      <c r="J8" s="402">
        <v>7.6</v>
      </c>
      <c r="K8" s="402">
        <v>7.4</v>
      </c>
      <c r="L8" s="648">
        <f t="shared" si="0"/>
        <v>-2.631578947368407E-2</v>
      </c>
      <c r="M8" s="379"/>
      <c r="N8" s="379"/>
      <c r="O8" s="408">
        <f>M8-N8</f>
        <v>0</v>
      </c>
      <c r="P8" s="1484"/>
      <c r="Q8" s="1341">
        <f t="shared" si="3"/>
        <v>0</v>
      </c>
      <c r="R8" s="1341">
        <f t="shared" si="1"/>
        <v>0</v>
      </c>
      <c r="S8" s="1341">
        <f t="shared" si="2"/>
        <v>0</v>
      </c>
    </row>
    <row r="9" spans="1:19" s="374" customFormat="1" ht="15.6" customHeight="1">
      <c r="A9" s="1742"/>
      <c r="B9" s="1745"/>
      <c r="C9" s="404">
        <v>2.2000000000000002</v>
      </c>
      <c r="D9" s="405" t="s">
        <v>24</v>
      </c>
      <c r="E9" s="534" t="s">
        <v>203</v>
      </c>
      <c r="F9" s="570"/>
      <c r="G9" s="542"/>
      <c r="H9" s="380"/>
      <c r="I9" s="542" t="s">
        <v>219</v>
      </c>
      <c r="J9" s="402">
        <v>6.5</v>
      </c>
      <c r="K9" s="402">
        <v>6.5</v>
      </c>
      <c r="L9" s="648">
        <f t="shared" si="0"/>
        <v>0</v>
      </c>
      <c r="M9" s="379"/>
      <c r="N9" s="379"/>
      <c r="O9" s="408">
        <f t="shared" ref="O9:O21" si="4">M9-N9</f>
        <v>0</v>
      </c>
      <c r="P9" s="1484"/>
      <c r="Q9" s="1341">
        <f t="shared" si="3"/>
        <v>0</v>
      </c>
      <c r="R9" s="1341">
        <f t="shared" si="1"/>
        <v>0</v>
      </c>
      <c r="S9" s="1341">
        <f t="shared" si="2"/>
        <v>0</v>
      </c>
    </row>
    <row r="10" spans="1:19" s="374" customFormat="1" ht="15.6" customHeight="1">
      <c r="A10" s="1743"/>
      <c r="B10" s="1746"/>
      <c r="C10" s="404">
        <v>2.2999999999999998</v>
      </c>
      <c r="D10" s="405" t="s">
        <v>2118</v>
      </c>
      <c r="E10" s="534" t="s">
        <v>203</v>
      </c>
      <c r="F10" s="570"/>
      <c r="G10" s="542"/>
      <c r="H10" s="380"/>
      <c r="I10" s="542" t="s">
        <v>219</v>
      </c>
      <c r="J10" s="402">
        <v>22.900000000000002</v>
      </c>
      <c r="K10" s="402">
        <v>21.2</v>
      </c>
      <c r="L10" s="648">
        <f t="shared" si="0"/>
        <v>-7.4235807860262071E-2</v>
      </c>
      <c r="M10" s="379"/>
      <c r="N10" s="379"/>
      <c r="O10" s="408">
        <f t="shared" si="4"/>
        <v>0</v>
      </c>
      <c r="P10" s="1484"/>
      <c r="Q10" s="1341">
        <f t="shared" si="3"/>
        <v>0</v>
      </c>
      <c r="R10" s="1341">
        <f t="shared" si="1"/>
        <v>0</v>
      </c>
      <c r="S10" s="1341">
        <f t="shared" si="2"/>
        <v>0</v>
      </c>
    </row>
    <row r="11" spans="1:19" s="374" customFormat="1" ht="15.6" customHeight="1">
      <c r="A11" s="1266" t="s">
        <v>2267</v>
      </c>
      <c r="B11" s="660" t="s">
        <v>245</v>
      </c>
      <c r="C11" s="397">
        <v>3</v>
      </c>
      <c r="D11" s="1416" t="s">
        <v>1711</v>
      </c>
      <c r="E11" s="534" t="s">
        <v>203</v>
      </c>
      <c r="F11" s="535" t="s">
        <v>398</v>
      </c>
      <c r="G11" s="542" t="s">
        <v>231</v>
      </c>
      <c r="H11" s="399">
        <v>4</v>
      </c>
      <c r="I11" s="542" t="s">
        <v>220</v>
      </c>
      <c r="J11" s="1294">
        <v>0.31859999999999999</v>
      </c>
      <c r="K11" s="1294">
        <v>0.21210000000000001</v>
      </c>
      <c r="L11" s="648">
        <f t="shared" si="0"/>
        <v>-0.33427495291902065</v>
      </c>
      <c r="M11" s="380" t="str">
        <f>G11</f>
        <v>行业水平评分</v>
      </c>
      <c r="N11" s="380" t="str">
        <f>G11</f>
        <v>行业水平评分</v>
      </c>
      <c r="O11" s="408">
        <v>0</v>
      </c>
      <c r="P11" s="1483">
        <v>4</v>
      </c>
      <c r="Q11" s="1483">
        <f t="shared" si="3"/>
        <v>1.2</v>
      </c>
      <c r="R11" s="1483">
        <f t="shared" si="1"/>
        <v>0.13333333333333333</v>
      </c>
      <c r="S11" s="1483">
        <f t="shared" si="2"/>
        <v>6.6666666666666666E-2</v>
      </c>
    </row>
    <row r="12" spans="1:19" s="374" customFormat="1" ht="15.6" customHeight="1">
      <c r="A12" s="570" t="s">
        <v>246</v>
      </c>
      <c r="B12" s="660" t="s">
        <v>247</v>
      </c>
      <c r="C12" s="397">
        <v>4</v>
      </c>
      <c r="D12" s="1416" t="s">
        <v>1712</v>
      </c>
      <c r="E12" s="534" t="s">
        <v>203</v>
      </c>
      <c r="F12" s="535" t="s">
        <v>398</v>
      </c>
      <c r="G12" s="542" t="s">
        <v>231</v>
      </c>
      <c r="H12" s="399">
        <v>6</v>
      </c>
      <c r="I12" s="542" t="s">
        <v>220</v>
      </c>
      <c r="J12" s="1294">
        <v>0.158</v>
      </c>
      <c r="K12" s="1294">
        <v>0.14899999999999999</v>
      </c>
      <c r="L12" s="648">
        <f t="shared" si="0"/>
        <v>-5.6962025316455778E-2</v>
      </c>
      <c r="M12" s="380" t="str">
        <f>G12</f>
        <v>行业水平评分</v>
      </c>
      <c r="N12" s="380" t="str">
        <f>G12</f>
        <v>行业水平评分</v>
      </c>
      <c r="O12" s="408">
        <v>0</v>
      </c>
      <c r="P12" s="1483">
        <v>6</v>
      </c>
      <c r="Q12" s="1483">
        <f t="shared" si="3"/>
        <v>1.7999999999999998</v>
      </c>
      <c r="R12" s="1483">
        <f t="shared" si="1"/>
        <v>0.19999999999999998</v>
      </c>
      <c r="S12" s="1483">
        <f t="shared" si="2"/>
        <v>9.9999999999999992E-2</v>
      </c>
    </row>
    <row r="13" spans="1:19" s="374" customFormat="1" ht="15.6" customHeight="1">
      <c r="A13" s="1266" t="s">
        <v>2266</v>
      </c>
      <c r="B13" s="660" t="s">
        <v>248</v>
      </c>
      <c r="C13" s="397">
        <v>5</v>
      </c>
      <c r="D13" s="1416" t="s">
        <v>1713</v>
      </c>
      <c r="E13" s="534" t="s">
        <v>203</v>
      </c>
      <c r="F13" s="535" t="s">
        <v>398</v>
      </c>
      <c r="G13" s="542" t="s">
        <v>231</v>
      </c>
      <c r="H13" s="399">
        <v>10</v>
      </c>
      <c r="I13" s="542" t="s">
        <v>221</v>
      </c>
      <c r="J13" s="1294">
        <v>0.14000000000000001</v>
      </c>
      <c r="K13" s="1294">
        <v>0.16</v>
      </c>
      <c r="L13" s="648">
        <f t="shared" si="0"/>
        <v>0.14285714285714279</v>
      </c>
      <c r="M13" s="380" t="str">
        <f>G13</f>
        <v>行业水平评分</v>
      </c>
      <c r="N13" s="380" t="str">
        <f>G13</f>
        <v>行业水平评分</v>
      </c>
      <c r="O13" s="408">
        <v>0</v>
      </c>
      <c r="P13" s="1483">
        <v>10</v>
      </c>
      <c r="Q13" s="1483">
        <f t="shared" si="3"/>
        <v>3</v>
      </c>
      <c r="R13" s="1483">
        <f t="shared" si="1"/>
        <v>0.33333333333333331</v>
      </c>
      <c r="S13" s="1483">
        <f t="shared" si="2"/>
        <v>0.16666666666666666</v>
      </c>
    </row>
    <row r="14" spans="1:19" s="374" customFormat="1" ht="15.6" customHeight="1">
      <c r="A14" s="1266" t="s">
        <v>2265</v>
      </c>
      <c r="B14" s="660" t="s">
        <v>249</v>
      </c>
      <c r="C14" s="397">
        <v>6</v>
      </c>
      <c r="D14" s="1416" t="s">
        <v>1714</v>
      </c>
      <c r="E14" s="534" t="s">
        <v>203</v>
      </c>
      <c r="F14" s="535" t="s">
        <v>398</v>
      </c>
      <c r="G14" s="542" t="s">
        <v>231</v>
      </c>
      <c r="H14" s="399">
        <v>7</v>
      </c>
      <c r="I14" s="542" t="s">
        <v>216</v>
      </c>
      <c r="J14" s="1292">
        <v>2.85</v>
      </c>
      <c r="K14" s="1292">
        <v>6.67</v>
      </c>
      <c r="L14" s="648">
        <f t="shared" si="0"/>
        <v>1.3403508771929822</v>
      </c>
      <c r="M14" s="380" t="str">
        <f>G14</f>
        <v>行业水平评分</v>
      </c>
      <c r="N14" s="380" t="str">
        <f>G14</f>
        <v>行业水平评分</v>
      </c>
      <c r="O14" s="408">
        <v>0</v>
      </c>
      <c r="P14" s="1485">
        <v>7</v>
      </c>
      <c r="Q14" s="1483">
        <f t="shared" si="3"/>
        <v>2.1</v>
      </c>
      <c r="R14" s="1483">
        <f t="shared" si="1"/>
        <v>0.23333333333333334</v>
      </c>
      <c r="S14" s="1483">
        <f t="shared" si="2"/>
        <v>0.11666666666666667</v>
      </c>
    </row>
    <row r="15" spans="1:19" s="374" customFormat="1" ht="15.6" customHeight="1">
      <c r="A15" s="1266" t="s">
        <v>2264</v>
      </c>
      <c r="B15" s="660" t="s">
        <v>234</v>
      </c>
      <c r="C15" s="397">
        <v>7</v>
      </c>
      <c r="D15" s="410" t="s">
        <v>479</v>
      </c>
      <c r="E15" s="534" t="s">
        <v>453</v>
      </c>
      <c r="F15" s="535" t="s">
        <v>451</v>
      </c>
      <c r="G15" s="379" t="s">
        <v>229</v>
      </c>
      <c r="H15" s="399">
        <v>8</v>
      </c>
      <c r="I15" s="542"/>
      <c r="J15" s="402">
        <v>0</v>
      </c>
      <c r="K15" s="402">
        <v>0</v>
      </c>
      <c r="L15" s="648">
        <f t="shared" si="0"/>
        <v>0</v>
      </c>
      <c r="M15" s="1332">
        <f>MAX(H15-K15*0.5,0)</f>
        <v>8</v>
      </c>
      <c r="N15" s="1332">
        <f>MAX(M15-J15*0.5,0)</f>
        <v>8</v>
      </c>
      <c r="O15" s="408">
        <f t="shared" si="4"/>
        <v>0</v>
      </c>
      <c r="P15" s="1484">
        <f>H15-M15</f>
        <v>0</v>
      </c>
      <c r="Q15" s="1341">
        <f t="shared" si="3"/>
        <v>0</v>
      </c>
      <c r="R15" s="1341">
        <f t="shared" si="1"/>
        <v>0</v>
      </c>
      <c r="S15" s="1341">
        <f t="shared" si="2"/>
        <v>0</v>
      </c>
    </row>
    <row r="16" spans="1:19" s="374" customFormat="1" ht="15.6" customHeight="1">
      <c r="A16" s="1266" t="s">
        <v>2263</v>
      </c>
      <c r="B16" s="660" t="s">
        <v>250</v>
      </c>
      <c r="C16" s="397">
        <v>8</v>
      </c>
      <c r="D16" s="410" t="s">
        <v>480</v>
      </c>
      <c r="E16" s="534" t="s">
        <v>205</v>
      </c>
      <c r="F16" s="535" t="s">
        <v>451</v>
      </c>
      <c r="G16" s="379" t="s">
        <v>229</v>
      </c>
      <c r="H16" s="399">
        <v>5</v>
      </c>
      <c r="I16" s="542" t="s">
        <v>637</v>
      </c>
      <c r="J16" s="402">
        <v>0</v>
      </c>
      <c r="K16" s="402">
        <v>0</v>
      </c>
      <c r="L16" s="648">
        <f t="shared" si="0"/>
        <v>0</v>
      </c>
      <c r="M16" s="1332">
        <f>MAX(H16-K16,0)</f>
        <v>5</v>
      </c>
      <c r="N16" s="1332">
        <f>MAX(M16-J16,0)</f>
        <v>5</v>
      </c>
      <c r="O16" s="408">
        <f t="shared" si="4"/>
        <v>0</v>
      </c>
      <c r="P16" s="1484">
        <f>H16-M16</f>
        <v>0</v>
      </c>
      <c r="Q16" s="1341">
        <f t="shared" si="3"/>
        <v>0</v>
      </c>
      <c r="R16" s="1341">
        <f t="shared" si="1"/>
        <v>0</v>
      </c>
      <c r="S16" s="1341">
        <f t="shared" si="2"/>
        <v>0</v>
      </c>
    </row>
    <row r="17" spans="1:20" s="374" customFormat="1" ht="15.6" customHeight="1">
      <c r="A17" s="1266" t="s">
        <v>2262</v>
      </c>
      <c r="B17" s="660" t="s">
        <v>250</v>
      </c>
      <c r="C17" s="397">
        <v>9</v>
      </c>
      <c r="D17" s="410" t="s">
        <v>481</v>
      </c>
      <c r="E17" s="534" t="s">
        <v>203</v>
      </c>
      <c r="F17" s="535" t="s">
        <v>451</v>
      </c>
      <c r="G17" s="379" t="s">
        <v>229</v>
      </c>
      <c r="H17" s="399">
        <v>5</v>
      </c>
      <c r="I17" s="542" t="s">
        <v>637</v>
      </c>
      <c r="J17" s="402">
        <v>0</v>
      </c>
      <c r="K17" s="402">
        <v>0</v>
      </c>
      <c r="L17" s="648">
        <f t="shared" si="0"/>
        <v>0</v>
      </c>
      <c r="M17" s="1332">
        <f>MAX(H17-K17,0)</f>
        <v>5</v>
      </c>
      <c r="N17" s="1332">
        <f>MAX(M17-J17,0)</f>
        <v>5</v>
      </c>
      <c r="O17" s="408">
        <f t="shared" si="4"/>
        <v>0</v>
      </c>
      <c r="P17" s="1484">
        <f>H17-M17</f>
        <v>0</v>
      </c>
      <c r="Q17" s="1341">
        <f t="shared" si="3"/>
        <v>0</v>
      </c>
      <c r="R17" s="1341">
        <f t="shared" si="1"/>
        <v>0</v>
      </c>
      <c r="S17" s="1341">
        <f t="shared" si="2"/>
        <v>0</v>
      </c>
    </row>
    <row r="18" spans="1:20" s="374" customFormat="1" ht="18.75" customHeight="1">
      <c r="A18" s="1384" t="s">
        <v>468</v>
      </c>
      <c r="B18" s="660" t="s">
        <v>439</v>
      </c>
      <c r="C18" s="397">
        <v>10</v>
      </c>
      <c r="D18" s="1416" t="s">
        <v>2469</v>
      </c>
      <c r="E18" s="534" t="s">
        <v>203</v>
      </c>
      <c r="F18" s="535" t="s">
        <v>398</v>
      </c>
      <c r="G18" s="360" t="s">
        <v>1527</v>
      </c>
      <c r="H18" s="399">
        <v>11</v>
      </c>
      <c r="I18" s="542" t="s">
        <v>216</v>
      </c>
      <c r="J18" s="402">
        <v>0</v>
      </c>
      <c r="K18" s="402">
        <v>1</v>
      </c>
      <c r="L18" s="648">
        <f t="shared" si="0"/>
        <v>1</v>
      </c>
      <c r="M18" s="1432" t="str">
        <f>IF(K18=0,11,$G$18)</f>
        <v>行业排序得分</v>
      </c>
      <c r="N18" s="1332">
        <f>IF(J18=0,11,$G$18)</f>
        <v>11</v>
      </c>
      <c r="O18" s="408">
        <v>-11</v>
      </c>
      <c r="P18" s="1484">
        <v>11</v>
      </c>
      <c r="Q18" s="1341">
        <f t="shared" si="3"/>
        <v>3.3</v>
      </c>
      <c r="R18" s="1341">
        <f t="shared" si="1"/>
        <v>0.36666666666666664</v>
      </c>
      <c r="S18" s="1341">
        <f t="shared" si="2"/>
        <v>0.18333333333333332</v>
      </c>
      <c r="T18" s="374">
        <f>S18/2</f>
        <v>9.166666666666666E-2</v>
      </c>
    </row>
    <row r="19" spans="1:20" s="374" customFormat="1" ht="15.6" customHeight="1">
      <c r="A19" s="1305" t="s">
        <v>2274</v>
      </c>
      <c r="B19" s="655" t="s">
        <v>2182</v>
      </c>
      <c r="C19" s="397">
        <v>11</v>
      </c>
      <c r="D19" s="1415" t="s">
        <v>2478</v>
      </c>
      <c r="E19" s="534" t="s">
        <v>453</v>
      </c>
      <c r="F19" s="535" t="s">
        <v>451</v>
      </c>
      <c r="G19" s="379" t="s">
        <v>228</v>
      </c>
      <c r="H19" s="1679">
        <v>12</v>
      </c>
      <c r="I19" s="661"/>
      <c r="J19" s="402">
        <v>8</v>
      </c>
      <c r="K19" s="402">
        <v>12</v>
      </c>
      <c r="L19" s="648">
        <f t="shared" si="0"/>
        <v>0.5</v>
      </c>
      <c r="M19" s="1748">
        <f>$H$19-K19*0.5-K20</f>
        <v>5</v>
      </c>
      <c r="N19" s="1747">
        <f>$H$19-J19*0.5-J20</f>
        <v>8</v>
      </c>
      <c r="O19" s="1680">
        <f>M19-N19</f>
        <v>-3</v>
      </c>
      <c r="P19" s="1739">
        <f>H19-M19</f>
        <v>7</v>
      </c>
      <c r="Q19" s="1739">
        <f t="shared" si="3"/>
        <v>2.1</v>
      </c>
      <c r="R19" s="1739">
        <f t="shared" si="1"/>
        <v>0.23333333333333334</v>
      </c>
      <c r="S19" s="1739">
        <f t="shared" si="2"/>
        <v>0.11666666666666667</v>
      </c>
    </row>
    <row r="20" spans="1:20" s="374" customFormat="1" ht="15.6" customHeight="1">
      <c r="A20" s="658"/>
      <c r="B20" s="659"/>
      <c r="C20" s="397">
        <v>12</v>
      </c>
      <c r="D20" s="1415" t="s">
        <v>1715</v>
      </c>
      <c r="E20" s="534" t="s">
        <v>453</v>
      </c>
      <c r="F20" s="535" t="s">
        <v>451</v>
      </c>
      <c r="G20" s="379" t="s">
        <v>228</v>
      </c>
      <c r="H20" s="1679"/>
      <c r="I20" s="661" t="s">
        <v>1681</v>
      </c>
      <c r="J20" s="402">
        <v>0</v>
      </c>
      <c r="K20" s="402">
        <v>1</v>
      </c>
      <c r="L20" s="648">
        <f t="shared" si="0"/>
        <v>1</v>
      </c>
      <c r="M20" s="1748"/>
      <c r="N20" s="1670"/>
      <c r="O20" s="1682"/>
      <c r="P20" s="1740"/>
      <c r="Q20" s="1740"/>
      <c r="R20" s="1740"/>
      <c r="S20" s="1740"/>
    </row>
    <row r="21" spans="1:20" s="374" customFormat="1" ht="15.6" customHeight="1">
      <c r="A21" s="654" t="s">
        <v>251</v>
      </c>
      <c r="B21" s="655" t="s">
        <v>252</v>
      </c>
      <c r="C21" s="397">
        <v>13</v>
      </c>
      <c r="D21" s="410" t="s">
        <v>482</v>
      </c>
      <c r="E21" s="534" t="s">
        <v>203</v>
      </c>
      <c r="F21" s="535" t="s">
        <v>451</v>
      </c>
      <c r="G21" s="379" t="s">
        <v>228</v>
      </c>
      <c r="H21" s="399">
        <v>12</v>
      </c>
      <c r="I21" s="542" t="s">
        <v>638</v>
      </c>
      <c r="J21" s="402">
        <v>0</v>
      </c>
      <c r="K21" s="402">
        <v>0</v>
      </c>
      <c r="L21" s="648">
        <f t="shared" si="0"/>
        <v>0</v>
      </c>
      <c r="M21" s="1332">
        <f>MAX(H21-K21,0)</f>
        <v>12</v>
      </c>
      <c r="N21" s="1332">
        <f>MAX(M21-J21,0)</f>
        <v>12</v>
      </c>
      <c r="O21" s="408">
        <f t="shared" si="4"/>
        <v>0</v>
      </c>
      <c r="P21" s="1484">
        <f>H21-M21</f>
        <v>0</v>
      </c>
      <c r="Q21" s="1341">
        <f t="shared" si="3"/>
        <v>0</v>
      </c>
      <c r="R21" s="1341">
        <f t="shared" si="1"/>
        <v>0</v>
      </c>
      <c r="S21" s="1341">
        <f t="shared" si="2"/>
        <v>0</v>
      </c>
    </row>
    <row r="22" spans="1:20" s="374" customFormat="1" ht="15.6" customHeight="1">
      <c r="A22" s="379"/>
      <c r="B22" s="662"/>
      <c r="C22" s="663"/>
      <c r="D22" s="434" t="s">
        <v>224</v>
      </c>
      <c r="E22" s="664"/>
      <c r="F22" s="379"/>
      <c r="G22" s="542"/>
      <c r="H22" s="499">
        <f>SUM(H4:H21)</f>
        <v>100</v>
      </c>
      <c r="I22" s="572"/>
      <c r="J22" s="665"/>
      <c r="K22" s="665"/>
      <c r="L22" s="667"/>
      <c r="M22" s="457">
        <f>SUBTOTAL(9,M3:M21)</f>
        <v>35</v>
      </c>
      <c r="N22" s="457">
        <f>SUBTOTAL(9,N3:N21)</f>
        <v>49</v>
      </c>
      <c r="O22" s="1390">
        <f>SUM(O4:O21)</f>
        <v>-14</v>
      </c>
      <c r="P22" s="1486">
        <f>SUM(P4:P20)</f>
        <v>65</v>
      </c>
      <c r="Q22" s="1487">
        <f>P22*0.3</f>
        <v>19.5</v>
      </c>
      <c r="R22" s="1487">
        <f>Q22/9</f>
        <v>2.1666666666666665</v>
      </c>
      <c r="S22" s="1487">
        <f>R22/2</f>
        <v>1.0833333333333333</v>
      </c>
    </row>
    <row r="23" spans="1:20">
      <c r="D23" s="434" t="s">
        <v>1550</v>
      </c>
      <c r="H23" s="399">
        <f>SUM(H15:H17)+SUM(H19:H21)</f>
        <v>42</v>
      </c>
      <c r="L23" s="22">
        <f>H23-M23-P23</f>
        <v>0</v>
      </c>
      <c r="M23" s="1385">
        <f>SUM(M19:M21)+SUM(M15:M17)</f>
        <v>35</v>
      </c>
      <c r="N23" s="1389">
        <f>SUM(N19:N21)+SUM(N15:N17)</f>
        <v>38</v>
      </c>
      <c r="P23" s="1488">
        <f>SUM(P15:P17)+SUM(P19:P21)</f>
        <v>7</v>
      </c>
      <c r="Q23" s="1487">
        <f t="shared" si="3"/>
        <v>2.1</v>
      </c>
      <c r="R23" s="1487">
        <f t="shared" si="1"/>
        <v>0.23333333333333334</v>
      </c>
      <c r="S23" s="1487">
        <f t="shared" si="2"/>
        <v>0.11666666666666667</v>
      </c>
      <c r="T23" s="434" t="s">
        <v>1493</v>
      </c>
    </row>
    <row r="24" spans="1:20">
      <c r="D24" s="434" t="s">
        <v>1534</v>
      </c>
      <c r="H24" s="399">
        <v>11</v>
      </c>
      <c r="L24" s="22">
        <f>H24-M24-P24</f>
        <v>0</v>
      </c>
      <c r="M24" s="1385">
        <v>0</v>
      </c>
      <c r="N24" s="1385">
        <v>11</v>
      </c>
      <c r="O24" s="583"/>
      <c r="P24" s="1488">
        <f>P18</f>
        <v>11</v>
      </c>
      <c r="Q24" s="1487">
        <f t="shared" si="3"/>
        <v>3.3</v>
      </c>
      <c r="R24" s="1487">
        <f t="shared" si="1"/>
        <v>0.36666666666666664</v>
      </c>
      <c r="S24" s="1487">
        <f t="shared" si="2"/>
        <v>0.18333333333333332</v>
      </c>
      <c r="T24" s="434" t="s">
        <v>1551</v>
      </c>
    </row>
    <row r="25" spans="1:20">
      <c r="D25" s="434" t="s">
        <v>1535</v>
      </c>
      <c r="H25" s="399">
        <f>SUM(H11:H14)+H7+H4</f>
        <v>47</v>
      </c>
      <c r="L25" s="22">
        <f>H25-M25-P25</f>
        <v>0</v>
      </c>
      <c r="M25" s="1385">
        <v>0</v>
      </c>
      <c r="N25" s="1385">
        <v>0</v>
      </c>
      <c r="O25" s="583"/>
      <c r="P25" s="1488">
        <f>P4+P7+SUM(P11:P14)</f>
        <v>47</v>
      </c>
      <c r="Q25" s="1487">
        <f t="shared" si="3"/>
        <v>14.1</v>
      </c>
      <c r="R25" s="1487">
        <f t="shared" si="1"/>
        <v>1.5666666666666667</v>
      </c>
      <c r="S25" s="1487">
        <f>R25/2</f>
        <v>0.78333333333333333</v>
      </c>
      <c r="T25" s="434" t="s">
        <v>1552</v>
      </c>
    </row>
    <row r="26" spans="1:20">
      <c r="D26" s="575" t="s">
        <v>2437</v>
      </c>
      <c r="F26" s="436"/>
      <c r="G26" s="374"/>
      <c r="H26" s="374"/>
      <c r="I26" s="374"/>
      <c r="J26" s="432"/>
      <c r="K26" s="432"/>
      <c r="M26" s="1385">
        <v>0</v>
      </c>
      <c r="N26" s="1385">
        <v>11</v>
      </c>
      <c r="O26" s="583"/>
    </row>
    <row r="27" spans="1:20" s="374" customFormat="1" ht="15.6" customHeight="1">
      <c r="A27" s="385"/>
      <c r="B27" s="385"/>
      <c r="C27" s="376"/>
      <c r="D27" s="575" t="s">
        <v>463</v>
      </c>
      <c r="F27" s="436"/>
      <c r="J27" s="432"/>
      <c r="K27" s="432"/>
      <c r="L27" s="26"/>
      <c r="M27" s="1385">
        <f>58-M26</f>
        <v>58</v>
      </c>
      <c r="N27" s="1385">
        <f>58-N26</f>
        <v>47</v>
      </c>
      <c r="O27" s="583"/>
    </row>
    <row r="28" spans="1:20" s="374" customFormat="1" ht="14.25">
      <c r="A28" s="385"/>
      <c r="B28" s="385"/>
      <c r="C28" s="376"/>
      <c r="D28" s="575" t="s">
        <v>2188</v>
      </c>
      <c r="F28" s="436"/>
      <c r="J28" s="432"/>
      <c r="K28" s="432"/>
      <c r="L28" s="26"/>
      <c r="M28" s="1385">
        <f>100-SUM(M23:M25)</f>
        <v>65</v>
      </c>
      <c r="N28" s="1385">
        <f>100-SUM(N23:N25)</f>
        <v>51</v>
      </c>
      <c r="O28" s="538"/>
    </row>
    <row r="29" spans="1:20" s="374" customFormat="1" ht="15.6" customHeight="1">
      <c r="A29" s="385"/>
      <c r="B29" s="385"/>
      <c r="C29" s="376"/>
      <c r="L29" s="26"/>
      <c r="O29" s="538"/>
    </row>
    <row r="31" spans="1:20">
      <c r="D31" s="462" t="s">
        <v>1611</v>
      </c>
    </row>
    <row r="32" spans="1:20">
      <c r="D32" s="375" t="s">
        <v>1655</v>
      </c>
    </row>
    <row r="33" spans="1:12" s="374" customFormat="1" ht="14.25">
      <c r="A33" s="666"/>
      <c r="B33" s="666"/>
      <c r="C33" s="376"/>
      <c r="D33" s="532"/>
      <c r="F33" s="537"/>
      <c r="J33" s="432"/>
      <c r="K33" s="432"/>
      <c r="L33" s="26"/>
    </row>
    <row r="34" spans="1:12" s="374" customFormat="1" ht="14.25">
      <c r="A34" s="666"/>
      <c r="B34" s="666"/>
      <c r="C34" s="376"/>
      <c r="D34" s="532"/>
      <c r="F34" s="537"/>
      <c r="J34" s="432"/>
      <c r="K34" s="432"/>
      <c r="L34" s="26"/>
    </row>
    <row r="35" spans="1:12" s="374" customFormat="1" ht="14.25">
      <c r="A35" s="666"/>
      <c r="B35" s="666"/>
      <c r="C35" s="376"/>
      <c r="D35" s="532"/>
      <c r="F35" s="537"/>
      <c r="J35" s="432"/>
      <c r="K35" s="432"/>
      <c r="L35" s="26"/>
    </row>
    <row r="36" spans="1:12" s="374" customFormat="1" ht="14.25">
      <c r="A36" s="666"/>
      <c r="B36" s="666"/>
      <c r="C36" s="376"/>
      <c r="D36" s="532"/>
      <c r="F36" s="537"/>
      <c r="J36" s="432"/>
      <c r="K36" s="432"/>
      <c r="L36" s="26"/>
    </row>
    <row r="37" spans="1:12" s="374" customFormat="1" ht="14.25">
      <c r="A37" s="666"/>
      <c r="B37" s="666"/>
      <c r="C37" s="376"/>
      <c r="D37" s="532"/>
      <c r="F37" s="537"/>
      <c r="J37" s="432"/>
      <c r="K37" s="432"/>
      <c r="L37" s="26"/>
    </row>
    <row r="38" spans="1:12" s="374" customFormat="1" ht="14.25">
      <c r="A38" s="666"/>
      <c r="B38" s="666"/>
      <c r="C38" s="376"/>
      <c r="D38" s="532"/>
      <c r="F38" s="537"/>
      <c r="J38" s="432"/>
      <c r="K38" s="432"/>
      <c r="L38" s="26"/>
    </row>
    <row r="39" spans="1:12" s="374" customFormat="1" ht="14.25">
      <c r="A39" s="666"/>
      <c r="B39" s="666"/>
      <c r="C39" s="376"/>
      <c r="D39" s="532"/>
      <c r="F39" s="537"/>
      <c r="J39" s="432"/>
      <c r="K39" s="432"/>
      <c r="L39" s="26"/>
    </row>
    <row r="40" spans="1:12" s="374" customFormat="1" ht="14.25">
      <c r="A40" s="385"/>
      <c r="B40" s="385"/>
      <c r="C40" s="376"/>
      <c r="D40" s="385"/>
      <c r="F40" s="436"/>
      <c r="J40" s="432"/>
      <c r="K40" s="432"/>
      <c r="L40" s="26"/>
    </row>
    <row r="41" spans="1:12" s="374" customFormat="1" ht="14.25">
      <c r="A41" s="385"/>
      <c r="B41" s="385"/>
      <c r="C41" s="376"/>
      <c r="D41" s="385"/>
      <c r="F41" s="436"/>
      <c r="J41" s="432"/>
      <c r="K41" s="432"/>
      <c r="L41" s="26"/>
    </row>
    <row r="42" spans="1:12" s="374" customFormat="1" ht="14.25">
      <c r="A42" s="385"/>
      <c r="B42" s="385"/>
      <c r="C42" s="376"/>
      <c r="D42" s="385"/>
      <c r="F42" s="436"/>
      <c r="J42" s="432"/>
      <c r="K42" s="432"/>
      <c r="L42" s="26"/>
    </row>
    <row r="43" spans="1:12" s="374" customFormat="1" ht="14.25">
      <c r="A43" s="385"/>
      <c r="B43" s="385"/>
      <c r="C43" s="376"/>
      <c r="D43" s="385"/>
      <c r="F43" s="436"/>
      <c r="J43" s="432"/>
      <c r="K43" s="432"/>
      <c r="L43" s="26"/>
    </row>
    <row r="44" spans="1:12" s="374" customFormat="1" ht="14.25">
      <c r="A44" s="385"/>
      <c r="B44" s="385"/>
      <c r="C44" s="376"/>
      <c r="D44" s="385"/>
      <c r="F44" s="436"/>
      <c r="J44" s="432"/>
      <c r="K44" s="432"/>
      <c r="L44" s="26"/>
    </row>
    <row r="45" spans="1:12" s="374" customFormat="1" ht="14.25">
      <c r="A45" s="385"/>
      <c r="B45" s="385"/>
      <c r="C45" s="376"/>
      <c r="D45" s="385"/>
      <c r="F45" s="436"/>
      <c r="J45" s="432"/>
      <c r="K45" s="432"/>
      <c r="L45" s="26"/>
    </row>
    <row r="46" spans="1:12" s="374" customFormat="1" ht="14.25">
      <c r="A46" s="385"/>
      <c r="B46" s="385"/>
      <c r="C46" s="376"/>
      <c r="D46" s="385"/>
      <c r="F46" s="436"/>
      <c r="J46" s="432"/>
      <c r="K46" s="432"/>
      <c r="L46" s="26"/>
    </row>
    <row r="47" spans="1:12" s="374" customFormat="1" ht="14.25">
      <c r="A47" s="385"/>
      <c r="B47" s="385"/>
      <c r="C47" s="376"/>
      <c r="D47" s="385"/>
      <c r="F47" s="436"/>
      <c r="J47" s="432"/>
      <c r="K47" s="432"/>
      <c r="L47" s="26"/>
    </row>
    <row r="48" spans="1:12" s="374" customFormat="1" ht="14.25">
      <c r="A48" s="385"/>
      <c r="B48" s="385"/>
      <c r="C48" s="376"/>
      <c r="D48" s="385"/>
      <c r="F48" s="436"/>
      <c r="J48" s="432"/>
      <c r="K48" s="432"/>
      <c r="L48" s="26"/>
    </row>
    <row r="49" spans="1:12" s="374" customFormat="1" ht="14.25">
      <c r="A49" s="385"/>
      <c r="B49" s="385"/>
      <c r="C49" s="376"/>
      <c r="D49" s="385"/>
      <c r="F49" s="436"/>
      <c r="J49" s="432"/>
      <c r="K49" s="432"/>
      <c r="L49" s="26"/>
    </row>
    <row r="50" spans="1:12" s="374" customFormat="1" ht="14.25">
      <c r="A50" s="385"/>
      <c r="B50" s="385"/>
      <c r="C50" s="376"/>
      <c r="D50" s="385"/>
      <c r="F50" s="436"/>
      <c r="J50" s="432"/>
      <c r="K50" s="432"/>
      <c r="L50" s="26"/>
    </row>
    <row r="51" spans="1:12" s="374" customFormat="1" ht="14.25">
      <c r="A51" s="385"/>
      <c r="B51" s="385"/>
      <c r="C51" s="376"/>
      <c r="D51" s="385"/>
      <c r="F51" s="436"/>
      <c r="J51" s="432"/>
      <c r="K51" s="432"/>
      <c r="L51" s="26"/>
    </row>
    <row r="52" spans="1:12" s="374" customFormat="1" ht="14.25">
      <c r="A52" s="385"/>
      <c r="B52" s="385"/>
      <c r="C52" s="376"/>
      <c r="D52" s="385"/>
      <c r="F52" s="436"/>
      <c r="J52" s="432"/>
      <c r="K52" s="432"/>
      <c r="L52" s="26"/>
    </row>
    <row r="53" spans="1:12" s="374" customFormat="1" ht="14.25">
      <c r="A53" s="385"/>
      <c r="B53" s="385"/>
      <c r="C53" s="376"/>
      <c r="D53" s="385"/>
      <c r="F53" s="436"/>
      <c r="J53" s="432"/>
      <c r="K53" s="432"/>
      <c r="L53" s="26"/>
    </row>
    <row r="54" spans="1:12" s="374" customFormat="1" ht="14.25">
      <c r="A54" s="385"/>
      <c r="B54" s="385"/>
      <c r="C54" s="376"/>
      <c r="D54" s="385"/>
      <c r="F54" s="436"/>
      <c r="J54" s="432"/>
      <c r="K54" s="432"/>
      <c r="L54" s="26"/>
    </row>
    <row r="55" spans="1:12" s="374" customFormat="1" ht="14.25">
      <c r="A55" s="385"/>
      <c r="B55" s="385"/>
      <c r="C55" s="376"/>
      <c r="D55" s="385"/>
      <c r="F55" s="436"/>
      <c r="J55" s="432"/>
      <c r="K55" s="432"/>
      <c r="L55" s="26"/>
    </row>
    <row r="56" spans="1:12" s="374" customFormat="1" ht="14.25">
      <c r="A56" s="385"/>
      <c r="B56" s="385"/>
      <c r="C56" s="376"/>
      <c r="D56" s="385"/>
      <c r="F56" s="436"/>
      <c r="J56" s="432"/>
      <c r="K56" s="432"/>
      <c r="L56" s="26"/>
    </row>
    <row r="57" spans="1:12" s="374" customFormat="1" ht="14.25">
      <c r="A57" s="385"/>
      <c r="B57" s="385"/>
      <c r="C57" s="376"/>
      <c r="D57" s="385"/>
      <c r="F57" s="436"/>
      <c r="J57" s="432"/>
      <c r="K57" s="432"/>
      <c r="L57" s="26"/>
    </row>
    <row r="58" spans="1:12" s="374" customFormat="1" ht="14.25">
      <c r="A58" s="385"/>
      <c r="B58" s="385"/>
      <c r="C58" s="376"/>
      <c r="D58" s="385"/>
      <c r="F58" s="436"/>
      <c r="J58" s="432"/>
      <c r="K58" s="432"/>
      <c r="L58" s="26"/>
    </row>
    <row r="59" spans="1:12" s="374" customFormat="1" ht="14.25">
      <c r="A59" s="385"/>
      <c r="B59" s="385"/>
      <c r="C59" s="376"/>
      <c r="D59" s="385"/>
      <c r="F59" s="436"/>
      <c r="J59" s="432"/>
      <c r="K59" s="432"/>
      <c r="L59" s="26"/>
    </row>
    <row r="60" spans="1:12" s="374" customFormat="1" ht="14.25">
      <c r="A60" s="385"/>
      <c r="B60" s="385"/>
      <c r="C60" s="376"/>
      <c r="D60" s="385"/>
      <c r="F60" s="436"/>
      <c r="J60" s="432"/>
      <c r="K60" s="432"/>
      <c r="L60" s="26"/>
    </row>
    <row r="61" spans="1:12" s="374" customFormat="1" ht="14.25">
      <c r="A61" s="385"/>
      <c r="B61" s="385"/>
      <c r="C61" s="376"/>
      <c r="D61" s="385"/>
      <c r="F61" s="436"/>
      <c r="J61" s="432"/>
      <c r="K61" s="432"/>
      <c r="L61" s="26"/>
    </row>
    <row r="62" spans="1:12" s="374" customFormat="1" ht="14.25">
      <c r="A62" s="385"/>
      <c r="B62" s="385"/>
      <c r="C62" s="376"/>
      <c r="D62" s="385"/>
      <c r="F62" s="436"/>
      <c r="J62" s="432"/>
      <c r="K62" s="432"/>
      <c r="L62" s="26"/>
    </row>
    <row r="63" spans="1:12" s="374" customFormat="1" ht="14.25">
      <c r="A63" s="385"/>
      <c r="B63" s="385"/>
      <c r="C63" s="376"/>
      <c r="D63" s="385"/>
      <c r="F63" s="436"/>
      <c r="J63" s="432"/>
      <c r="K63" s="432"/>
      <c r="L63" s="26"/>
    </row>
    <row r="64" spans="1:12" s="374" customFormat="1" ht="14.25">
      <c r="A64" s="385"/>
      <c r="B64" s="385"/>
      <c r="C64" s="376"/>
      <c r="D64" s="385"/>
      <c r="F64" s="436"/>
      <c r="J64" s="432"/>
      <c r="K64" s="432"/>
      <c r="L64" s="26"/>
    </row>
    <row r="65" spans="1:12" s="374" customFormat="1" ht="14.25">
      <c r="A65" s="385"/>
      <c r="B65" s="385"/>
      <c r="C65" s="376"/>
      <c r="D65" s="385"/>
      <c r="F65" s="436"/>
      <c r="J65" s="432"/>
      <c r="K65" s="432"/>
      <c r="L65" s="26"/>
    </row>
    <row r="66" spans="1:12" s="374" customFormat="1" ht="14.25">
      <c r="A66" s="385"/>
      <c r="B66" s="385"/>
      <c r="C66" s="376"/>
      <c r="D66" s="385"/>
      <c r="F66" s="436"/>
      <c r="J66" s="432"/>
      <c r="K66" s="432"/>
      <c r="L66" s="26"/>
    </row>
    <row r="67" spans="1:12" s="374" customFormat="1" ht="14.25">
      <c r="A67" s="385"/>
      <c r="B67" s="385"/>
      <c r="C67" s="376"/>
      <c r="D67" s="385"/>
      <c r="F67" s="436"/>
      <c r="J67" s="432"/>
      <c r="K67" s="432"/>
      <c r="L67" s="26"/>
    </row>
    <row r="68" spans="1:12" s="374" customFormat="1" ht="14.25">
      <c r="A68" s="385"/>
      <c r="B68" s="385"/>
      <c r="C68" s="376"/>
      <c r="D68" s="385"/>
      <c r="F68" s="436"/>
      <c r="J68" s="432"/>
      <c r="K68" s="432"/>
      <c r="L68" s="26"/>
    </row>
    <row r="69" spans="1:12" s="374" customFormat="1" ht="14.25">
      <c r="A69" s="385"/>
      <c r="B69" s="385"/>
      <c r="C69" s="376"/>
      <c r="D69" s="385"/>
      <c r="F69" s="436"/>
      <c r="J69" s="432"/>
      <c r="K69" s="432"/>
      <c r="L69" s="26"/>
    </row>
    <row r="70" spans="1:12" s="374" customFormat="1" ht="14.25">
      <c r="A70" s="385"/>
      <c r="B70" s="385"/>
      <c r="C70" s="376"/>
      <c r="D70" s="385"/>
      <c r="F70" s="436"/>
      <c r="J70" s="432"/>
      <c r="K70" s="432"/>
      <c r="L70" s="26"/>
    </row>
    <row r="71" spans="1:12" s="374" customFormat="1" ht="14.25">
      <c r="A71" s="385"/>
      <c r="B71" s="385"/>
      <c r="C71" s="376"/>
      <c r="D71" s="385"/>
      <c r="F71" s="436"/>
      <c r="J71" s="432"/>
      <c r="K71" s="432"/>
      <c r="L71" s="26"/>
    </row>
    <row r="72" spans="1:12" s="374" customFormat="1" ht="14.25">
      <c r="A72" s="385"/>
      <c r="B72" s="385"/>
      <c r="C72" s="376"/>
      <c r="D72" s="385"/>
      <c r="F72" s="436"/>
      <c r="J72" s="432"/>
      <c r="K72" s="432"/>
      <c r="L72" s="26"/>
    </row>
    <row r="73" spans="1:12" s="374" customFormat="1" ht="14.25">
      <c r="A73" s="385"/>
      <c r="B73" s="385"/>
      <c r="C73" s="376"/>
      <c r="D73" s="385"/>
      <c r="F73" s="436"/>
      <c r="J73" s="432"/>
      <c r="K73" s="432"/>
      <c r="L73" s="26"/>
    </row>
    <row r="74" spans="1:12" s="374" customFormat="1" ht="14.25">
      <c r="A74" s="385"/>
      <c r="B74" s="385"/>
      <c r="C74" s="376"/>
      <c r="D74" s="385"/>
      <c r="F74" s="436"/>
      <c r="J74" s="432"/>
      <c r="K74" s="432"/>
      <c r="L74" s="26"/>
    </row>
    <row r="75" spans="1:12" s="374" customFormat="1" ht="14.25">
      <c r="A75" s="385"/>
      <c r="B75" s="385"/>
      <c r="C75" s="376"/>
      <c r="D75" s="385"/>
      <c r="F75" s="436"/>
      <c r="J75" s="432"/>
      <c r="K75" s="432"/>
      <c r="L75" s="26"/>
    </row>
    <row r="76" spans="1:12" s="374" customFormat="1" ht="14.25">
      <c r="A76" s="385"/>
      <c r="B76" s="385"/>
      <c r="C76" s="376"/>
      <c r="D76" s="385"/>
      <c r="F76" s="436"/>
      <c r="J76" s="432"/>
      <c r="K76" s="432"/>
      <c r="L76" s="26"/>
    </row>
    <row r="77" spans="1:12" s="374" customFormat="1" ht="14.25">
      <c r="A77" s="385"/>
      <c r="B77" s="385"/>
      <c r="C77" s="376"/>
      <c r="D77" s="385"/>
      <c r="F77" s="436"/>
      <c r="J77" s="432"/>
      <c r="K77" s="432"/>
      <c r="L77" s="26"/>
    </row>
    <row r="78" spans="1:12" s="374" customFormat="1" ht="14.25">
      <c r="A78" s="385"/>
      <c r="B78" s="385"/>
      <c r="C78" s="376"/>
      <c r="D78" s="385"/>
      <c r="F78" s="436"/>
      <c r="J78" s="432"/>
      <c r="K78" s="432"/>
      <c r="L78" s="26"/>
    </row>
    <row r="79" spans="1:12" s="374" customFormat="1" ht="14.25">
      <c r="A79" s="385"/>
      <c r="B79" s="385"/>
      <c r="C79" s="376"/>
      <c r="D79" s="385"/>
      <c r="F79" s="436"/>
      <c r="J79" s="432"/>
      <c r="K79" s="432"/>
      <c r="L79" s="26"/>
    </row>
    <row r="80" spans="1:12" s="374" customFormat="1" ht="14.25">
      <c r="A80" s="385"/>
      <c r="B80" s="385"/>
      <c r="C80" s="376"/>
      <c r="D80" s="385"/>
      <c r="F80" s="436"/>
      <c r="J80" s="432"/>
      <c r="K80" s="432"/>
      <c r="L80" s="26"/>
    </row>
    <row r="81" spans="1:12" s="374" customFormat="1" ht="14.25">
      <c r="A81" s="385"/>
      <c r="B81" s="385"/>
      <c r="C81" s="376"/>
      <c r="D81" s="385"/>
      <c r="F81" s="436"/>
      <c r="J81" s="432"/>
      <c r="K81" s="432"/>
      <c r="L81" s="26"/>
    </row>
    <row r="82" spans="1:12" s="374" customFormat="1" ht="14.25">
      <c r="A82" s="385"/>
      <c r="B82" s="385"/>
      <c r="C82" s="376"/>
      <c r="D82" s="385"/>
      <c r="F82" s="436"/>
      <c r="J82" s="432"/>
      <c r="K82" s="432"/>
      <c r="L82" s="26"/>
    </row>
    <row r="83" spans="1:12" s="374" customFormat="1" ht="14.25">
      <c r="A83" s="385"/>
      <c r="B83" s="385"/>
      <c r="C83" s="376"/>
      <c r="D83" s="385"/>
      <c r="F83" s="436"/>
      <c r="J83" s="432"/>
      <c r="K83" s="432"/>
      <c r="L83" s="26"/>
    </row>
    <row r="84" spans="1:12" s="374" customFormat="1" ht="14.25">
      <c r="A84" s="385"/>
      <c r="B84" s="385"/>
      <c r="C84" s="376"/>
      <c r="D84" s="385"/>
      <c r="F84" s="436"/>
      <c r="J84" s="432"/>
      <c r="K84" s="432"/>
      <c r="L84" s="26"/>
    </row>
    <row r="85" spans="1:12" s="374" customFormat="1" ht="14.25">
      <c r="A85" s="385"/>
      <c r="B85" s="385"/>
      <c r="C85" s="376"/>
      <c r="D85" s="385"/>
      <c r="F85" s="436"/>
      <c r="J85" s="432"/>
      <c r="K85" s="432"/>
      <c r="L85" s="26"/>
    </row>
    <row r="86" spans="1:12" s="374" customFormat="1" ht="14.25">
      <c r="A86" s="385"/>
      <c r="B86" s="385"/>
      <c r="C86" s="376"/>
      <c r="D86" s="385"/>
      <c r="F86" s="436"/>
      <c r="J86" s="432"/>
      <c r="K86" s="432"/>
      <c r="L86" s="26"/>
    </row>
    <row r="87" spans="1:12" s="374" customFormat="1" ht="14.25">
      <c r="A87" s="385"/>
      <c r="B87" s="385"/>
      <c r="C87" s="376"/>
      <c r="D87" s="385"/>
      <c r="F87" s="436"/>
      <c r="J87" s="432"/>
      <c r="K87" s="432"/>
      <c r="L87" s="26"/>
    </row>
    <row r="88" spans="1:12" s="374" customFormat="1" ht="14.25">
      <c r="A88" s="385"/>
      <c r="B88" s="385"/>
      <c r="C88" s="376"/>
      <c r="D88" s="385"/>
      <c r="F88" s="436"/>
      <c r="J88" s="432"/>
      <c r="K88" s="432"/>
      <c r="L88" s="26"/>
    </row>
    <row r="89" spans="1:12" s="374" customFormat="1" ht="14.25">
      <c r="A89" s="385"/>
      <c r="B89" s="385"/>
      <c r="C89" s="376"/>
      <c r="D89" s="385"/>
      <c r="F89" s="436"/>
      <c r="J89" s="432"/>
      <c r="K89" s="432"/>
      <c r="L89" s="26"/>
    </row>
    <row r="90" spans="1:12" s="374" customFormat="1" ht="14.25">
      <c r="A90" s="385"/>
      <c r="B90" s="385"/>
      <c r="C90" s="376"/>
      <c r="D90" s="385"/>
      <c r="F90" s="436"/>
      <c r="J90" s="432"/>
      <c r="K90" s="432"/>
      <c r="L90" s="26"/>
    </row>
    <row r="91" spans="1:12" s="374" customFormat="1" ht="14.25">
      <c r="A91" s="385"/>
      <c r="B91" s="385"/>
      <c r="C91" s="376"/>
      <c r="D91" s="385"/>
      <c r="F91" s="436"/>
      <c r="J91" s="432"/>
      <c r="K91" s="432"/>
      <c r="L91" s="26"/>
    </row>
    <row r="92" spans="1:12" s="374" customFormat="1" ht="14.25">
      <c r="A92" s="385"/>
      <c r="B92" s="385"/>
      <c r="C92" s="376"/>
      <c r="D92" s="385"/>
      <c r="F92" s="436"/>
      <c r="J92" s="432"/>
      <c r="K92" s="432"/>
      <c r="L92" s="26"/>
    </row>
    <row r="93" spans="1:12" s="374" customFormat="1" ht="14.25">
      <c r="A93" s="385"/>
      <c r="B93" s="385"/>
      <c r="C93" s="376"/>
      <c r="D93" s="385"/>
      <c r="F93" s="436"/>
      <c r="J93" s="432"/>
      <c r="K93" s="432"/>
      <c r="L93" s="26"/>
    </row>
    <row r="94" spans="1:12" s="374" customFormat="1" ht="14.25">
      <c r="A94" s="385"/>
      <c r="B94" s="385"/>
      <c r="C94" s="376"/>
      <c r="D94" s="385"/>
      <c r="F94" s="436"/>
      <c r="J94" s="432"/>
      <c r="K94" s="432"/>
      <c r="L94" s="26"/>
    </row>
    <row r="95" spans="1:12" s="374" customFormat="1" ht="14.25">
      <c r="A95" s="385"/>
      <c r="B95" s="385"/>
      <c r="C95" s="376"/>
      <c r="D95" s="385"/>
      <c r="F95" s="436"/>
      <c r="J95" s="432"/>
      <c r="K95" s="432"/>
      <c r="L95" s="26"/>
    </row>
    <row r="96" spans="1:12" s="374" customFormat="1" ht="14.25">
      <c r="A96" s="385"/>
      <c r="B96" s="385"/>
      <c r="C96" s="376"/>
      <c r="D96" s="385"/>
      <c r="F96" s="436"/>
      <c r="J96" s="432"/>
      <c r="K96" s="432"/>
      <c r="L96" s="26"/>
    </row>
    <row r="97" spans="1:12" s="374" customFormat="1" ht="14.25">
      <c r="A97" s="385"/>
      <c r="B97" s="385"/>
      <c r="C97" s="376"/>
      <c r="D97" s="385"/>
      <c r="F97" s="436"/>
      <c r="J97" s="432"/>
      <c r="K97" s="432"/>
      <c r="L97" s="26"/>
    </row>
    <row r="98" spans="1:12" s="374" customFormat="1" ht="14.25">
      <c r="A98" s="385"/>
      <c r="B98" s="385"/>
      <c r="C98" s="376"/>
      <c r="D98" s="385"/>
      <c r="F98" s="436"/>
      <c r="J98" s="432"/>
      <c r="K98" s="432"/>
      <c r="L98" s="26"/>
    </row>
    <row r="99" spans="1:12" s="374" customFormat="1" ht="14.25">
      <c r="A99" s="385"/>
      <c r="B99" s="385"/>
      <c r="C99" s="376"/>
      <c r="D99" s="385"/>
      <c r="F99" s="436"/>
      <c r="J99" s="432"/>
      <c r="K99" s="432"/>
      <c r="L99" s="26"/>
    </row>
    <row r="100" spans="1:12" s="374" customFormat="1" ht="14.25">
      <c r="A100" s="385"/>
      <c r="B100" s="385"/>
      <c r="C100" s="376"/>
      <c r="D100" s="385"/>
      <c r="F100" s="436"/>
      <c r="J100" s="432"/>
      <c r="K100" s="432"/>
      <c r="L100" s="26"/>
    </row>
    <row r="101" spans="1:12" s="374" customFormat="1" ht="14.25">
      <c r="A101" s="385"/>
      <c r="B101" s="385"/>
      <c r="C101" s="376"/>
      <c r="D101" s="385"/>
      <c r="F101" s="436"/>
      <c r="J101" s="432"/>
      <c r="K101" s="432"/>
      <c r="L101" s="26"/>
    </row>
    <row r="102" spans="1:12" s="374" customFormat="1" ht="14.25">
      <c r="A102" s="385"/>
      <c r="B102" s="385"/>
      <c r="C102" s="376"/>
      <c r="D102" s="385"/>
      <c r="F102" s="436"/>
      <c r="J102" s="432"/>
      <c r="K102" s="432"/>
      <c r="L102" s="26"/>
    </row>
    <row r="103" spans="1:12" s="374" customFormat="1" ht="14.25">
      <c r="A103" s="385"/>
      <c r="B103" s="385"/>
      <c r="C103" s="376"/>
      <c r="D103" s="385"/>
      <c r="F103" s="436"/>
      <c r="J103" s="432"/>
      <c r="K103" s="432"/>
      <c r="L103" s="26"/>
    </row>
    <row r="104" spans="1:12" s="374" customFormat="1" ht="14.25">
      <c r="A104" s="385"/>
      <c r="B104" s="385"/>
      <c r="C104" s="376"/>
      <c r="D104" s="385"/>
      <c r="F104" s="436"/>
      <c r="J104" s="432"/>
      <c r="K104" s="432"/>
      <c r="L104" s="26"/>
    </row>
    <row r="105" spans="1:12" s="374" customFormat="1" ht="14.25">
      <c r="A105" s="385"/>
      <c r="B105" s="385"/>
      <c r="C105" s="376"/>
      <c r="D105" s="385"/>
      <c r="F105" s="436"/>
      <c r="J105" s="432"/>
      <c r="K105" s="432"/>
      <c r="L105" s="26"/>
    </row>
    <row r="106" spans="1:12" s="374" customFormat="1" ht="14.25">
      <c r="A106" s="385"/>
      <c r="B106" s="385"/>
      <c r="C106" s="376"/>
      <c r="D106" s="385"/>
      <c r="F106" s="436"/>
      <c r="J106" s="432"/>
      <c r="K106" s="432"/>
      <c r="L106" s="26"/>
    </row>
    <row r="107" spans="1:12" s="374" customFormat="1" ht="14.25">
      <c r="A107" s="385"/>
      <c r="B107" s="385"/>
      <c r="C107" s="376"/>
      <c r="D107" s="385"/>
      <c r="F107" s="436"/>
      <c r="J107" s="432"/>
      <c r="K107" s="432"/>
      <c r="L107" s="26"/>
    </row>
    <row r="108" spans="1:12" s="374" customFormat="1" ht="14.25">
      <c r="A108" s="385"/>
      <c r="B108" s="385"/>
      <c r="C108" s="376"/>
      <c r="D108" s="385"/>
      <c r="F108" s="436"/>
      <c r="J108" s="432"/>
      <c r="K108" s="432"/>
      <c r="L108" s="26"/>
    </row>
    <row r="109" spans="1:12" s="374" customFormat="1" ht="14.25">
      <c r="A109" s="385"/>
      <c r="B109" s="385"/>
      <c r="C109" s="376"/>
      <c r="D109" s="385"/>
      <c r="F109" s="436"/>
      <c r="J109" s="432"/>
      <c r="K109" s="432"/>
      <c r="L109" s="26"/>
    </row>
    <row r="110" spans="1:12" s="374" customFormat="1" ht="14.25">
      <c r="A110" s="385"/>
      <c r="B110" s="385"/>
      <c r="C110" s="376"/>
      <c r="D110" s="385"/>
      <c r="F110" s="436"/>
      <c r="J110" s="432"/>
      <c r="K110" s="432"/>
      <c r="L110" s="26"/>
    </row>
    <row r="111" spans="1:12" s="374" customFormat="1" ht="14.25">
      <c r="A111" s="385"/>
      <c r="B111" s="385"/>
      <c r="C111" s="376"/>
      <c r="D111" s="385"/>
      <c r="F111" s="436"/>
      <c r="J111" s="432"/>
      <c r="K111" s="432"/>
      <c r="L111" s="26"/>
    </row>
    <row r="112" spans="1:12" s="374" customFormat="1" ht="14.25">
      <c r="A112" s="385"/>
      <c r="B112" s="385"/>
      <c r="C112" s="376"/>
      <c r="D112" s="385"/>
      <c r="F112" s="436"/>
      <c r="J112" s="432"/>
      <c r="K112" s="432"/>
      <c r="L112" s="26"/>
    </row>
    <row r="113" spans="1:12" s="374" customFormat="1" ht="14.25">
      <c r="A113" s="385"/>
      <c r="B113" s="385"/>
      <c r="C113" s="376"/>
      <c r="D113" s="385"/>
      <c r="F113" s="436"/>
      <c r="J113" s="432"/>
      <c r="K113" s="432"/>
      <c r="L113" s="26"/>
    </row>
    <row r="114" spans="1:12" s="374" customFormat="1" ht="14.25">
      <c r="A114" s="385"/>
      <c r="B114" s="385"/>
      <c r="C114" s="376"/>
      <c r="D114" s="385"/>
      <c r="F114" s="436"/>
      <c r="J114" s="432"/>
      <c r="K114" s="432"/>
      <c r="L114" s="26"/>
    </row>
    <row r="115" spans="1:12" s="374" customFormat="1" ht="14.25">
      <c r="A115" s="385"/>
      <c r="B115" s="385"/>
      <c r="C115" s="376"/>
      <c r="D115" s="385"/>
      <c r="F115" s="436"/>
      <c r="J115" s="432"/>
      <c r="K115" s="432"/>
      <c r="L115" s="26"/>
    </row>
    <row r="116" spans="1:12" s="374" customFormat="1" ht="14.25">
      <c r="A116" s="385"/>
      <c r="B116" s="385"/>
      <c r="C116" s="376"/>
      <c r="D116" s="385"/>
      <c r="F116" s="436"/>
      <c r="J116" s="432"/>
      <c r="K116" s="432"/>
      <c r="L116" s="26"/>
    </row>
    <row r="117" spans="1:12" s="374" customFormat="1" ht="14.25">
      <c r="A117" s="385"/>
      <c r="B117" s="385"/>
      <c r="C117" s="376"/>
      <c r="D117" s="385"/>
      <c r="F117" s="436"/>
      <c r="J117" s="432"/>
      <c r="K117" s="432"/>
      <c r="L117" s="26"/>
    </row>
    <row r="118" spans="1:12" s="374" customFormat="1" ht="14.25">
      <c r="A118" s="385"/>
      <c r="B118" s="385"/>
      <c r="C118" s="376"/>
      <c r="D118" s="385"/>
      <c r="F118" s="436"/>
      <c r="J118" s="432"/>
      <c r="K118" s="432"/>
      <c r="L118" s="26"/>
    </row>
    <row r="119" spans="1:12" s="374" customFormat="1" ht="14.25">
      <c r="A119" s="385"/>
      <c r="B119" s="385"/>
      <c r="C119" s="376"/>
      <c r="D119" s="385"/>
      <c r="F119" s="436"/>
      <c r="J119" s="432"/>
      <c r="K119" s="432"/>
      <c r="L119" s="26"/>
    </row>
    <row r="120" spans="1:12" s="374" customFormat="1" ht="14.25">
      <c r="A120" s="385"/>
      <c r="B120" s="385"/>
      <c r="C120" s="376"/>
      <c r="D120" s="385"/>
      <c r="F120" s="436"/>
      <c r="J120" s="432"/>
      <c r="K120" s="432"/>
      <c r="L120" s="26"/>
    </row>
    <row r="121" spans="1:12" s="374" customFormat="1" ht="14.25">
      <c r="A121" s="385"/>
      <c r="B121" s="385"/>
      <c r="C121" s="376"/>
      <c r="D121" s="385"/>
      <c r="F121" s="436"/>
      <c r="J121" s="432"/>
      <c r="K121" s="432"/>
      <c r="L121" s="26"/>
    </row>
    <row r="122" spans="1:12" s="374" customFormat="1" ht="14.25">
      <c r="A122" s="385"/>
      <c r="B122" s="385"/>
      <c r="C122" s="376"/>
      <c r="D122" s="385"/>
      <c r="F122" s="436"/>
      <c r="J122" s="432"/>
      <c r="K122" s="432"/>
      <c r="L122" s="26"/>
    </row>
    <row r="123" spans="1:12" s="374" customFormat="1" ht="14.25">
      <c r="A123" s="385"/>
      <c r="B123" s="385"/>
      <c r="C123" s="376"/>
      <c r="D123" s="385"/>
      <c r="F123" s="436"/>
      <c r="J123" s="432"/>
      <c r="K123" s="432"/>
      <c r="L123" s="26"/>
    </row>
    <row r="124" spans="1:12" s="374" customFormat="1" ht="14.25">
      <c r="A124" s="385"/>
      <c r="B124" s="385"/>
      <c r="C124" s="376"/>
      <c r="D124" s="385"/>
      <c r="F124" s="436"/>
      <c r="J124" s="432"/>
      <c r="K124" s="432"/>
      <c r="L124" s="26"/>
    </row>
    <row r="125" spans="1:12" s="374" customFormat="1" ht="14.25">
      <c r="A125" s="385"/>
      <c r="B125" s="385"/>
      <c r="C125" s="376"/>
      <c r="D125" s="385"/>
      <c r="F125" s="436"/>
      <c r="J125" s="432"/>
      <c r="K125" s="432"/>
      <c r="L125" s="26"/>
    </row>
    <row r="126" spans="1:12" s="374" customFormat="1" ht="14.25">
      <c r="A126" s="385"/>
      <c r="B126" s="385"/>
      <c r="C126" s="376"/>
      <c r="D126" s="385"/>
      <c r="F126" s="436"/>
      <c r="J126" s="432"/>
      <c r="K126" s="432"/>
      <c r="L126" s="26"/>
    </row>
    <row r="127" spans="1:12" s="374" customFormat="1" ht="14.25">
      <c r="A127" s="385"/>
      <c r="B127" s="385"/>
      <c r="C127" s="376"/>
      <c r="D127" s="385"/>
      <c r="F127" s="436"/>
      <c r="J127" s="432"/>
      <c r="K127" s="432"/>
      <c r="L127" s="26"/>
    </row>
    <row r="128" spans="1:12" s="374" customFormat="1" ht="14.25">
      <c r="A128" s="385"/>
      <c r="B128" s="385"/>
      <c r="C128" s="376"/>
      <c r="D128" s="385"/>
      <c r="F128" s="436"/>
      <c r="J128" s="432"/>
      <c r="K128" s="432"/>
      <c r="L128" s="26"/>
    </row>
    <row r="129" spans="1:12" s="374" customFormat="1" ht="14.25">
      <c r="A129" s="385"/>
      <c r="B129" s="385"/>
      <c r="C129" s="376"/>
      <c r="D129" s="385"/>
      <c r="F129" s="436"/>
      <c r="J129" s="432"/>
      <c r="K129" s="432"/>
      <c r="L129" s="26"/>
    </row>
    <row r="130" spans="1:12" s="374" customFormat="1" ht="14.25">
      <c r="A130" s="385"/>
      <c r="B130" s="385"/>
      <c r="C130" s="376"/>
      <c r="D130" s="385"/>
      <c r="F130" s="436"/>
      <c r="J130" s="432"/>
      <c r="K130" s="432"/>
      <c r="L130" s="26"/>
    </row>
    <row r="131" spans="1:12" s="374" customFormat="1" ht="14.25">
      <c r="A131" s="385"/>
      <c r="B131" s="385"/>
      <c r="C131" s="376"/>
      <c r="D131" s="385"/>
      <c r="F131" s="436"/>
      <c r="J131" s="432"/>
      <c r="K131" s="432"/>
      <c r="L131" s="26"/>
    </row>
    <row r="132" spans="1:12" s="374" customFormat="1" ht="14.25">
      <c r="A132" s="385"/>
      <c r="B132" s="385"/>
      <c r="C132" s="376"/>
      <c r="D132" s="385"/>
      <c r="F132" s="436"/>
      <c r="J132" s="432"/>
      <c r="K132" s="432"/>
      <c r="L132" s="26"/>
    </row>
    <row r="133" spans="1:12" s="374" customFormat="1" ht="14.25">
      <c r="A133" s="385"/>
      <c r="B133" s="385"/>
      <c r="C133" s="376"/>
      <c r="D133" s="385"/>
      <c r="F133" s="436"/>
      <c r="J133" s="432"/>
      <c r="K133" s="432"/>
      <c r="L133" s="26"/>
    </row>
    <row r="134" spans="1:12" s="374" customFormat="1" ht="14.25">
      <c r="A134" s="385"/>
      <c r="B134" s="385"/>
      <c r="C134" s="376"/>
      <c r="D134" s="385"/>
      <c r="F134" s="436"/>
      <c r="J134" s="432"/>
      <c r="K134" s="432"/>
      <c r="L134" s="26"/>
    </row>
    <row r="135" spans="1:12" s="374" customFormat="1" ht="14.25">
      <c r="A135" s="385"/>
      <c r="B135" s="385"/>
      <c r="C135" s="376"/>
      <c r="D135" s="385"/>
      <c r="F135" s="436"/>
      <c r="J135" s="432"/>
      <c r="K135" s="432"/>
      <c r="L135" s="26"/>
    </row>
    <row r="136" spans="1:12" s="374" customFormat="1" ht="14.25">
      <c r="A136" s="385"/>
      <c r="B136" s="385"/>
      <c r="C136" s="376"/>
      <c r="D136" s="385"/>
      <c r="F136" s="436"/>
      <c r="J136" s="432"/>
      <c r="K136" s="432"/>
      <c r="L136" s="26"/>
    </row>
    <row r="137" spans="1:12" s="374" customFormat="1" ht="14.25">
      <c r="A137" s="385"/>
      <c r="B137" s="385"/>
      <c r="C137" s="376"/>
      <c r="D137" s="385"/>
      <c r="F137" s="436"/>
      <c r="J137" s="432"/>
      <c r="K137" s="432"/>
      <c r="L137" s="26"/>
    </row>
    <row r="138" spans="1:12" s="374" customFormat="1" ht="14.25">
      <c r="A138" s="385"/>
      <c r="B138" s="385"/>
      <c r="C138" s="376"/>
      <c r="D138" s="385"/>
      <c r="F138" s="436"/>
      <c r="J138" s="432"/>
      <c r="K138" s="432"/>
      <c r="L138" s="26"/>
    </row>
    <row r="139" spans="1:12" s="374" customFormat="1" ht="14.25">
      <c r="A139" s="385"/>
      <c r="B139" s="385"/>
      <c r="C139" s="376"/>
      <c r="D139" s="385"/>
      <c r="F139" s="436"/>
      <c r="J139" s="432"/>
      <c r="K139" s="432"/>
      <c r="L139" s="26"/>
    </row>
    <row r="140" spans="1:12" s="374" customFormat="1" ht="14.25">
      <c r="A140" s="385"/>
      <c r="B140" s="385"/>
      <c r="C140" s="376"/>
      <c r="D140" s="385"/>
      <c r="F140" s="436"/>
      <c r="J140" s="432"/>
      <c r="K140" s="432"/>
      <c r="L140" s="26"/>
    </row>
    <row r="141" spans="1:12" s="374" customFormat="1" ht="14.25">
      <c r="A141" s="385"/>
      <c r="B141" s="385"/>
      <c r="C141" s="376"/>
      <c r="D141" s="385"/>
      <c r="F141" s="436"/>
      <c r="J141" s="432"/>
      <c r="K141" s="432"/>
      <c r="L141" s="26"/>
    </row>
    <row r="142" spans="1:12" s="374" customFormat="1" ht="14.25">
      <c r="A142" s="385"/>
      <c r="B142" s="385"/>
      <c r="C142" s="376"/>
      <c r="D142" s="385"/>
      <c r="F142" s="436"/>
      <c r="J142" s="432"/>
      <c r="K142" s="432"/>
      <c r="L142" s="26"/>
    </row>
    <row r="143" spans="1:12" s="374" customFormat="1" ht="14.25">
      <c r="A143" s="385"/>
      <c r="B143" s="385"/>
      <c r="C143" s="376"/>
      <c r="D143" s="385"/>
      <c r="F143" s="436"/>
      <c r="J143" s="432"/>
      <c r="K143" s="432"/>
      <c r="L143" s="26"/>
    </row>
    <row r="144" spans="1:12" s="374" customFormat="1" ht="14.25">
      <c r="A144" s="385"/>
      <c r="B144" s="385"/>
      <c r="C144" s="376"/>
      <c r="D144" s="385"/>
      <c r="F144" s="436"/>
      <c r="J144" s="432"/>
      <c r="K144" s="432"/>
      <c r="L144" s="26"/>
    </row>
    <row r="145" spans="1:12" s="374" customFormat="1" ht="14.25">
      <c r="A145" s="385"/>
      <c r="B145" s="385"/>
      <c r="C145" s="376"/>
      <c r="D145" s="385"/>
      <c r="F145" s="436"/>
      <c r="J145" s="432"/>
      <c r="K145" s="432"/>
      <c r="L145" s="26"/>
    </row>
    <row r="146" spans="1:12" s="374" customFormat="1" ht="14.25">
      <c r="A146" s="385"/>
      <c r="B146" s="385"/>
      <c r="C146" s="376"/>
      <c r="D146" s="385"/>
      <c r="F146" s="436"/>
      <c r="J146" s="432"/>
      <c r="K146" s="432"/>
      <c r="L146" s="26"/>
    </row>
    <row r="147" spans="1:12" s="374" customFormat="1" ht="14.25">
      <c r="A147" s="385"/>
      <c r="B147" s="385"/>
      <c r="C147" s="376"/>
      <c r="D147" s="385"/>
      <c r="F147" s="436"/>
      <c r="J147" s="432"/>
      <c r="K147" s="432"/>
      <c r="L147" s="26"/>
    </row>
    <row r="148" spans="1:12" s="374" customFormat="1" ht="14.25">
      <c r="A148" s="385"/>
      <c r="B148" s="385"/>
      <c r="C148" s="376"/>
      <c r="D148" s="385"/>
      <c r="F148" s="436"/>
      <c r="J148" s="432"/>
      <c r="K148" s="432"/>
      <c r="L148" s="26"/>
    </row>
    <row r="149" spans="1:12" s="374" customFormat="1" ht="14.25">
      <c r="A149" s="385"/>
      <c r="B149" s="385"/>
      <c r="C149" s="376"/>
      <c r="D149" s="385"/>
      <c r="F149" s="436"/>
      <c r="J149" s="432"/>
      <c r="K149" s="432"/>
      <c r="L149" s="26"/>
    </row>
    <row r="150" spans="1:12" s="374" customFormat="1" ht="14.25">
      <c r="A150" s="385"/>
      <c r="B150" s="385"/>
      <c r="C150" s="376"/>
      <c r="D150" s="385"/>
      <c r="F150" s="436"/>
      <c r="J150" s="432"/>
      <c r="K150" s="432"/>
      <c r="L150" s="26"/>
    </row>
    <row r="151" spans="1:12" s="374" customFormat="1" ht="14.25">
      <c r="A151" s="385"/>
      <c r="B151" s="385"/>
      <c r="C151" s="376"/>
      <c r="D151" s="385"/>
      <c r="F151" s="436"/>
      <c r="J151" s="432"/>
      <c r="K151" s="432"/>
      <c r="L151" s="26"/>
    </row>
    <row r="152" spans="1:12" s="374" customFormat="1" ht="14.25">
      <c r="A152" s="385"/>
      <c r="B152" s="385"/>
      <c r="C152" s="376"/>
      <c r="D152" s="385"/>
      <c r="F152" s="436"/>
      <c r="J152" s="432"/>
      <c r="K152" s="432"/>
      <c r="L152" s="26"/>
    </row>
    <row r="153" spans="1:12" s="374" customFormat="1" ht="14.25">
      <c r="A153" s="385"/>
      <c r="B153" s="385"/>
      <c r="C153" s="376"/>
      <c r="D153" s="385"/>
      <c r="F153" s="436"/>
      <c r="J153" s="432"/>
      <c r="K153" s="432"/>
      <c r="L153" s="26"/>
    </row>
    <row r="154" spans="1:12" s="374" customFormat="1" ht="14.25">
      <c r="A154" s="385"/>
      <c r="B154" s="385"/>
      <c r="C154" s="376"/>
      <c r="D154" s="385"/>
      <c r="F154" s="436"/>
      <c r="J154" s="432"/>
      <c r="K154" s="432"/>
      <c r="L154" s="26"/>
    </row>
    <row r="155" spans="1:12" s="374" customFormat="1" ht="14.25">
      <c r="A155" s="385"/>
      <c r="B155" s="385"/>
      <c r="C155" s="376"/>
      <c r="D155" s="385"/>
      <c r="F155" s="436"/>
      <c r="J155" s="432"/>
      <c r="K155" s="432"/>
      <c r="L155" s="26"/>
    </row>
    <row r="156" spans="1:12" s="374" customFormat="1" ht="14.25">
      <c r="A156" s="385"/>
      <c r="B156" s="385"/>
      <c r="C156" s="376"/>
      <c r="D156" s="385"/>
      <c r="F156" s="436"/>
      <c r="J156" s="432"/>
      <c r="K156" s="432"/>
      <c r="L156" s="26"/>
    </row>
    <row r="157" spans="1:12" s="374" customFormat="1" ht="14.25">
      <c r="A157" s="385"/>
      <c r="B157" s="385"/>
      <c r="C157" s="376"/>
      <c r="D157" s="385"/>
      <c r="F157" s="436"/>
      <c r="J157" s="432"/>
      <c r="K157" s="432"/>
      <c r="L157" s="26"/>
    </row>
    <row r="158" spans="1:12" s="374" customFormat="1" ht="14.25">
      <c r="A158" s="385"/>
      <c r="B158" s="385"/>
      <c r="C158" s="376"/>
      <c r="D158" s="385"/>
      <c r="F158" s="436"/>
      <c r="J158" s="432"/>
      <c r="K158" s="432"/>
      <c r="L158" s="26"/>
    </row>
    <row r="159" spans="1:12" s="374" customFormat="1" ht="14.25">
      <c r="A159" s="385"/>
      <c r="B159" s="385"/>
      <c r="C159" s="376"/>
      <c r="D159" s="385"/>
      <c r="F159" s="436"/>
      <c r="J159" s="432"/>
      <c r="K159" s="432"/>
      <c r="L159" s="26"/>
    </row>
    <row r="160" spans="1:12" s="374" customFormat="1" ht="14.25">
      <c r="A160" s="385"/>
      <c r="B160" s="385"/>
      <c r="C160" s="376"/>
      <c r="D160" s="385"/>
      <c r="F160" s="436"/>
      <c r="J160" s="432"/>
      <c r="K160" s="432"/>
      <c r="L160" s="26"/>
    </row>
    <row r="161" spans="1:12" s="374" customFormat="1" ht="14.25">
      <c r="A161" s="385"/>
      <c r="B161" s="385"/>
      <c r="C161" s="376"/>
      <c r="D161" s="385"/>
      <c r="F161" s="436"/>
      <c r="J161" s="432"/>
      <c r="K161" s="432"/>
      <c r="L161" s="26"/>
    </row>
    <row r="162" spans="1:12" s="374" customFormat="1" ht="14.25">
      <c r="A162" s="385"/>
      <c r="B162" s="385"/>
      <c r="C162" s="376"/>
      <c r="D162" s="385"/>
      <c r="F162" s="436"/>
      <c r="J162" s="432"/>
      <c r="K162" s="432"/>
      <c r="L162" s="26"/>
    </row>
    <row r="163" spans="1:12" s="374" customFormat="1" ht="14.25">
      <c r="A163" s="385"/>
      <c r="B163" s="385"/>
      <c r="C163" s="376"/>
      <c r="D163" s="385"/>
      <c r="F163" s="436"/>
      <c r="J163" s="432"/>
      <c r="K163" s="432"/>
      <c r="L163" s="26"/>
    </row>
    <row r="164" spans="1:12" s="374" customFormat="1" ht="14.25">
      <c r="A164" s="385"/>
      <c r="B164" s="385"/>
      <c r="C164" s="376"/>
      <c r="D164" s="385"/>
      <c r="F164" s="436"/>
      <c r="J164" s="432"/>
      <c r="K164" s="432"/>
      <c r="L164" s="26"/>
    </row>
    <row r="165" spans="1:12" s="374" customFormat="1" ht="14.25">
      <c r="A165" s="385"/>
      <c r="B165" s="385"/>
      <c r="C165" s="376"/>
      <c r="D165" s="385"/>
      <c r="F165" s="436"/>
      <c r="J165" s="432"/>
      <c r="K165" s="432"/>
      <c r="L165" s="26"/>
    </row>
    <row r="166" spans="1:12" s="374" customFormat="1">
      <c r="A166" s="384"/>
      <c r="B166" s="384"/>
      <c r="C166" s="376"/>
      <c r="D166" s="384"/>
      <c r="F166" s="461"/>
      <c r="J166" s="432"/>
      <c r="K166" s="432"/>
      <c r="L166" s="26"/>
    </row>
    <row r="167" spans="1:12" s="374" customFormat="1">
      <c r="A167" s="384"/>
      <c r="B167" s="384"/>
      <c r="C167" s="376"/>
      <c r="D167" s="384"/>
      <c r="F167" s="461"/>
      <c r="J167" s="432"/>
      <c r="K167" s="432"/>
      <c r="L167" s="26"/>
    </row>
    <row r="168" spans="1:12" s="374" customFormat="1">
      <c r="A168" s="384"/>
      <c r="B168" s="384"/>
      <c r="C168" s="376"/>
      <c r="D168" s="384"/>
      <c r="F168" s="461"/>
      <c r="J168" s="432"/>
      <c r="K168" s="432"/>
      <c r="L168" s="26"/>
    </row>
    <row r="169" spans="1:12">
      <c r="C169" s="376"/>
      <c r="J169" s="432"/>
      <c r="K169" s="432"/>
    </row>
    <row r="170" spans="1:12">
      <c r="C170" s="376"/>
      <c r="J170" s="432"/>
      <c r="K170" s="432"/>
    </row>
  </sheetData>
  <mergeCells count="10">
    <mergeCell ref="Q19:Q20"/>
    <mergeCell ref="R19:R20"/>
    <mergeCell ref="S19:S20"/>
    <mergeCell ref="O19:O20"/>
    <mergeCell ref="A7:A10"/>
    <mergeCell ref="B7:B10"/>
    <mergeCell ref="P19:P20"/>
    <mergeCell ref="H19:H20"/>
    <mergeCell ref="N19:N20"/>
    <mergeCell ref="M19:M20"/>
  </mergeCells>
  <phoneticPr fontId="3" type="noConversion"/>
  <conditionalFormatting sqref="L4:L21">
    <cfRule type="cellIs" dxfId="131" priority="24" operator="lessThan">
      <formula>-0.3</formula>
    </cfRule>
    <cfRule type="cellIs" dxfId="130" priority="25" operator="greaterThan">
      <formula>0.3</formula>
    </cfRule>
  </conditionalFormatting>
  <conditionalFormatting sqref="L4:L21">
    <cfRule type="cellIs" dxfId="129" priority="22" stopIfTrue="1" operator="lessThanOrEqual">
      <formula>-0.3</formula>
    </cfRule>
    <cfRule type="cellIs" dxfId="128" priority="23" stopIfTrue="1" operator="greaterThanOrEqual">
      <formula>0.3</formula>
    </cfRule>
  </conditionalFormatting>
  <conditionalFormatting sqref="Q7:Q19 P7:S14 P4:P5 Q4 R4:S19 P21:S21 P16:S19">
    <cfRule type="expression" dxfId="127" priority="19">
      <formula>P4&lt;&gt;0</formula>
    </cfRule>
  </conditionalFormatting>
  <conditionalFormatting sqref="P15:S18">
    <cfRule type="expression" dxfId="126" priority="10">
      <formula>$P$15&lt;&gt;0</formula>
    </cfRule>
  </conditionalFormatting>
  <conditionalFormatting sqref="O4:O19 O21">
    <cfRule type="cellIs" dxfId="125" priority="5" stopIfTrue="1" operator="lessThan">
      <formula>0</formula>
    </cfRule>
    <cfRule type="cellIs" dxfId="124" priority="6" operator="greaterThan">
      <formula>0</formula>
    </cfRule>
  </conditionalFormatting>
  <hyperlinks>
    <hyperlink ref="D31" location="权重!A1" display="权重!A1"/>
    <hyperlink ref="D32" location="目录!A1" display="目录!A1"/>
  </hyperlink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sheetPr codeName="Sheet4">
    <tabColor theme="6"/>
  </sheetPr>
  <dimension ref="A1:U121"/>
  <sheetViews>
    <sheetView workbookViewId="0">
      <pane xSplit="9" ySplit="3" topLeftCell="J4" activePane="bottomRight" state="frozenSplit"/>
      <selection activeCell="C1" sqref="A1:XFD1048576"/>
      <selection pane="topRight" activeCell="H1" sqref="H1"/>
      <selection pane="bottomLeft" activeCell="C4" sqref="C4"/>
      <selection pane="bottomRight" activeCell="J82" sqref="J82"/>
    </sheetView>
  </sheetViews>
  <sheetFormatPr defaultColWidth="8.875" defaultRowHeight="16.5" outlineLevelCol="2"/>
  <cols>
    <col min="1" max="1" width="20.75" style="145" hidden="1" customWidth="1" outlineLevel="1"/>
    <col min="2" max="2" width="14.125" style="145" hidden="1" customWidth="1" outlineLevel="1"/>
    <col min="3" max="3" width="4.625" style="536" customWidth="1" collapsed="1"/>
    <col min="4" max="4" width="37.875" style="371" customWidth="1"/>
    <col min="5" max="5" width="14.125" style="555" hidden="1" customWidth="1" outlineLevel="1"/>
    <col min="6" max="6" width="11" style="453" hidden="1" customWidth="1" outlineLevel="2"/>
    <col min="7" max="7" width="9.75" style="559" hidden="1" customWidth="1" outlineLevel="2"/>
    <col min="8" max="8" width="7.5" style="371" hidden="1" customWidth="1" outlineLevel="1"/>
    <col min="9" max="9" width="9.875" style="557" customWidth="1" collapsed="1"/>
    <col min="10" max="10" width="10.625" style="557" customWidth="1"/>
    <col min="11" max="11" width="10.25" style="536" customWidth="1"/>
    <col min="12" max="12" width="10.125" style="536" customWidth="1"/>
    <col min="13" max="13" width="10.375" style="557" bestFit="1" customWidth="1"/>
    <col min="14" max="14" width="10.375" style="557" customWidth="1"/>
    <col min="15" max="15" width="9.25" style="11" customWidth="1"/>
    <col min="16" max="18" width="8.875" style="1" customWidth="1"/>
    <col min="19" max="19" width="9.875" style="1" customWidth="1"/>
    <col min="20" max="20" width="11.375" style="1" customWidth="1"/>
    <col min="21" max="21" width="8.875" style="1" customWidth="1"/>
    <col min="22" max="16384" width="8.875" style="371"/>
  </cols>
  <sheetData>
    <row r="1" spans="1:21">
      <c r="A1" s="147"/>
      <c r="B1" s="147"/>
      <c r="C1" s="529" t="s">
        <v>25</v>
      </c>
      <c r="D1" s="529"/>
      <c r="E1" s="539"/>
      <c r="F1" s="463"/>
      <c r="G1" s="527"/>
      <c r="I1" s="527"/>
      <c r="J1" s="527"/>
      <c r="K1" s="540"/>
      <c r="L1" s="540"/>
      <c r="M1" s="527"/>
      <c r="N1" s="527"/>
      <c r="O1" s="201"/>
    </row>
    <row r="2" spans="1:21">
      <c r="A2" s="147"/>
      <c r="B2" s="147"/>
      <c r="C2" s="529"/>
      <c r="D2" s="529"/>
      <c r="E2" s="539"/>
      <c r="F2" s="463"/>
      <c r="G2" s="529"/>
      <c r="I2" s="527"/>
      <c r="J2" s="527"/>
      <c r="K2" s="540"/>
      <c r="L2" s="540"/>
      <c r="M2" s="527"/>
      <c r="N2" s="527"/>
      <c r="O2" s="144" t="s">
        <v>1656</v>
      </c>
      <c r="U2" s="8"/>
    </row>
    <row r="3" spans="1:21" s="374" customFormat="1" ht="15">
      <c r="A3" s="17" t="s">
        <v>395</v>
      </c>
      <c r="B3" s="17" t="s">
        <v>396</v>
      </c>
      <c r="C3" s="530" t="s">
        <v>184</v>
      </c>
      <c r="D3" s="531" t="s">
        <v>183</v>
      </c>
      <c r="E3" s="531" t="s">
        <v>1485</v>
      </c>
      <c r="F3" s="531" t="s">
        <v>1553</v>
      </c>
      <c r="G3" s="531" t="s">
        <v>394</v>
      </c>
      <c r="H3" s="531" t="s">
        <v>650</v>
      </c>
      <c r="I3" s="531" t="s">
        <v>489</v>
      </c>
      <c r="J3" s="531" t="s">
        <v>1099</v>
      </c>
      <c r="K3" s="541" t="s">
        <v>2255</v>
      </c>
      <c r="L3" s="605" t="s">
        <v>1421</v>
      </c>
      <c r="M3" s="606" t="s">
        <v>2258</v>
      </c>
      <c r="N3" s="605" t="s">
        <v>2159</v>
      </c>
      <c r="O3" s="28" t="s">
        <v>1100</v>
      </c>
      <c r="P3" s="21" t="s">
        <v>1101</v>
      </c>
      <c r="Q3" s="21" t="s">
        <v>465</v>
      </c>
      <c r="R3" s="222" t="s">
        <v>1603</v>
      </c>
      <c r="S3" s="607" t="s">
        <v>1602</v>
      </c>
      <c r="T3" s="607" t="s">
        <v>1605</v>
      </c>
      <c r="U3" s="213"/>
    </row>
    <row r="4" spans="1:21" s="374" customFormat="1" ht="15.6" customHeight="1">
      <c r="A4" s="148" t="s">
        <v>1075</v>
      </c>
      <c r="B4" s="148" t="s">
        <v>253</v>
      </c>
      <c r="C4" s="470">
        <v>1</v>
      </c>
      <c r="D4" s="410" t="s">
        <v>26</v>
      </c>
      <c r="E4" s="534" t="s">
        <v>207</v>
      </c>
      <c r="F4" s="542" t="s">
        <v>207</v>
      </c>
      <c r="G4" s="543" t="s">
        <v>1554</v>
      </c>
      <c r="H4" s="380" t="s">
        <v>232</v>
      </c>
      <c r="I4" s="399">
        <v>2</v>
      </c>
      <c r="J4" s="404"/>
      <c r="K4" s="484">
        <v>21.01</v>
      </c>
      <c r="L4" s="484">
        <v>20.76</v>
      </c>
      <c r="M4" s="378">
        <f>IF(K4&gt;7,2,IF(K4&gt;5,1,0))</f>
        <v>2</v>
      </c>
      <c r="N4" s="378">
        <f>IF(L4&gt;7,2,IF(L4&gt;5,1,0))</f>
        <v>2</v>
      </c>
      <c r="O4" s="203">
        <f>IF(AND(L4=0,K4&lt;&gt;0),1,IF(AND(L4=0,K4=0),0,K4/L4-1))</f>
        <v>1.2042389210019211E-2</v>
      </c>
      <c r="P4" s="197">
        <f>M4-N4</f>
        <v>0</v>
      </c>
      <c r="Q4" s="199">
        <f t="shared" ref="Q4:Q35" si="0">I4-M4</f>
        <v>0</v>
      </c>
      <c r="R4" s="199">
        <f>Q4*100%</f>
        <v>0</v>
      </c>
      <c r="S4" s="199">
        <f>R4/9</f>
        <v>0</v>
      </c>
      <c r="T4" s="199">
        <f>S4/2</f>
        <v>0</v>
      </c>
      <c r="U4" s="129"/>
    </row>
    <row r="5" spans="1:21" s="374" customFormat="1" ht="15.6" customHeight="1">
      <c r="A5" s="148" t="s">
        <v>254</v>
      </c>
      <c r="B5" s="148" t="s">
        <v>255</v>
      </c>
      <c r="C5" s="470">
        <v>2</v>
      </c>
      <c r="D5" s="410" t="s">
        <v>27</v>
      </c>
      <c r="E5" s="534" t="s">
        <v>207</v>
      </c>
      <c r="F5" s="542" t="s">
        <v>207</v>
      </c>
      <c r="G5" s="543" t="s">
        <v>1555</v>
      </c>
      <c r="H5" s="380" t="s">
        <v>232</v>
      </c>
      <c r="I5" s="399">
        <v>2</v>
      </c>
      <c r="J5" s="404" t="s">
        <v>209</v>
      </c>
      <c r="K5" s="484" t="s">
        <v>28</v>
      </c>
      <c r="L5" s="484" t="s">
        <v>28</v>
      </c>
      <c r="M5" s="380">
        <v>2</v>
      </c>
      <c r="N5" s="380">
        <v>2</v>
      </c>
      <c r="O5" s="203">
        <f>IF((K5=L5)=TRUE,0,1)</f>
        <v>0</v>
      </c>
      <c r="P5" s="197">
        <f t="shared" ref="P5:P63" si="1">M5-N5</f>
        <v>0</v>
      </c>
      <c r="Q5" s="199">
        <f t="shared" si="0"/>
        <v>0</v>
      </c>
      <c r="R5" s="199">
        <f t="shared" ref="R5:R66" si="2">Q5*100%</f>
        <v>0</v>
      </c>
      <c r="S5" s="199">
        <f t="shared" ref="S5:S66" si="3">R5/9</f>
        <v>0</v>
      </c>
      <c r="T5" s="199">
        <f t="shared" ref="T5:T66" si="4">S5/2</f>
        <v>0</v>
      </c>
      <c r="U5" s="129"/>
    </row>
    <row r="6" spans="1:21" s="374" customFormat="1" ht="15.6" customHeight="1">
      <c r="A6" s="148" t="s">
        <v>256</v>
      </c>
      <c r="B6" s="148" t="s">
        <v>257</v>
      </c>
      <c r="C6" s="470">
        <v>3</v>
      </c>
      <c r="D6" s="410" t="s">
        <v>29</v>
      </c>
      <c r="E6" s="534" t="s">
        <v>207</v>
      </c>
      <c r="F6" s="542" t="s">
        <v>207</v>
      </c>
      <c r="G6" s="543" t="s">
        <v>399</v>
      </c>
      <c r="H6" s="380" t="s">
        <v>232</v>
      </c>
      <c r="I6" s="399">
        <v>2</v>
      </c>
      <c r="J6" s="404"/>
      <c r="K6" s="473">
        <v>5.82</v>
      </c>
      <c r="L6" s="473">
        <v>5.57</v>
      </c>
      <c r="M6" s="380">
        <f>IF(K6&gt;=5,2,0)</f>
        <v>2</v>
      </c>
      <c r="N6" s="380">
        <f>IF(L6&gt;=5,2,0)</f>
        <v>2</v>
      </c>
      <c r="O6" s="203">
        <f>IF(AND(L6=0,K6&lt;&gt;0),1,IF(AND(L6=0,K6=0),0,K6/L6-1))</f>
        <v>4.4883303411131115E-2</v>
      </c>
      <c r="P6" s="197">
        <f t="shared" si="1"/>
        <v>0</v>
      </c>
      <c r="Q6" s="199">
        <f t="shared" si="0"/>
        <v>0</v>
      </c>
      <c r="R6" s="199">
        <f t="shared" si="2"/>
        <v>0</v>
      </c>
      <c r="S6" s="199">
        <f t="shared" si="3"/>
        <v>0</v>
      </c>
      <c r="T6" s="199">
        <f t="shared" si="4"/>
        <v>0</v>
      </c>
      <c r="U6" s="211"/>
    </row>
    <row r="7" spans="1:21" s="374" customFormat="1" ht="15.6" customHeight="1">
      <c r="A7" s="1749" t="s">
        <v>258</v>
      </c>
      <c r="B7" s="1749" t="s">
        <v>259</v>
      </c>
      <c r="C7" s="470">
        <v>4</v>
      </c>
      <c r="D7" s="410" t="s">
        <v>30</v>
      </c>
      <c r="E7" s="534" t="s">
        <v>207</v>
      </c>
      <c r="F7" s="542" t="s">
        <v>207</v>
      </c>
      <c r="G7" s="543" t="s">
        <v>399</v>
      </c>
      <c r="H7" s="1669" t="s">
        <v>232</v>
      </c>
      <c r="I7" s="1679">
        <v>1</v>
      </c>
      <c r="J7" s="404" t="s">
        <v>210</v>
      </c>
      <c r="K7" s="484" t="s">
        <v>31</v>
      </c>
      <c r="L7" s="484" t="s">
        <v>31</v>
      </c>
      <c r="M7" s="1702">
        <v>1</v>
      </c>
      <c r="N7" s="1702">
        <v>1</v>
      </c>
      <c r="O7" s="203">
        <f>IF((K7=L7)=TRUE,0,1)</f>
        <v>0</v>
      </c>
      <c r="P7" s="197">
        <f t="shared" si="1"/>
        <v>0</v>
      </c>
      <c r="Q7" s="199">
        <f t="shared" si="0"/>
        <v>0</v>
      </c>
      <c r="R7" s="199">
        <f t="shared" si="2"/>
        <v>0</v>
      </c>
      <c r="S7" s="199">
        <f t="shared" si="3"/>
        <v>0</v>
      </c>
      <c r="T7" s="199">
        <f t="shared" si="4"/>
        <v>0</v>
      </c>
      <c r="U7" s="211"/>
    </row>
    <row r="8" spans="1:21" s="374" customFormat="1" ht="15.6" customHeight="1">
      <c r="A8" s="1751"/>
      <c r="B8" s="1751"/>
      <c r="C8" s="470">
        <v>5</v>
      </c>
      <c r="D8" s="410" t="s">
        <v>32</v>
      </c>
      <c r="E8" s="534" t="s">
        <v>207</v>
      </c>
      <c r="F8" s="542" t="s">
        <v>207</v>
      </c>
      <c r="G8" s="543" t="s">
        <v>399</v>
      </c>
      <c r="H8" s="1669"/>
      <c r="I8" s="1679"/>
      <c r="J8" s="404" t="s">
        <v>210</v>
      </c>
      <c r="K8" s="484" t="s">
        <v>33</v>
      </c>
      <c r="L8" s="484" t="s">
        <v>33</v>
      </c>
      <c r="M8" s="1704"/>
      <c r="N8" s="1704"/>
      <c r="O8" s="203">
        <f>IF((K8=L8)=TRUE,0,1)</f>
        <v>0</v>
      </c>
      <c r="P8" s="197">
        <f t="shared" si="1"/>
        <v>0</v>
      </c>
      <c r="Q8" s="199">
        <f t="shared" si="0"/>
        <v>0</v>
      </c>
      <c r="R8" s="199">
        <f t="shared" si="2"/>
        <v>0</v>
      </c>
      <c r="S8" s="199">
        <f t="shared" si="3"/>
        <v>0</v>
      </c>
      <c r="T8" s="199">
        <f t="shared" si="4"/>
        <v>0</v>
      </c>
      <c r="U8" s="211"/>
    </row>
    <row r="9" spans="1:21" s="2" customFormat="1" ht="15.6" customHeight="1">
      <c r="A9" s="1749" t="s">
        <v>1076</v>
      </c>
      <c r="B9" s="1749" t="s">
        <v>260</v>
      </c>
      <c r="C9" s="5">
        <v>6</v>
      </c>
      <c r="D9" s="9" t="s">
        <v>34</v>
      </c>
      <c r="E9" s="195"/>
      <c r="F9" s="3"/>
      <c r="G9" s="202" t="s">
        <v>399</v>
      </c>
      <c r="H9" s="25" t="s">
        <v>232</v>
      </c>
      <c r="I9" s="81">
        <v>1</v>
      </c>
      <c r="J9" s="19"/>
      <c r="K9" s="206">
        <f>IF(K11=0,"",K10/K11)</f>
        <v>0.7142857142857143</v>
      </c>
      <c r="L9" s="206">
        <v>0.625</v>
      </c>
      <c r="M9" s="117">
        <f>IF(K9&gt;=0.25,1,0)</f>
        <v>1</v>
      </c>
      <c r="N9" s="187">
        <f>IF(L9&gt;=0.25,1,0)</f>
        <v>1</v>
      </c>
      <c r="O9" s="203">
        <f t="shared" ref="O9:O20" si="5">IF(AND(L9=0,K9&lt;&gt;0),1,IF(AND(L9=0,K9=0),0,K9/L9-1))</f>
        <v>0.14285714285714279</v>
      </c>
      <c r="P9" s="197">
        <f t="shared" si="1"/>
        <v>0</v>
      </c>
      <c r="Q9" s="199">
        <f t="shared" si="0"/>
        <v>0</v>
      </c>
      <c r="R9" s="199">
        <f t="shared" si="2"/>
        <v>0</v>
      </c>
      <c r="S9" s="199">
        <f t="shared" si="3"/>
        <v>0</v>
      </c>
      <c r="T9" s="199">
        <f t="shared" si="4"/>
        <v>0</v>
      </c>
      <c r="U9" s="211"/>
    </row>
    <row r="10" spans="1:21" s="374" customFormat="1" ht="15.6" customHeight="1">
      <c r="A10" s="1750"/>
      <c r="B10" s="1750"/>
      <c r="C10" s="544">
        <v>6.1</v>
      </c>
      <c r="D10" s="405" t="s">
        <v>35</v>
      </c>
      <c r="E10" s="534" t="s">
        <v>207</v>
      </c>
      <c r="F10" s="542" t="s">
        <v>207</v>
      </c>
      <c r="G10" s="543"/>
      <c r="H10" s="379"/>
      <c r="I10" s="399"/>
      <c r="J10" s="545" t="s">
        <v>2006</v>
      </c>
      <c r="K10" s="484">
        <v>5</v>
      </c>
      <c r="L10" s="484">
        <v>5</v>
      </c>
      <c r="M10" s="380"/>
      <c r="N10" s="380"/>
      <c r="O10" s="203">
        <f t="shared" si="5"/>
        <v>0</v>
      </c>
      <c r="P10" s="197">
        <f t="shared" si="1"/>
        <v>0</v>
      </c>
      <c r="Q10" s="199">
        <f t="shared" si="0"/>
        <v>0</v>
      </c>
      <c r="R10" s="199">
        <f t="shared" si="2"/>
        <v>0</v>
      </c>
      <c r="S10" s="199">
        <f t="shared" si="3"/>
        <v>0</v>
      </c>
      <c r="T10" s="199">
        <f t="shared" si="4"/>
        <v>0</v>
      </c>
      <c r="U10" s="211"/>
    </row>
    <row r="11" spans="1:21" s="374" customFormat="1" ht="15.6" customHeight="1">
      <c r="A11" s="1751"/>
      <c r="B11" s="1751"/>
      <c r="C11" s="544">
        <v>6.2</v>
      </c>
      <c r="D11" s="405" t="s">
        <v>36</v>
      </c>
      <c r="E11" s="534" t="s">
        <v>207</v>
      </c>
      <c r="F11" s="542" t="s">
        <v>207</v>
      </c>
      <c r="G11" s="543"/>
      <c r="H11" s="379"/>
      <c r="I11" s="399"/>
      <c r="J11" s="545" t="s">
        <v>2434</v>
      </c>
      <c r="K11" s="546">
        <v>7</v>
      </c>
      <c r="L11" s="546">
        <v>8</v>
      </c>
      <c r="M11" s="380"/>
      <c r="N11" s="380"/>
      <c r="O11" s="203">
        <f t="shared" si="5"/>
        <v>-0.125</v>
      </c>
      <c r="P11" s="197">
        <f t="shared" si="1"/>
        <v>0</v>
      </c>
      <c r="Q11" s="199">
        <f t="shared" si="0"/>
        <v>0</v>
      </c>
      <c r="R11" s="199">
        <f t="shared" si="2"/>
        <v>0</v>
      </c>
      <c r="S11" s="199">
        <f t="shared" si="3"/>
        <v>0</v>
      </c>
      <c r="T11" s="199">
        <f t="shared" si="4"/>
        <v>0</v>
      </c>
      <c r="U11" s="211"/>
    </row>
    <row r="12" spans="1:21" s="2" customFormat="1" ht="15.6" customHeight="1">
      <c r="A12" s="1749" t="s">
        <v>2150</v>
      </c>
      <c r="B12" s="1749" t="s">
        <v>2151</v>
      </c>
      <c r="C12" s="5">
        <v>7</v>
      </c>
      <c r="D12" s="9" t="s">
        <v>2149</v>
      </c>
      <c r="E12" s="195"/>
      <c r="F12" s="3"/>
      <c r="G12" s="202" t="s">
        <v>1555</v>
      </c>
      <c r="H12" s="25" t="s">
        <v>232</v>
      </c>
      <c r="I12" s="81">
        <v>2</v>
      </c>
      <c r="J12" s="19"/>
      <c r="K12" s="207">
        <f>K13/(K14+K15)</f>
        <v>0</v>
      </c>
      <c r="L12" s="207">
        <v>6.8965517241379309E-2</v>
      </c>
      <c r="M12" s="117">
        <f>IF(K12&lt;0.2,2,IF(I12&lt;0.3,1,0))</f>
        <v>2</v>
      </c>
      <c r="N12" s="187">
        <f>IF(L12&lt;0.2,2,IF(M12&lt;0.3,1,0))</f>
        <v>2</v>
      </c>
      <c r="O12" s="203">
        <f t="shared" si="5"/>
        <v>-1</v>
      </c>
      <c r="P12" s="197">
        <f t="shared" si="1"/>
        <v>0</v>
      </c>
      <c r="Q12" s="199">
        <f t="shared" si="0"/>
        <v>0</v>
      </c>
      <c r="R12" s="199">
        <f t="shared" si="2"/>
        <v>0</v>
      </c>
      <c r="S12" s="199">
        <f t="shared" si="3"/>
        <v>0</v>
      </c>
      <c r="T12" s="199">
        <f t="shared" si="4"/>
        <v>0</v>
      </c>
      <c r="U12" s="211"/>
    </row>
    <row r="13" spans="1:21" s="374" customFormat="1" ht="15.6" customHeight="1">
      <c r="A13" s="1750"/>
      <c r="B13" s="1750"/>
      <c r="C13" s="544">
        <v>7.1</v>
      </c>
      <c r="D13" s="405" t="s">
        <v>38</v>
      </c>
      <c r="E13" s="534" t="s">
        <v>207</v>
      </c>
      <c r="F13" s="542" t="s">
        <v>207</v>
      </c>
      <c r="G13" s="543"/>
      <c r="H13" s="379"/>
      <c r="I13" s="399"/>
      <c r="J13" s="545" t="s">
        <v>1437</v>
      </c>
      <c r="K13" s="484">
        <v>0</v>
      </c>
      <c r="L13" s="484">
        <v>2</v>
      </c>
      <c r="M13" s="380"/>
      <c r="N13" s="380"/>
      <c r="O13" s="203">
        <f t="shared" si="5"/>
        <v>-1</v>
      </c>
      <c r="P13" s="197">
        <f t="shared" si="1"/>
        <v>0</v>
      </c>
      <c r="Q13" s="199">
        <f t="shared" si="0"/>
        <v>0</v>
      </c>
      <c r="R13" s="199">
        <f t="shared" si="2"/>
        <v>0</v>
      </c>
      <c r="S13" s="199">
        <f t="shared" si="3"/>
        <v>0</v>
      </c>
      <c r="T13" s="199">
        <f t="shared" si="4"/>
        <v>0</v>
      </c>
      <c r="U13" s="211"/>
    </row>
    <row r="14" spans="1:21" s="374" customFormat="1" ht="15.6" customHeight="1">
      <c r="A14" s="1750"/>
      <c r="B14" s="1750"/>
      <c r="C14" s="544">
        <v>7.2</v>
      </c>
      <c r="D14" s="405" t="s">
        <v>39</v>
      </c>
      <c r="E14" s="534" t="s">
        <v>207</v>
      </c>
      <c r="F14" s="542" t="s">
        <v>207</v>
      </c>
      <c r="G14" s="543"/>
      <c r="H14" s="379"/>
      <c r="I14" s="399"/>
      <c r="J14" s="545" t="s">
        <v>1437</v>
      </c>
      <c r="K14" s="484">
        <v>22</v>
      </c>
      <c r="L14" s="484">
        <v>22</v>
      </c>
      <c r="M14" s="380"/>
      <c r="N14" s="380"/>
      <c r="O14" s="203">
        <f t="shared" si="5"/>
        <v>0</v>
      </c>
      <c r="P14" s="197">
        <f t="shared" si="1"/>
        <v>0</v>
      </c>
      <c r="Q14" s="199">
        <f t="shared" si="0"/>
        <v>0</v>
      </c>
      <c r="R14" s="199">
        <f t="shared" si="2"/>
        <v>0</v>
      </c>
      <c r="S14" s="199">
        <f t="shared" si="3"/>
        <v>0</v>
      </c>
      <c r="T14" s="199">
        <f t="shared" si="4"/>
        <v>0</v>
      </c>
      <c r="U14" s="211"/>
    </row>
    <row r="15" spans="1:21" s="374" customFormat="1" ht="15.6" customHeight="1">
      <c r="A15" s="1751"/>
      <c r="B15" s="1751"/>
      <c r="C15" s="544">
        <v>7.3</v>
      </c>
      <c r="D15" s="405" t="s">
        <v>40</v>
      </c>
      <c r="E15" s="534" t="s">
        <v>207</v>
      </c>
      <c r="F15" s="542" t="s">
        <v>207</v>
      </c>
      <c r="G15" s="543"/>
      <c r="H15" s="379"/>
      <c r="I15" s="399"/>
      <c r="J15" s="545" t="s">
        <v>1437</v>
      </c>
      <c r="K15" s="484">
        <v>5</v>
      </c>
      <c r="L15" s="484">
        <v>7</v>
      </c>
      <c r="M15" s="1380"/>
      <c r="N15" s="1380"/>
      <c r="O15" s="203">
        <f t="shared" si="5"/>
        <v>-0.2857142857142857</v>
      </c>
      <c r="P15" s="197">
        <f t="shared" si="1"/>
        <v>0</v>
      </c>
      <c r="Q15" s="199">
        <f t="shared" si="0"/>
        <v>0</v>
      </c>
      <c r="R15" s="199">
        <f t="shared" si="2"/>
        <v>0</v>
      </c>
      <c r="S15" s="199">
        <f t="shared" si="3"/>
        <v>0</v>
      </c>
      <c r="T15" s="199">
        <f t="shared" si="4"/>
        <v>0</v>
      </c>
      <c r="U15" s="211"/>
    </row>
    <row r="16" spans="1:21" s="374" customFormat="1" ht="15.6" customHeight="1">
      <c r="A16" s="1749" t="s">
        <v>261</v>
      </c>
      <c r="B16" s="1749" t="s">
        <v>262</v>
      </c>
      <c r="C16" s="470">
        <v>8</v>
      </c>
      <c r="D16" s="410" t="s">
        <v>41</v>
      </c>
      <c r="E16" s="534" t="s">
        <v>207</v>
      </c>
      <c r="F16" s="542" t="s">
        <v>207</v>
      </c>
      <c r="G16" s="543" t="s">
        <v>1555</v>
      </c>
      <c r="H16" s="1669" t="s">
        <v>232</v>
      </c>
      <c r="I16" s="1679">
        <v>1</v>
      </c>
      <c r="J16" s="404"/>
      <c r="K16" s="484">
        <v>4</v>
      </c>
      <c r="L16" s="484">
        <v>4</v>
      </c>
      <c r="M16" s="1702">
        <f>IF(K17&gt;=1,1,0)</f>
        <v>1</v>
      </c>
      <c r="N16" s="1702">
        <f>IF(L17&gt;=1,1,0)</f>
        <v>1</v>
      </c>
      <c r="O16" s="203">
        <f t="shared" si="5"/>
        <v>0</v>
      </c>
      <c r="P16" s="197">
        <f t="shared" si="1"/>
        <v>0</v>
      </c>
      <c r="Q16" s="199">
        <f t="shared" si="0"/>
        <v>0</v>
      </c>
      <c r="R16" s="199">
        <f t="shared" si="2"/>
        <v>0</v>
      </c>
      <c r="S16" s="199">
        <f t="shared" si="3"/>
        <v>0</v>
      </c>
      <c r="T16" s="199">
        <f t="shared" si="4"/>
        <v>0</v>
      </c>
      <c r="U16" s="211"/>
    </row>
    <row r="17" spans="1:21" s="374" customFormat="1" ht="19.5" customHeight="1">
      <c r="A17" s="1751"/>
      <c r="B17" s="1751"/>
      <c r="C17" s="470">
        <v>9</v>
      </c>
      <c r="D17" s="410" t="s">
        <v>42</v>
      </c>
      <c r="E17" s="534" t="s">
        <v>207</v>
      </c>
      <c r="F17" s="542" t="s">
        <v>207</v>
      </c>
      <c r="G17" s="543" t="s">
        <v>1555</v>
      </c>
      <c r="H17" s="1669"/>
      <c r="I17" s="1679"/>
      <c r="J17" s="545" t="s">
        <v>2435</v>
      </c>
      <c r="K17" s="484">
        <v>16</v>
      </c>
      <c r="L17" s="484">
        <v>13</v>
      </c>
      <c r="M17" s="1704"/>
      <c r="N17" s="1704"/>
      <c r="O17" s="203">
        <f t="shared" si="5"/>
        <v>0.23076923076923084</v>
      </c>
      <c r="P17" s="197">
        <f t="shared" si="1"/>
        <v>0</v>
      </c>
      <c r="Q17" s="199">
        <f t="shared" si="0"/>
        <v>0</v>
      </c>
      <c r="R17" s="199">
        <f t="shared" si="2"/>
        <v>0</v>
      </c>
      <c r="S17" s="199">
        <f t="shared" si="3"/>
        <v>0</v>
      </c>
      <c r="T17" s="199">
        <f t="shared" si="4"/>
        <v>0</v>
      </c>
      <c r="U17" s="211"/>
    </row>
    <row r="18" spans="1:21" s="2" customFormat="1" ht="14.25">
      <c r="A18" s="1749" t="s">
        <v>473</v>
      </c>
      <c r="B18" s="1749" t="s">
        <v>263</v>
      </c>
      <c r="C18" s="5">
        <v>10</v>
      </c>
      <c r="D18" s="9" t="s">
        <v>1738</v>
      </c>
      <c r="E18" s="195"/>
      <c r="F18" s="3"/>
      <c r="G18" s="202" t="s">
        <v>1555</v>
      </c>
      <c r="H18" s="25" t="s">
        <v>232</v>
      </c>
      <c r="I18" s="81">
        <v>1</v>
      </c>
      <c r="J18" s="19" t="s">
        <v>2007</v>
      </c>
      <c r="K18" s="357">
        <f>K19/K20</f>
        <v>8.1481481481481488</v>
      </c>
      <c r="L18" s="357">
        <v>7.8518518518518521</v>
      </c>
      <c r="M18" s="118">
        <f>IF(K18&gt;=2,1,0)</f>
        <v>1</v>
      </c>
      <c r="N18" s="187">
        <f>IF(L18&gt;=2,1,0)</f>
        <v>1</v>
      </c>
      <c r="O18" s="203">
        <f t="shared" si="5"/>
        <v>3.7735849056603765E-2</v>
      </c>
      <c r="P18" s="197">
        <f t="shared" si="1"/>
        <v>0</v>
      </c>
      <c r="Q18" s="199">
        <f t="shared" si="0"/>
        <v>0</v>
      </c>
      <c r="R18" s="199">
        <f t="shared" si="2"/>
        <v>0</v>
      </c>
      <c r="S18" s="199">
        <f t="shared" si="3"/>
        <v>0</v>
      </c>
      <c r="T18" s="199">
        <f t="shared" si="4"/>
        <v>0</v>
      </c>
      <c r="U18" s="211"/>
    </row>
    <row r="19" spans="1:21" s="374" customFormat="1" ht="15.6" customHeight="1">
      <c r="A19" s="1750"/>
      <c r="B19" s="1750"/>
      <c r="C19" s="544">
        <v>10.1</v>
      </c>
      <c r="D19" s="405" t="s">
        <v>44</v>
      </c>
      <c r="E19" s="534" t="s">
        <v>207</v>
      </c>
      <c r="F19" s="542" t="s">
        <v>207</v>
      </c>
      <c r="G19" s="543"/>
      <c r="H19" s="379"/>
      <c r="I19" s="399"/>
      <c r="J19" s="1381" t="s">
        <v>2436</v>
      </c>
      <c r="K19" s="484">
        <v>220</v>
      </c>
      <c r="L19" s="484">
        <v>212</v>
      </c>
      <c r="M19" s="380"/>
      <c r="N19" s="380"/>
      <c r="O19" s="203">
        <f t="shared" si="5"/>
        <v>3.7735849056603765E-2</v>
      </c>
      <c r="P19" s="197">
        <f t="shared" si="1"/>
        <v>0</v>
      </c>
      <c r="Q19" s="199">
        <f t="shared" si="0"/>
        <v>0</v>
      </c>
      <c r="R19" s="199">
        <f t="shared" si="2"/>
        <v>0</v>
      </c>
      <c r="S19" s="199">
        <f t="shared" si="3"/>
        <v>0</v>
      </c>
      <c r="T19" s="199">
        <f t="shared" si="4"/>
        <v>0</v>
      </c>
      <c r="U19" s="211"/>
    </row>
    <row r="20" spans="1:21" s="374" customFormat="1" ht="15.6" customHeight="1">
      <c r="A20" s="1751"/>
      <c r="B20" s="1751"/>
      <c r="C20" s="544">
        <v>10.199999999999999</v>
      </c>
      <c r="D20" s="405" t="s">
        <v>45</v>
      </c>
      <c r="E20" s="534" t="s">
        <v>207</v>
      </c>
      <c r="F20" s="542" t="s">
        <v>207</v>
      </c>
      <c r="G20" s="543"/>
      <c r="H20" s="379"/>
      <c r="I20" s="399"/>
      <c r="J20" s="404" t="s">
        <v>1079</v>
      </c>
      <c r="K20" s="484">
        <v>27</v>
      </c>
      <c r="L20" s="484">
        <v>27</v>
      </c>
      <c r="M20" s="380"/>
      <c r="N20" s="380"/>
      <c r="O20" s="203">
        <f t="shared" si="5"/>
        <v>0</v>
      </c>
      <c r="P20" s="197">
        <f t="shared" si="1"/>
        <v>0</v>
      </c>
      <c r="Q20" s="199">
        <f t="shared" si="0"/>
        <v>0</v>
      </c>
      <c r="R20" s="199">
        <f t="shared" si="2"/>
        <v>0</v>
      </c>
      <c r="S20" s="199">
        <f t="shared" si="3"/>
        <v>0</v>
      </c>
      <c r="T20" s="199">
        <f t="shared" si="4"/>
        <v>0</v>
      </c>
      <c r="U20" s="211"/>
    </row>
    <row r="21" spans="1:21" s="374" customFormat="1" ht="15.6" customHeight="1">
      <c r="A21" s="1749" t="s">
        <v>264</v>
      </c>
      <c r="B21" s="1749" t="s">
        <v>265</v>
      </c>
      <c r="C21" s="470">
        <v>11</v>
      </c>
      <c r="D21" s="410" t="s">
        <v>46</v>
      </c>
      <c r="E21" s="534" t="s">
        <v>207</v>
      </c>
      <c r="F21" s="542" t="s">
        <v>207</v>
      </c>
      <c r="G21" s="543" t="s">
        <v>399</v>
      </c>
      <c r="H21" s="1669" t="s">
        <v>232</v>
      </c>
      <c r="I21" s="1679">
        <v>1</v>
      </c>
      <c r="J21" s="545" t="s">
        <v>1438</v>
      </c>
      <c r="K21" s="484" t="s">
        <v>47</v>
      </c>
      <c r="L21" s="484" t="s">
        <v>47</v>
      </c>
      <c r="M21" s="1669">
        <v>1</v>
      </c>
      <c r="N21" s="1669">
        <v>1</v>
      </c>
      <c r="O21" s="203">
        <f t="shared" ref="O21:O41" si="6">IF((K21=L21)=TRUE,0,1)</f>
        <v>0</v>
      </c>
      <c r="P21" s="197">
        <f t="shared" si="1"/>
        <v>0</v>
      </c>
      <c r="Q21" s="199">
        <f t="shared" si="0"/>
        <v>0</v>
      </c>
      <c r="R21" s="199">
        <f t="shared" si="2"/>
        <v>0</v>
      </c>
      <c r="S21" s="199">
        <f t="shared" si="3"/>
        <v>0</v>
      </c>
      <c r="T21" s="199">
        <f t="shared" si="4"/>
        <v>0</v>
      </c>
      <c r="U21" s="211"/>
    </row>
    <row r="22" spans="1:21" s="374" customFormat="1" ht="15.6" customHeight="1">
      <c r="A22" s="1751"/>
      <c r="B22" s="1751"/>
      <c r="C22" s="470">
        <v>12</v>
      </c>
      <c r="D22" s="410" t="s">
        <v>48</v>
      </c>
      <c r="E22" s="534" t="s">
        <v>207</v>
      </c>
      <c r="F22" s="542" t="s">
        <v>207</v>
      </c>
      <c r="G22" s="543" t="s">
        <v>399</v>
      </c>
      <c r="H22" s="1669"/>
      <c r="I22" s="1679"/>
      <c r="J22" s="545" t="s">
        <v>1439</v>
      </c>
      <c r="K22" s="484" t="s">
        <v>49</v>
      </c>
      <c r="L22" s="484" t="s">
        <v>49</v>
      </c>
      <c r="M22" s="1669"/>
      <c r="N22" s="1669"/>
      <c r="O22" s="203">
        <f t="shared" si="6"/>
        <v>0</v>
      </c>
      <c r="P22" s="197">
        <f t="shared" si="1"/>
        <v>0</v>
      </c>
      <c r="Q22" s="199">
        <f t="shared" si="0"/>
        <v>0</v>
      </c>
      <c r="R22" s="199">
        <f t="shared" si="2"/>
        <v>0</v>
      </c>
      <c r="S22" s="199">
        <f t="shared" si="3"/>
        <v>0</v>
      </c>
      <c r="T22" s="199">
        <f t="shared" si="4"/>
        <v>0</v>
      </c>
      <c r="U22" s="211"/>
    </row>
    <row r="23" spans="1:21" s="374" customFormat="1" ht="15.6" customHeight="1">
      <c r="A23" s="1749" t="s">
        <v>266</v>
      </c>
      <c r="B23" s="1749" t="s">
        <v>267</v>
      </c>
      <c r="C23" s="470">
        <v>13</v>
      </c>
      <c r="D23" s="410" t="s">
        <v>50</v>
      </c>
      <c r="E23" s="534" t="s">
        <v>207</v>
      </c>
      <c r="F23" s="542" t="s">
        <v>207</v>
      </c>
      <c r="G23" s="543" t="s">
        <v>399</v>
      </c>
      <c r="H23" s="1669" t="s">
        <v>232</v>
      </c>
      <c r="I23" s="1679">
        <v>1</v>
      </c>
      <c r="J23" s="545" t="s">
        <v>1440</v>
      </c>
      <c r="K23" s="484" t="s">
        <v>51</v>
      </c>
      <c r="L23" s="484" t="s">
        <v>51</v>
      </c>
      <c r="M23" s="1669">
        <v>1</v>
      </c>
      <c r="N23" s="1669">
        <v>1</v>
      </c>
      <c r="O23" s="203">
        <f t="shared" si="6"/>
        <v>0</v>
      </c>
      <c r="P23" s="197">
        <f t="shared" si="1"/>
        <v>0</v>
      </c>
      <c r="Q23" s="199">
        <f t="shared" si="0"/>
        <v>0</v>
      </c>
      <c r="R23" s="199">
        <f t="shared" si="2"/>
        <v>0</v>
      </c>
      <c r="S23" s="199">
        <f t="shared" si="3"/>
        <v>0</v>
      </c>
      <c r="T23" s="199">
        <f t="shared" si="4"/>
        <v>0</v>
      </c>
      <c r="U23" s="211"/>
    </row>
    <row r="24" spans="1:21" s="374" customFormat="1" ht="15.6" customHeight="1">
      <c r="A24" s="1751"/>
      <c r="B24" s="1751"/>
      <c r="C24" s="470">
        <v>14</v>
      </c>
      <c r="D24" s="410" t="s">
        <v>52</v>
      </c>
      <c r="E24" s="534" t="s">
        <v>207</v>
      </c>
      <c r="F24" s="542" t="s">
        <v>207</v>
      </c>
      <c r="G24" s="543" t="s">
        <v>399</v>
      </c>
      <c r="H24" s="1669"/>
      <c r="I24" s="1679"/>
      <c r="J24" s="547" t="s">
        <v>2471</v>
      </c>
      <c r="K24" s="484" t="s">
        <v>49</v>
      </c>
      <c r="L24" s="484" t="s">
        <v>49</v>
      </c>
      <c r="M24" s="1669"/>
      <c r="N24" s="1669"/>
      <c r="O24" s="203">
        <f t="shared" si="6"/>
        <v>0</v>
      </c>
      <c r="P24" s="197">
        <f t="shared" si="1"/>
        <v>0</v>
      </c>
      <c r="Q24" s="199">
        <f t="shared" si="0"/>
        <v>0</v>
      </c>
      <c r="R24" s="199">
        <f t="shared" si="2"/>
        <v>0</v>
      </c>
      <c r="S24" s="199">
        <f t="shared" si="3"/>
        <v>0</v>
      </c>
      <c r="T24" s="199">
        <f t="shared" si="4"/>
        <v>0</v>
      </c>
      <c r="U24" s="211"/>
    </row>
    <row r="25" spans="1:21" s="374" customFormat="1" ht="15.6" customHeight="1">
      <c r="A25" s="1749" t="s">
        <v>268</v>
      </c>
      <c r="B25" s="1749" t="s">
        <v>269</v>
      </c>
      <c r="C25" s="470">
        <v>15</v>
      </c>
      <c r="D25" s="410" t="s">
        <v>198</v>
      </c>
      <c r="E25" s="534" t="s">
        <v>207</v>
      </c>
      <c r="F25" s="542" t="s">
        <v>207</v>
      </c>
      <c r="G25" s="543" t="s">
        <v>399</v>
      </c>
      <c r="H25" s="1669" t="s">
        <v>232</v>
      </c>
      <c r="I25" s="1679">
        <v>1</v>
      </c>
      <c r="J25" s="545" t="s">
        <v>1441</v>
      </c>
      <c r="K25" s="484" t="s">
        <v>53</v>
      </c>
      <c r="L25" s="484" t="s">
        <v>53</v>
      </c>
      <c r="M25" s="1669">
        <v>1</v>
      </c>
      <c r="N25" s="1669">
        <v>1</v>
      </c>
      <c r="O25" s="203">
        <f t="shared" si="6"/>
        <v>0</v>
      </c>
      <c r="P25" s="197">
        <f t="shared" si="1"/>
        <v>0</v>
      </c>
      <c r="Q25" s="199">
        <f t="shared" si="0"/>
        <v>0</v>
      </c>
      <c r="R25" s="199">
        <f t="shared" si="2"/>
        <v>0</v>
      </c>
      <c r="S25" s="199">
        <f t="shared" si="3"/>
        <v>0</v>
      </c>
      <c r="T25" s="199">
        <f t="shared" si="4"/>
        <v>0</v>
      </c>
      <c r="U25" s="211"/>
    </row>
    <row r="26" spans="1:21" s="374" customFormat="1" ht="15.6" customHeight="1">
      <c r="A26" s="1751"/>
      <c r="B26" s="1751"/>
      <c r="C26" s="470">
        <v>16</v>
      </c>
      <c r="D26" s="410" t="s">
        <v>199</v>
      </c>
      <c r="E26" s="534" t="s">
        <v>207</v>
      </c>
      <c r="F26" s="542" t="s">
        <v>207</v>
      </c>
      <c r="G26" s="543" t="s">
        <v>399</v>
      </c>
      <c r="H26" s="1669"/>
      <c r="I26" s="1679"/>
      <c r="J26" s="545" t="s">
        <v>1442</v>
      </c>
      <c r="K26" s="484" t="s">
        <v>49</v>
      </c>
      <c r="L26" s="484" t="s">
        <v>49</v>
      </c>
      <c r="M26" s="1669"/>
      <c r="N26" s="1669"/>
      <c r="O26" s="203">
        <f t="shared" si="6"/>
        <v>0</v>
      </c>
      <c r="P26" s="197">
        <f t="shared" si="1"/>
        <v>0</v>
      </c>
      <c r="Q26" s="199">
        <f t="shared" si="0"/>
        <v>0</v>
      </c>
      <c r="R26" s="199">
        <f t="shared" si="2"/>
        <v>0</v>
      </c>
      <c r="S26" s="199">
        <f t="shared" si="3"/>
        <v>0</v>
      </c>
      <c r="T26" s="199">
        <f t="shared" si="4"/>
        <v>0</v>
      </c>
      <c r="U26" s="211"/>
    </row>
    <row r="27" spans="1:21" s="374" customFormat="1" ht="15.6" customHeight="1">
      <c r="A27" s="148" t="s">
        <v>270</v>
      </c>
      <c r="B27" s="148" t="s">
        <v>271</v>
      </c>
      <c r="C27" s="470">
        <v>17</v>
      </c>
      <c r="D27" s="410" t="s">
        <v>54</v>
      </c>
      <c r="E27" s="534" t="s">
        <v>207</v>
      </c>
      <c r="F27" s="542" t="s">
        <v>207</v>
      </c>
      <c r="G27" s="543" t="s">
        <v>399</v>
      </c>
      <c r="H27" s="380" t="s">
        <v>232</v>
      </c>
      <c r="I27" s="399">
        <v>5</v>
      </c>
      <c r="J27" s="545" t="s">
        <v>1443</v>
      </c>
      <c r="K27" s="484" t="s">
        <v>55</v>
      </c>
      <c r="L27" s="484" t="s">
        <v>55</v>
      </c>
      <c r="M27" s="380">
        <v>5</v>
      </c>
      <c r="N27" s="380">
        <v>5</v>
      </c>
      <c r="O27" s="203">
        <f t="shared" si="6"/>
        <v>0</v>
      </c>
      <c r="P27" s="197">
        <f t="shared" si="1"/>
        <v>0</v>
      </c>
      <c r="Q27" s="199">
        <f t="shared" si="0"/>
        <v>0</v>
      </c>
      <c r="R27" s="199">
        <f t="shared" si="2"/>
        <v>0</v>
      </c>
      <c r="S27" s="199">
        <f t="shared" si="3"/>
        <v>0</v>
      </c>
      <c r="T27" s="199">
        <f t="shared" si="4"/>
        <v>0</v>
      </c>
      <c r="U27" s="211"/>
    </row>
    <row r="28" spans="1:21" s="374" customFormat="1" ht="15.6" customHeight="1">
      <c r="A28" s="148" t="s">
        <v>272</v>
      </c>
      <c r="B28" s="148" t="s">
        <v>273</v>
      </c>
      <c r="C28" s="470">
        <v>18</v>
      </c>
      <c r="D28" s="410" t="s">
        <v>56</v>
      </c>
      <c r="E28" s="534" t="s">
        <v>207</v>
      </c>
      <c r="F28" s="542" t="s">
        <v>207</v>
      </c>
      <c r="G28" s="543" t="s">
        <v>399</v>
      </c>
      <c r="H28" s="380" t="s">
        <v>232</v>
      </c>
      <c r="I28" s="399">
        <v>1</v>
      </c>
      <c r="J28" s="545" t="s">
        <v>1444</v>
      </c>
      <c r="K28" s="484" t="s">
        <v>57</v>
      </c>
      <c r="L28" s="484" t="s">
        <v>57</v>
      </c>
      <c r="M28" s="380">
        <v>1</v>
      </c>
      <c r="N28" s="380">
        <v>1</v>
      </c>
      <c r="O28" s="203">
        <f t="shared" si="6"/>
        <v>0</v>
      </c>
      <c r="P28" s="197">
        <f t="shared" si="1"/>
        <v>0</v>
      </c>
      <c r="Q28" s="199">
        <f t="shared" si="0"/>
        <v>0</v>
      </c>
      <c r="R28" s="199">
        <f t="shared" si="2"/>
        <v>0</v>
      </c>
      <c r="S28" s="199">
        <f t="shared" si="3"/>
        <v>0</v>
      </c>
      <c r="T28" s="199">
        <f t="shared" si="4"/>
        <v>0</v>
      </c>
      <c r="U28" s="211"/>
    </row>
    <row r="29" spans="1:21" s="374" customFormat="1" ht="15.6" customHeight="1">
      <c r="A29" s="148" t="s">
        <v>274</v>
      </c>
      <c r="B29" s="148" t="s">
        <v>275</v>
      </c>
      <c r="C29" s="470">
        <v>19</v>
      </c>
      <c r="D29" s="410" t="s">
        <v>58</v>
      </c>
      <c r="E29" s="534" t="s">
        <v>207</v>
      </c>
      <c r="F29" s="542" t="s">
        <v>207</v>
      </c>
      <c r="G29" s="543" t="s">
        <v>399</v>
      </c>
      <c r="H29" s="380" t="s">
        <v>232</v>
      </c>
      <c r="I29" s="399">
        <v>1</v>
      </c>
      <c r="J29" s="545" t="s">
        <v>1445</v>
      </c>
      <c r="K29" s="484" t="s">
        <v>59</v>
      </c>
      <c r="L29" s="484" t="s">
        <v>59</v>
      </c>
      <c r="M29" s="380">
        <v>1</v>
      </c>
      <c r="N29" s="380">
        <v>1</v>
      </c>
      <c r="O29" s="203">
        <f t="shared" si="6"/>
        <v>0</v>
      </c>
      <c r="P29" s="197">
        <f t="shared" si="1"/>
        <v>0</v>
      </c>
      <c r="Q29" s="199">
        <f t="shared" si="0"/>
        <v>0</v>
      </c>
      <c r="R29" s="199">
        <f t="shared" si="2"/>
        <v>0</v>
      </c>
      <c r="S29" s="199">
        <f t="shared" si="3"/>
        <v>0</v>
      </c>
      <c r="T29" s="199">
        <f t="shared" si="4"/>
        <v>0</v>
      </c>
      <c r="U29" s="211"/>
    </row>
    <row r="30" spans="1:21" s="374" customFormat="1" ht="15.6" customHeight="1">
      <c r="A30" s="148" t="s">
        <v>278</v>
      </c>
      <c r="B30" s="148" t="s">
        <v>279</v>
      </c>
      <c r="C30" s="470">
        <v>20</v>
      </c>
      <c r="D30" s="410" t="s">
        <v>60</v>
      </c>
      <c r="E30" s="534" t="s">
        <v>207</v>
      </c>
      <c r="F30" s="542" t="s">
        <v>207</v>
      </c>
      <c r="G30" s="543" t="s">
        <v>1555</v>
      </c>
      <c r="H30" s="380" t="s">
        <v>232</v>
      </c>
      <c r="I30" s="399">
        <v>2</v>
      </c>
      <c r="J30" s="545" t="s">
        <v>1446</v>
      </c>
      <c r="K30" s="484" t="s">
        <v>61</v>
      </c>
      <c r="L30" s="484" t="s">
        <v>61</v>
      </c>
      <c r="M30" s="380">
        <v>2</v>
      </c>
      <c r="N30" s="380">
        <v>2</v>
      </c>
      <c r="O30" s="203">
        <f t="shared" si="6"/>
        <v>0</v>
      </c>
      <c r="P30" s="197">
        <f t="shared" si="1"/>
        <v>0</v>
      </c>
      <c r="Q30" s="199">
        <f t="shared" si="0"/>
        <v>0</v>
      </c>
      <c r="R30" s="199">
        <f t="shared" si="2"/>
        <v>0</v>
      </c>
      <c r="S30" s="199">
        <f t="shared" si="3"/>
        <v>0</v>
      </c>
      <c r="T30" s="199">
        <f t="shared" si="4"/>
        <v>0</v>
      </c>
      <c r="U30" s="211"/>
    </row>
    <row r="31" spans="1:21" s="374" customFormat="1" ht="15.6" customHeight="1">
      <c r="A31" s="148" t="s">
        <v>276</v>
      </c>
      <c r="B31" s="148" t="s">
        <v>277</v>
      </c>
      <c r="C31" s="470">
        <v>21</v>
      </c>
      <c r="D31" s="410" t="s">
        <v>62</v>
      </c>
      <c r="E31" s="534" t="s">
        <v>207</v>
      </c>
      <c r="F31" s="542" t="s">
        <v>207</v>
      </c>
      <c r="G31" s="543" t="s">
        <v>399</v>
      </c>
      <c r="H31" s="380" t="s">
        <v>232</v>
      </c>
      <c r="I31" s="399">
        <v>4</v>
      </c>
      <c r="J31" s="545" t="s">
        <v>1447</v>
      </c>
      <c r="K31" s="484" t="s">
        <v>63</v>
      </c>
      <c r="L31" s="484" t="s">
        <v>63</v>
      </c>
      <c r="M31" s="380">
        <v>4</v>
      </c>
      <c r="N31" s="380">
        <v>4</v>
      </c>
      <c r="O31" s="203">
        <f t="shared" si="6"/>
        <v>0</v>
      </c>
      <c r="P31" s="197">
        <f t="shared" si="1"/>
        <v>0</v>
      </c>
      <c r="Q31" s="199">
        <f t="shared" si="0"/>
        <v>0</v>
      </c>
      <c r="R31" s="199">
        <f t="shared" si="2"/>
        <v>0</v>
      </c>
      <c r="S31" s="199">
        <f t="shared" si="3"/>
        <v>0</v>
      </c>
      <c r="T31" s="199">
        <f t="shared" si="4"/>
        <v>0</v>
      </c>
      <c r="U31" s="211"/>
    </row>
    <row r="32" spans="1:21" s="374" customFormat="1" ht="15.6" customHeight="1">
      <c r="A32" s="1749" t="s">
        <v>280</v>
      </c>
      <c r="B32" s="1749" t="s">
        <v>281</v>
      </c>
      <c r="C32" s="470">
        <v>22</v>
      </c>
      <c r="D32" s="410" t="s">
        <v>64</v>
      </c>
      <c r="E32" s="534" t="s">
        <v>207</v>
      </c>
      <c r="F32" s="542" t="s">
        <v>207</v>
      </c>
      <c r="G32" s="543" t="s">
        <v>399</v>
      </c>
      <c r="H32" s="1669" t="s">
        <v>232</v>
      </c>
      <c r="I32" s="1679">
        <v>3</v>
      </c>
      <c r="J32" s="545" t="s">
        <v>1448</v>
      </c>
      <c r="K32" s="484" t="s">
        <v>65</v>
      </c>
      <c r="L32" s="484" t="s">
        <v>65</v>
      </c>
      <c r="M32" s="1669">
        <v>3</v>
      </c>
      <c r="N32" s="1669">
        <v>3</v>
      </c>
      <c r="O32" s="203">
        <f t="shared" si="6"/>
        <v>0</v>
      </c>
      <c r="P32" s="197">
        <f t="shared" si="1"/>
        <v>0</v>
      </c>
      <c r="Q32" s="199">
        <f t="shared" si="0"/>
        <v>0</v>
      </c>
      <c r="R32" s="199">
        <f t="shared" si="2"/>
        <v>0</v>
      </c>
      <c r="S32" s="199">
        <f t="shared" si="3"/>
        <v>0</v>
      </c>
      <c r="T32" s="199">
        <f t="shared" si="4"/>
        <v>0</v>
      </c>
      <c r="U32" s="211"/>
    </row>
    <row r="33" spans="1:21" s="374" customFormat="1" ht="15.6" customHeight="1">
      <c r="A33" s="1751"/>
      <c r="B33" s="1751"/>
      <c r="C33" s="470">
        <v>23</v>
      </c>
      <c r="D33" s="410" t="s">
        <v>66</v>
      </c>
      <c r="E33" s="534" t="s">
        <v>207</v>
      </c>
      <c r="F33" s="542" t="s">
        <v>207</v>
      </c>
      <c r="G33" s="543" t="s">
        <v>399</v>
      </c>
      <c r="H33" s="1669"/>
      <c r="I33" s="1679"/>
      <c r="J33" s="545" t="s">
        <v>1449</v>
      </c>
      <c r="K33" s="484" t="s">
        <v>49</v>
      </c>
      <c r="L33" s="484" t="s">
        <v>49</v>
      </c>
      <c r="M33" s="1669"/>
      <c r="N33" s="1669"/>
      <c r="O33" s="203">
        <f t="shared" si="6"/>
        <v>0</v>
      </c>
      <c r="P33" s="197">
        <f t="shared" si="1"/>
        <v>0</v>
      </c>
      <c r="Q33" s="199">
        <f t="shared" si="0"/>
        <v>0</v>
      </c>
      <c r="R33" s="199">
        <f t="shared" si="2"/>
        <v>0</v>
      </c>
      <c r="S33" s="199">
        <f t="shared" si="3"/>
        <v>0</v>
      </c>
      <c r="T33" s="199">
        <f t="shared" si="4"/>
        <v>0</v>
      </c>
      <c r="U33" s="211"/>
    </row>
    <row r="34" spans="1:21" s="374" customFormat="1" ht="15.6" customHeight="1">
      <c r="A34" s="149" t="s">
        <v>282</v>
      </c>
      <c r="B34" s="149" t="s">
        <v>283</v>
      </c>
      <c r="C34" s="470">
        <v>24</v>
      </c>
      <c r="D34" s="410" t="s">
        <v>67</v>
      </c>
      <c r="E34" s="534" t="s">
        <v>207</v>
      </c>
      <c r="F34" s="542" t="s">
        <v>207</v>
      </c>
      <c r="G34" s="543" t="s">
        <v>399</v>
      </c>
      <c r="H34" s="380" t="s">
        <v>232</v>
      </c>
      <c r="I34" s="399">
        <v>5</v>
      </c>
      <c r="J34" s="545" t="s">
        <v>1450</v>
      </c>
      <c r="K34" s="484" t="s">
        <v>68</v>
      </c>
      <c r="L34" s="484" t="s">
        <v>68</v>
      </c>
      <c r="M34" s="380">
        <v>5</v>
      </c>
      <c r="N34" s="380">
        <v>5</v>
      </c>
      <c r="O34" s="203">
        <f t="shared" si="6"/>
        <v>0</v>
      </c>
      <c r="P34" s="197">
        <f t="shared" si="1"/>
        <v>0</v>
      </c>
      <c r="Q34" s="199">
        <f t="shared" si="0"/>
        <v>0</v>
      </c>
      <c r="R34" s="199">
        <f t="shared" si="2"/>
        <v>0</v>
      </c>
      <c r="S34" s="199">
        <f t="shared" si="3"/>
        <v>0</v>
      </c>
      <c r="T34" s="199">
        <f t="shared" si="4"/>
        <v>0</v>
      </c>
      <c r="U34" s="211"/>
    </row>
    <row r="35" spans="1:21" s="374" customFormat="1" ht="15.6" customHeight="1">
      <c r="A35" s="148" t="s">
        <v>284</v>
      </c>
      <c r="B35" s="148" t="s">
        <v>285</v>
      </c>
      <c r="C35" s="470">
        <v>25</v>
      </c>
      <c r="D35" s="410" t="s">
        <v>69</v>
      </c>
      <c r="E35" s="534" t="s">
        <v>207</v>
      </c>
      <c r="F35" s="542" t="s">
        <v>207</v>
      </c>
      <c r="G35" s="543" t="s">
        <v>399</v>
      </c>
      <c r="H35" s="380" t="s">
        <v>232</v>
      </c>
      <c r="I35" s="399">
        <v>1</v>
      </c>
      <c r="J35" s="545" t="s">
        <v>1451</v>
      </c>
      <c r="K35" s="484" t="s">
        <v>70</v>
      </c>
      <c r="L35" s="484" t="s">
        <v>70</v>
      </c>
      <c r="M35" s="380">
        <v>1</v>
      </c>
      <c r="N35" s="380">
        <v>1</v>
      </c>
      <c r="O35" s="203">
        <f t="shared" si="6"/>
        <v>0</v>
      </c>
      <c r="P35" s="197">
        <f t="shared" si="1"/>
        <v>0</v>
      </c>
      <c r="Q35" s="199">
        <f t="shared" si="0"/>
        <v>0</v>
      </c>
      <c r="R35" s="199">
        <f t="shared" si="2"/>
        <v>0</v>
      </c>
      <c r="S35" s="199">
        <f t="shared" si="3"/>
        <v>0</v>
      </c>
      <c r="T35" s="199">
        <f t="shared" si="4"/>
        <v>0</v>
      </c>
      <c r="U35" s="211"/>
    </row>
    <row r="36" spans="1:21" s="374" customFormat="1" ht="15.6" customHeight="1">
      <c r="A36" s="1749" t="s">
        <v>286</v>
      </c>
      <c r="B36" s="1749" t="s">
        <v>287</v>
      </c>
      <c r="C36" s="470">
        <v>26</v>
      </c>
      <c r="D36" s="410" t="s">
        <v>71</v>
      </c>
      <c r="E36" s="534" t="s">
        <v>207</v>
      </c>
      <c r="F36" s="542" t="s">
        <v>955</v>
      </c>
      <c r="G36" s="543" t="s">
        <v>399</v>
      </c>
      <c r="H36" s="1669" t="s">
        <v>232</v>
      </c>
      <c r="I36" s="1679">
        <v>1</v>
      </c>
      <c r="J36" s="545" t="s">
        <v>1452</v>
      </c>
      <c r="K36" s="484" t="s">
        <v>72</v>
      </c>
      <c r="L36" s="484" t="s">
        <v>72</v>
      </c>
      <c r="M36" s="1669">
        <v>1</v>
      </c>
      <c r="N36" s="1669">
        <v>1</v>
      </c>
      <c r="O36" s="203">
        <f t="shared" si="6"/>
        <v>0</v>
      </c>
      <c r="P36" s="197">
        <f t="shared" si="1"/>
        <v>0</v>
      </c>
      <c r="Q36" s="199">
        <f t="shared" ref="Q36:Q66" si="7">I36-M36</f>
        <v>0</v>
      </c>
      <c r="R36" s="199">
        <f t="shared" si="2"/>
        <v>0</v>
      </c>
      <c r="S36" s="199">
        <f t="shared" si="3"/>
        <v>0</v>
      </c>
      <c r="T36" s="199">
        <f t="shared" si="4"/>
        <v>0</v>
      </c>
      <c r="U36" s="211"/>
    </row>
    <row r="37" spans="1:21" s="374" customFormat="1" ht="15.6" customHeight="1">
      <c r="A37" s="1751"/>
      <c r="B37" s="1751"/>
      <c r="C37" s="470">
        <v>27</v>
      </c>
      <c r="D37" s="410" t="s">
        <v>73</v>
      </c>
      <c r="E37" s="534" t="s">
        <v>207</v>
      </c>
      <c r="F37" s="542" t="s">
        <v>955</v>
      </c>
      <c r="G37" s="543" t="s">
        <v>399</v>
      </c>
      <c r="H37" s="1669"/>
      <c r="I37" s="1679"/>
      <c r="J37" s="545" t="s">
        <v>1453</v>
      </c>
      <c r="K37" s="484" t="s">
        <v>49</v>
      </c>
      <c r="L37" s="484" t="s">
        <v>49</v>
      </c>
      <c r="M37" s="1669"/>
      <c r="N37" s="1669"/>
      <c r="O37" s="203">
        <f t="shared" si="6"/>
        <v>0</v>
      </c>
      <c r="P37" s="197">
        <f t="shared" si="1"/>
        <v>0</v>
      </c>
      <c r="Q37" s="199">
        <f t="shared" si="7"/>
        <v>0</v>
      </c>
      <c r="R37" s="199">
        <f t="shared" si="2"/>
        <v>0</v>
      </c>
      <c r="S37" s="199">
        <f t="shared" si="3"/>
        <v>0</v>
      </c>
      <c r="T37" s="199">
        <f t="shared" si="4"/>
        <v>0</v>
      </c>
      <c r="U37" s="211"/>
    </row>
    <row r="38" spans="1:21" s="374" customFormat="1" ht="15.6" customHeight="1">
      <c r="A38" s="1749" t="s">
        <v>288</v>
      </c>
      <c r="B38" s="1749" t="s">
        <v>289</v>
      </c>
      <c r="C38" s="470">
        <v>28</v>
      </c>
      <c r="D38" s="410" t="s">
        <v>74</v>
      </c>
      <c r="E38" s="534" t="s">
        <v>207</v>
      </c>
      <c r="F38" s="542" t="s">
        <v>207</v>
      </c>
      <c r="G38" s="543" t="s">
        <v>399</v>
      </c>
      <c r="H38" s="1669" t="s">
        <v>232</v>
      </c>
      <c r="I38" s="1679">
        <v>1</v>
      </c>
      <c r="J38" s="545" t="s">
        <v>1454</v>
      </c>
      <c r="K38" s="484" t="s">
        <v>75</v>
      </c>
      <c r="L38" s="484" t="s">
        <v>75</v>
      </c>
      <c r="M38" s="1669">
        <v>1</v>
      </c>
      <c r="N38" s="1669">
        <v>1</v>
      </c>
      <c r="O38" s="203">
        <f t="shared" si="6"/>
        <v>0</v>
      </c>
      <c r="P38" s="197">
        <f t="shared" si="1"/>
        <v>0</v>
      </c>
      <c r="Q38" s="199">
        <f t="shared" si="7"/>
        <v>0</v>
      </c>
      <c r="R38" s="199">
        <f t="shared" si="2"/>
        <v>0</v>
      </c>
      <c r="S38" s="199">
        <f t="shared" si="3"/>
        <v>0</v>
      </c>
      <c r="T38" s="199">
        <f t="shared" si="4"/>
        <v>0</v>
      </c>
      <c r="U38" s="211"/>
    </row>
    <row r="39" spans="1:21" s="374" customFormat="1" ht="15.6" customHeight="1">
      <c r="A39" s="1751"/>
      <c r="B39" s="1751"/>
      <c r="C39" s="470">
        <v>29</v>
      </c>
      <c r="D39" s="410" t="s">
        <v>76</v>
      </c>
      <c r="E39" s="534" t="s">
        <v>207</v>
      </c>
      <c r="F39" s="542" t="s">
        <v>207</v>
      </c>
      <c r="G39" s="543" t="s">
        <v>399</v>
      </c>
      <c r="H39" s="1669"/>
      <c r="I39" s="1679"/>
      <c r="J39" s="545" t="s">
        <v>1455</v>
      </c>
      <c r="K39" s="484" t="s">
        <v>49</v>
      </c>
      <c r="L39" s="484" t="s">
        <v>49</v>
      </c>
      <c r="M39" s="1669"/>
      <c r="N39" s="1669"/>
      <c r="O39" s="203">
        <f t="shared" si="6"/>
        <v>0</v>
      </c>
      <c r="P39" s="197">
        <f t="shared" si="1"/>
        <v>0</v>
      </c>
      <c r="Q39" s="199">
        <f t="shared" si="7"/>
        <v>0</v>
      </c>
      <c r="R39" s="199">
        <f t="shared" si="2"/>
        <v>0</v>
      </c>
      <c r="S39" s="199">
        <f t="shared" si="3"/>
        <v>0</v>
      </c>
      <c r="T39" s="199">
        <f t="shared" si="4"/>
        <v>0</v>
      </c>
      <c r="U39" s="211"/>
    </row>
    <row r="40" spans="1:21" s="374" customFormat="1" ht="15.6" customHeight="1">
      <c r="A40" s="1749" t="s">
        <v>290</v>
      </c>
      <c r="B40" s="1749" t="s">
        <v>291</v>
      </c>
      <c r="C40" s="470">
        <v>30</v>
      </c>
      <c r="D40" s="410" t="s">
        <v>77</v>
      </c>
      <c r="E40" s="534" t="s">
        <v>207</v>
      </c>
      <c r="F40" s="542" t="s">
        <v>207</v>
      </c>
      <c r="G40" s="543" t="s">
        <v>399</v>
      </c>
      <c r="H40" s="1669" t="s">
        <v>232</v>
      </c>
      <c r="I40" s="1679">
        <v>1</v>
      </c>
      <c r="J40" s="545" t="s">
        <v>1456</v>
      </c>
      <c r="K40" s="484" t="s">
        <v>78</v>
      </c>
      <c r="L40" s="484" t="s">
        <v>78</v>
      </c>
      <c r="M40" s="1669">
        <v>1</v>
      </c>
      <c r="N40" s="1669">
        <v>1</v>
      </c>
      <c r="O40" s="203">
        <f t="shared" si="6"/>
        <v>0</v>
      </c>
      <c r="P40" s="197">
        <f t="shared" si="1"/>
        <v>0</v>
      </c>
      <c r="Q40" s="199">
        <f t="shared" si="7"/>
        <v>0</v>
      </c>
      <c r="R40" s="199">
        <f t="shared" si="2"/>
        <v>0</v>
      </c>
      <c r="S40" s="199">
        <f t="shared" si="3"/>
        <v>0</v>
      </c>
      <c r="T40" s="199">
        <f t="shared" si="4"/>
        <v>0</v>
      </c>
      <c r="U40" s="211"/>
    </row>
    <row r="41" spans="1:21" s="374" customFormat="1" ht="15.6" customHeight="1">
      <c r="A41" s="1751"/>
      <c r="B41" s="1751"/>
      <c r="C41" s="470">
        <v>31</v>
      </c>
      <c r="D41" s="410" t="s">
        <v>79</v>
      </c>
      <c r="E41" s="534" t="s">
        <v>207</v>
      </c>
      <c r="F41" s="542" t="s">
        <v>207</v>
      </c>
      <c r="G41" s="543" t="s">
        <v>399</v>
      </c>
      <c r="H41" s="1669"/>
      <c r="I41" s="1679"/>
      <c r="J41" s="545" t="s">
        <v>1457</v>
      </c>
      <c r="K41" s="484" t="s">
        <v>49</v>
      </c>
      <c r="L41" s="484" t="s">
        <v>49</v>
      </c>
      <c r="M41" s="1669"/>
      <c r="N41" s="1669"/>
      <c r="O41" s="203">
        <f t="shared" si="6"/>
        <v>0</v>
      </c>
      <c r="P41" s="197">
        <f t="shared" si="1"/>
        <v>0</v>
      </c>
      <c r="Q41" s="199">
        <f t="shared" si="7"/>
        <v>0</v>
      </c>
      <c r="R41" s="199">
        <f t="shared" si="2"/>
        <v>0</v>
      </c>
      <c r="S41" s="199">
        <f t="shared" si="3"/>
        <v>0</v>
      </c>
      <c r="T41" s="199">
        <f t="shared" si="4"/>
        <v>0</v>
      </c>
      <c r="U41" s="211"/>
    </row>
    <row r="42" spans="1:21" s="374" customFormat="1" ht="15.6" customHeight="1">
      <c r="A42" s="148" t="s">
        <v>292</v>
      </c>
      <c r="B42" s="148" t="s">
        <v>293</v>
      </c>
      <c r="C42" s="470">
        <v>32</v>
      </c>
      <c r="D42" s="410" t="s">
        <v>80</v>
      </c>
      <c r="E42" s="534" t="s">
        <v>207</v>
      </c>
      <c r="F42" s="542" t="s">
        <v>207</v>
      </c>
      <c r="G42" s="543" t="s">
        <v>1555</v>
      </c>
      <c r="H42" s="380" t="s">
        <v>232</v>
      </c>
      <c r="I42" s="399">
        <v>5</v>
      </c>
      <c r="J42" s="545" t="s">
        <v>1458</v>
      </c>
      <c r="K42" s="484">
        <v>0</v>
      </c>
      <c r="L42" s="484">
        <v>0</v>
      </c>
      <c r="M42" s="380">
        <f>IF(K42&gt;3,0,IF(K42=0,5,3))</f>
        <v>5</v>
      </c>
      <c r="N42" s="380">
        <f>IF(L42&gt;3,0,IF(L42=0,5,3))</f>
        <v>5</v>
      </c>
      <c r="O42" s="203">
        <f>IF(AND(L42=0,K42&lt;&gt;0),1,IF(AND(L42=0,K42=0),0,K42/L42-1))</f>
        <v>0</v>
      </c>
      <c r="P42" s="197">
        <f t="shared" si="1"/>
        <v>0</v>
      </c>
      <c r="Q42" s="199">
        <f t="shared" si="7"/>
        <v>0</v>
      </c>
      <c r="R42" s="199">
        <f t="shared" si="2"/>
        <v>0</v>
      </c>
      <c r="S42" s="199">
        <f t="shared" si="3"/>
        <v>0</v>
      </c>
      <c r="T42" s="199">
        <f t="shared" si="4"/>
        <v>0</v>
      </c>
      <c r="U42" s="211"/>
    </row>
    <row r="43" spans="1:21" s="374" customFormat="1" ht="15.6" customHeight="1">
      <c r="A43" s="1749" t="s">
        <v>956</v>
      </c>
      <c r="B43" s="1749" t="s">
        <v>294</v>
      </c>
      <c r="C43" s="470">
        <v>33</v>
      </c>
      <c r="D43" s="410" t="s">
        <v>81</v>
      </c>
      <c r="E43" s="534" t="s">
        <v>207</v>
      </c>
      <c r="F43" s="542" t="s">
        <v>207</v>
      </c>
      <c r="G43" s="543" t="s">
        <v>399</v>
      </c>
      <c r="H43" s="1669" t="s">
        <v>232</v>
      </c>
      <c r="I43" s="1679">
        <v>2</v>
      </c>
      <c r="J43" s="545" t="s">
        <v>1459</v>
      </c>
      <c r="K43" s="484" t="s">
        <v>82</v>
      </c>
      <c r="L43" s="484" t="s">
        <v>82</v>
      </c>
      <c r="M43" s="1669">
        <v>2</v>
      </c>
      <c r="N43" s="1669">
        <v>2</v>
      </c>
      <c r="O43" s="203">
        <f>IF((K43=L43)=TRUE,0,1)</f>
        <v>0</v>
      </c>
      <c r="P43" s="197">
        <f t="shared" si="1"/>
        <v>0</v>
      </c>
      <c r="Q43" s="199">
        <f t="shared" si="7"/>
        <v>0</v>
      </c>
      <c r="R43" s="199">
        <f t="shared" si="2"/>
        <v>0</v>
      </c>
      <c r="S43" s="199">
        <f t="shared" si="3"/>
        <v>0</v>
      </c>
      <c r="T43" s="199">
        <f t="shared" si="4"/>
        <v>0</v>
      </c>
      <c r="U43" s="211"/>
    </row>
    <row r="44" spans="1:21" s="374" customFormat="1" ht="15.6" customHeight="1">
      <c r="A44" s="1751"/>
      <c r="B44" s="1751"/>
      <c r="C44" s="470">
        <v>34</v>
      </c>
      <c r="D44" s="410" t="s">
        <v>83</v>
      </c>
      <c r="E44" s="534" t="s">
        <v>207</v>
      </c>
      <c r="F44" s="542" t="s">
        <v>207</v>
      </c>
      <c r="G44" s="543" t="s">
        <v>399</v>
      </c>
      <c r="H44" s="1669"/>
      <c r="I44" s="1679"/>
      <c r="J44" s="545" t="s">
        <v>1460</v>
      </c>
      <c r="K44" s="484" t="s">
        <v>49</v>
      </c>
      <c r="L44" s="484" t="s">
        <v>49</v>
      </c>
      <c r="M44" s="1669"/>
      <c r="N44" s="1669"/>
      <c r="O44" s="203">
        <f>IF((K44=L44)=TRUE,0,1)</f>
        <v>0</v>
      </c>
      <c r="P44" s="197">
        <f t="shared" si="1"/>
        <v>0</v>
      </c>
      <c r="Q44" s="199">
        <f t="shared" si="7"/>
        <v>0</v>
      </c>
      <c r="R44" s="199">
        <f t="shared" si="2"/>
        <v>0</v>
      </c>
      <c r="S44" s="199">
        <f t="shared" si="3"/>
        <v>0</v>
      </c>
      <c r="T44" s="199">
        <f t="shared" si="4"/>
        <v>0</v>
      </c>
      <c r="U44" s="211"/>
    </row>
    <row r="45" spans="1:21" s="374" customFormat="1" ht="15.6" customHeight="1">
      <c r="A45" s="1749" t="s">
        <v>295</v>
      </c>
      <c r="B45" s="1749" t="s">
        <v>957</v>
      </c>
      <c r="C45" s="470">
        <v>35</v>
      </c>
      <c r="D45" s="410" t="s">
        <v>84</v>
      </c>
      <c r="E45" s="534" t="s">
        <v>207</v>
      </c>
      <c r="F45" s="542" t="s">
        <v>207</v>
      </c>
      <c r="G45" s="543" t="s">
        <v>399</v>
      </c>
      <c r="H45" s="1669" t="s">
        <v>232</v>
      </c>
      <c r="I45" s="1679">
        <v>1</v>
      </c>
      <c r="J45" s="545" t="s">
        <v>1461</v>
      </c>
      <c r="K45" s="484" t="s">
        <v>85</v>
      </c>
      <c r="L45" s="484" t="s">
        <v>85</v>
      </c>
      <c r="M45" s="1669">
        <v>1</v>
      </c>
      <c r="N45" s="1669">
        <v>1</v>
      </c>
      <c r="O45" s="203">
        <f>IF((K45=L45)=TRUE,0,1)</f>
        <v>0</v>
      </c>
      <c r="P45" s="197">
        <f t="shared" si="1"/>
        <v>0</v>
      </c>
      <c r="Q45" s="199">
        <f t="shared" si="7"/>
        <v>0</v>
      </c>
      <c r="R45" s="199">
        <f t="shared" si="2"/>
        <v>0</v>
      </c>
      <c r="S45" s="199">
        <f t="shared" si="3"/>
        <v>0</v>
      </c>
      <c r="T45" s="199">
        <f t="shared" si="4"/>
        <v>0</v>
      </c>
      <c r="U45" s="211"/>
    </row>
    <row r="46" spans="1:21" s="374" customFormat="1" ht="15.6" customHeight="1">
      <c r="A46" s="1751"/>
      <c r="B46" s="1751"/>
      <c r="C46" s="470">
        <v>36</v>
      </c>
      <c r="D46" s="410" t="s">
        <v>86</v>
      </c>
      <c r="E46" s="534" t="s">
        <v>207</v>
      </c>
      <c r="F46" s="542" t="s">
        <v>207</v>
      </c>
      <c r="G46" s="543" t="s">
        <v>399</v>
      </c>
      <c r="H46" s="1669"/>
      <c r="I46" s="1679"/>
      <c r="J46" s="545" t="s">
        <v>1462</v>
      </c>
      <c r="K46" s="484" t="s">
        <v>49</v>
      </c>
      <c r="L46" s="484" t="s">
        <v>49</v>
      </c>
      <c r="M46" s="1669"/>
      <c r="N46" s="1669"/>
      <c r="O46" s="203">
        <f>IF((K46=L46)=TRUE,0,1)</f>
        <v>0</v>
      </c>
      <c r="P46" s="197">
        <f t="shared" si="1"/>
        <v>0</v>
      </c>
      <c r="Q46" s="199">
        <f t="shared" si="7"/>
        <v>0</v>
      </c>
      <c r="R46" s="199">
        <f t="shared" si="2"/>
        <v>0</v>
      </c>
      <c r="S46" s="199">
        <f t="shared" si="3"/>
        <v>0</v>
      </c>
      <c r="T46" s="199">
        <f t="shared" si="4"/>
        <v>0</v>
      </c>
      <c r="U46" s="211"/>
    </row>
    <row r="47" spans="1:21" s="374" customFormat="1" ht="15.6" customHeight="1">
      <c r="A47" s="148" t="s">
        <v>296</v>
      </c>
      <c r="B47" s="148" t="s">
        <v>297</v>
      </c>
      <c r="C47" s="470">
        <v>37</v>
      </c>
      <c r="D47" s="410" t="s">
        <v>87</v>
      </c>
      <c r="E47" s="534" t="s">
        <v>207</v>
      </c>
      <c r="F47" s="542" t="s">
        <v>207</v>
      </c>
      <c r="G47" s="543" t="s">
        <v>1555</v>
      </c>
      <c r="H47" s="380" t="s">
        <v>232</v>
      </c>
      <c r="I47" s="399">
        <v>5</v>
      </c>
      <c r="J47" s="545" t="s">
        <v>1461</v>
      </c>
      <c r="K47" s="484">
        <v>0</v>
      </c>
      <c r="L47" s="484">
        <v>0</v>
      </c>
      <c r="M47" s="380">
        <f>IF(K47&gt;3,0,IF(K47=0,5,3))</f>
        <v>5</v>
      </c>
      <c r="N47" s="380">
        <f>IF(L47&gt;3,0,IF(L47=0,5,3))</f>
        <v>5</v>
      </c>
      <c r="O47" s="203">
        <f>IF(AND(L47=0,K47&lt;&gt;0),1,IF(AND(L47=0,K47=0),0,K47/L47-1))</f>
        <v>0</v>
      </c>
      <c r="P47" s="197">
        <f t="shared" si="1"/>
        <v>0</v>
      </c>
      <c r="Q47" s="199">
        <f t="shared" si="7"/>
        <v>0</v>
      </c>
      <c r="R47" s="199">
        <f t="shared" si="2"/>
        <v>0</v>
      </c>
      <c r="S47" s="199">
        <f t="shared" si="3"/>
        <v>0</v>
      </c>
      <c r="T47" s="199">
        <f t="shared" si="4"/>
        <v>0</v>
      </c>
      <c r="U47" s="211"/>
    </row>
    <row r="48" spans="1:21" s="374" customFormat="1" ht="15.6" customHeight="1">
      <c r="A48" s="1749" t="s">
        <v>298</v>
      </c>
      <c r="B48" s="1749" t="s">
        <v>299</v>
      </c>
      <c r="C48" s="470">
        <v>38</v>
      </c>
      <c r="D48" s="410" t="s">
        <v>88</v>
      </c>
      <c r="E48" s="534" t="s">
        <v>207</v>
      </c>
      <c r="F48" s="542" t="s">
        <v>207</v>
      </c>
      <c r="G48" s="543" t="s">
        <v>399</v>
      </c>
      <c r="H48" s="1669" t="s">
        <v>232</v>
      </c>
      <c r="I48" s="1679">
        <v>1</v>
      </c>
      <c r="J48" s="545" t="s">
        <v>1463</v>
      </c>
      <c r="K48" s="484" t="s">
        <v>89</v>
      </c>
      <c r="L48" s="484" t="s">
        <v>89</v>
      </c>
      <c r="M48" s="1669">
        <v>1</v>
      </c>
      <c r="N48" s="1669">
        <v>1</v>
      </c>
      <c r="O48" s="203">
        <f>IF((K48=L48)=TRUE,0,1)</f>
        <v>0</v>
      </c>
      <c r="P48" s="197">
        <f t="shared" si="1"/>
        <v>0</v>
      </c>
      <c r="Q48" s="199">
        <f t="shared" si="7"/>
        <v>0</v>
      </c>
      <c r="R48" s="199">
        <f t="shared" si="2"/>
        <v>0</v>
      </c>
      <c r="S48" s="199">
        <f t="shared" si="3"/>
        <v>0</v>
      </c>
      <c r="T48" s="199">
        <f t="shared" si="4"/>
        <v>0</v>
      </c>
      <c r="U48" s="211"/>
    </row>
    <row r="49" spans="1:21" s="374" customFormat="1" ht="15.6" customHeight="1">
      <c r="A49" s="1751"/>
      <c r="B49" s="1751"/>
      <c r="C49" s="470">
        <v>39</v>
      </c>
      <c r="D49" s="410" t="s">
        <v>90</v>
      </c>
      <c r="E49" s="534" t="s">
        <v>207</v>
      </c>
      <c r="F49" s="542" t="s">
        <v>207</v>
      </c>
      <c r="G49" s="543" t="s">
        <v>399</v>
      </c>
      <c r="H49" s="1669"/>
      <c r="I49" s="1679"/>
      <c r="J49" s="545" t="s">
        <v>1464</v>
      </c>
      <c r="K49" s="484" t="s">
        <v>49</v>
      </c>
      <c r="L49" s="484" t="s">
        <v>49</v>
      </c>
      <c r="M49" s="1669"/>
      <c r="N49" s="1669"/>
      <c r="O49" s="203">
        <f>IF((K49=L49)=TRUE,0,1)</f>
        <v>0</v>
      </c>
      <c r="P49" s="197">
        <f t="shared" si="1"/>
        <v>0</v>
      </c>
      <c r="Q49" s="199">
        <f t="shared" si="7"/>
        <v>0</v>
      </c>
      <c r="R49" s="199">
        <f t="shared" si="2"/>
        <v>0</v>
      </c>
      <c r="S49" s="199">
        <f t="shared" si="3"/>
        <v>0</v>
      </c>
      <c r="T49" s="199">
        <f t="shared" si="4"/>
        <v>0</v>
      </c>
      <c r="U49" s="211"/>
    </row>
    <row r="50" spans="1:21" s="374" customFormat="1" ht="15.6" customHeight="1">
      <c r="A50" s="1752" t="s">
        <v>300</v>
      </c>
      <c r="B50" s="1752" t="s">
        <v>301</v>
      </c>
      <c r="C50" s="470">
        <v>40</v>
      </c>
      <c r="D50" s="410" t="s">
        <v>91</v>
      </c>
      <c r="E50" s="534" t="s">
        <v>207</v>
      </c>
      <c r="F50" s="542" t="s">
        <v>207</v>
      </c>
      <c r="G50" s="543" t="s">
        <v>399</v>
      </c>
      <c r="H50" s="1669" t="s">
        <v>232</v>
      </c>
      <c r="I50" s="1679">
        <v>1</v>
      </c>
      <c r="J50" s="545" t="s">
        <v>1465</v>
      </c>
      <c r="K50" s="484" t="s">
        <v>92</v>
      </c>
      <c r="L50" s="484" t="s">
        <v>92</v>
      </c>
      <c r="M50" s="1669">
        <v>1</v>
      </c>
      <c r="N50" s="1669">
        <v>1</v>
      </c>
      <c r="O50" s="203">
        <f>IF((K50=L50)=TRUE,0,1)</f>
        <v>0</v>
      </c>
      <c r="P50" s="197">
        <f t="shared" si="1"/>
        <v>0</v>
      </c>
      <c r="Q50" s="199">
        <f t="shared" si="7"/>
        <v>0</v>
      </c>
      <c r="R50" s="199">
        <f t="shared" si="2"/>
        <v>0</v>
      </c>
      <c r="S50" s="199">
        <f t="shared" si="3"/>
        <v>0</v>
      </c>
      <c r="T50" s="199">
        <f t="shared" si="4"/>
        <v>0</v>
      </c>
      <c r="U50" s="211"/>
    </row>
    <row r="51" spans="1:21" s="374" customFormat="1" ht="15.6" customHeight="1">
      <c r="A51" s="1753"/>
      <c r="B51" s="1753"/>
      <c r="C51" s="470">
        <v>41</v>
      </c>
      <c r="D51" s="410" t="s">
        <v>93</v>
      </c>
      <c r="E51" s="534" t="s">
        <v>207</v>
      </c>
      <c r="F51" s="542" t="s">
        <v>207</v>
      </c>
      <c r="G51" s="543" t="s">
        <v>399</v>
      </c>
      <c r="H51" s="1669"/>
      <c r="I51" s="1679"/>
      <c r="J51" s="545" t="s">
        <v>1466</v>
      </c>
      <c r="K51" s="484" t="s">
        <v>94</v>
      </c>
      <c r="L51" s="484" t="s">
        <v>94</v>
      </c>
      <c r="M51" s="1669"/>
      <c r="N51" s="1669"/>
      <c r="O51" s="203">
        <f>IF((K51=L51)=TRUE,0,1)</f>
        <v>0</v>
      </c>
      <c r="P51" s="197">
        <f t="shared" si="1"/>
        <v>0</v>
      </c>
      <c r="Q51" s="199">
        <f t="shared" si="7"/>
        <v>0</v>
      </c>
      <c r="R51" s="199">
        <f t="shared" si="2"/>
        <v>0</v>
      </c>
      <c r="S51" s="199">
        <f t="shared" si="3"/>
        <v>0</v>
      </c>
      <c r="T51" s="199">
        <f t="shared" si="4"/>
        <v>0</v>
      </c>
      <c r="U51" s="211"/>
    </row>
    <row r="52" spans="1:21" s="374" customFormat="1" ht="15.6" customHeight="1">
      <c r="A52" s="149" t="s">
        <v>1833</v>
      </c>
      <c r="B52" s="149" t="s">
        <v>1832</v>
      </c>
      <c r="C52" s="470">
        <v>42</v>
      </c>
      <c r="D52" s="410" t="s">
        <v>1831</v>
      </c>
      <c r="E52" s="534" t="s">
        <v>207</v>
      </c>
      <c r="F52" s="542" t="s">
        <v>958</v>
      </c>
      <c r="G52" s="543" t="s">
        <v>1555</v>
      </c>
      <c r="H52" s="380" t="s">
        <v>232</v>
      </c>
      <c r="I52" s="399">
        <v>5</v>
      </c>
      <c r="J52" s="404"/>
      <c r="K52" s="484">
        <v>0</v>
      </c>
      <c r="L52" s="484">
        <v>0</v>
      </c>
      <c r="M52" s="380">
        <f>IF(K52&gt;3,0,IF(K52=0,5,3))</f>
        <v>5</v>
      </c>
      <c r="N52" s="380">
        <f>IF(L52&gt;3,0,IF(L52=0,5,3))</f>
        <v>5</v>
      </c>
      <c r="O52" s="203">
        <f>IF(AND(L52=0,K52&lt;&gt;0),1,IF(AND(L52=0,K52=0),0,K52/L52-1))</f>
        <v>0</v>
      </c>
      <c r="P52" s="197">
        <f t="shared" si="1"/>
        <v>0</v>
      </c>
      <c r="Q52" s="199">
        <f t="shared" si="7"/>
        <v>0</v>
      </c>
      <c r="R52" s="199">
        <f t="shared" si="2"/>
        <v>0</v>
      </c>
      <c r="S52" s="199">
        <f t="shared" si="3"/>
        <v>0</v>
      </c>
      <c r="T52" s="199">
        <f t="shared" si="4"/>
        <v>0</v>
      </c>
      <c r="U52" s="211"/>
    </row>
    <row r="53" spans="1:21" s="374" customFormat="1" ht="15.6" customHeight="1">
      <c r="A53" s="148" t="s">
        <v>302</v>
      </c>
      <c r="B53" s="148" t="s">
        <v>303</v>
      </c>
      <c r="C53" s="470">
        <v>43</v>
      </c>
      <c r="D53" s="410" t="s">
        <v>96</v>
      </c>
      <c r="E53" s="534" t="s">
        <v>207</v>
      </c>
      <c r="F53" s="542" t="s">
        <v>207</v>
      </c>
      <c r="G53" s="543" t="s">
        <v>1555</v>
      </c>
      <c r="H53" s="380" t="s">
        <v>232</v>
      </c>
      <c r="I53" s="399">
        <v>5</v>
      </c>
      <c r="J53" s="545" t="s">
        <v>1467</v>
      </c>
      <c r="K53" s="484">
        <v>0</v>
      </c>
      <c r="L53" s="484">
        <v>0</v>
      </c>
      <c r="M53" s="380">
        <f>IF(K53&gt;3,0,IF(K53=0,5,3))</f>
        <v>5</v>
      </c>
      <c r="N53" s="380">
        <f>IF(L53&gt;3,0,IF(L53=0,5,3))</f>
        <v>5</v>
      </c>
      <c r="O53" s="203">
        <f>IF(AND(L53=0,K53&lt;&gt;0),1,IF(AND(L53=0,K53=0),0,K53/L53-1))</f>
        <v>0</v>
      </c>
      <c r="P53" s="197">
        <f t="shared" si="1"/>
        <v>0</v>
      </c>
      <c r="Q53" s="199">
        <f t="shared" si="7"/>
        <v>0</v>
      </c>
      <c r="R53" s="199">
        <f t="shared" si="2"/>
        <v>0</v>
      </c>
      <c r="S53" s="199">
        <f t="shared" si="3"/>
        <v>0</v>
      </c>
      <c r="T53" s="199">
        <f t="shared" si="4"/>
        <v>0</v>
      </c>
      <c r="U53" s="211"/>
    </row>
    <row r="54" spans="1:21" s="2" customFormat="1" ht="14.25" customHeight="1">
      <c r="A54" s="1749" t="s">
        <v>304</v>
      </c>
      <c r="B54" s="1749" t="s">
        <v>305</v>
      </c>
      <c r="C54" s="5">
        <v>44</v>
      </c>
      <c r="D54" s="9" t="s">
        <v>97</v>
      </c>
      <c r="E54" s="195" t="s">
        <v>205</v>
      </c>
      <c r="F54" s="3" t="s">
        <v>954</v>
      </c>
      <c r="G54" s="202" t="s">
        <v>399</v>
      </c>
      <c r="H54" s="1669" t="s">
        <v>232</v>
      </c>
      <c r="I54" s="1679">
        <v>3</v>
      </c>
      <c r="J54" s="18"/>
      <c r="K54" s="20" t="s">
        <v>98</v>
      </c>
      <c r="L54" s="20" t="s">
        <v>98</v>
      </c>
      <c r="M54" s="1669">
        <v>3</v>
      </c>
      <c r="N54" s="1669">
        <v>3</v>
      </c>
      <c r="O54" s="203">
        <f>IF((K54=L54)=TRUE,0,1)</f>
        <v>0</v>
      </c>
      <c r="P54" s="197">
        <f t="shared" si="1"/>
        <v>0</v>
      </c>
      <c r="Q54" s="199">
        <f t="shared" si="7"/>
        <v>0</v>
      </c>
      <c r="R54" s="199">
        <f t="shared" si="2"/>
        <v>0</v>
      </c>
      <c r="S54" s="199">
        <f t="shared" si="3"/>
        <v>0</v>
      </c>
      <c r="T54" s="199">
        <f t="shared" si="4"/>
        <v>0</v>
      </c>
      <c r="U54" s="211"/>
    </row>
    <row r="55" spans="1:21" s="2" customFormat="1" ht="15.6" customHeight="1">
      <c r="A55" s="1751"/>
      <c r="B55" s="1751"/>
      <c r="C55" s="5">
        <v>45</v>
      </c>
      <c r="D55" s="9" t="s">
        <v>99</v>
      </c>
      <c r="E55" s="195" t="s">
        <v>205</v>
      </c>
      <c r="F55" s="3" t="s">
        <v>954</v>
      </c>
      <c r="G55" s="202" t="s">
        <v>399</v>
      </c>
      <c r="H55" s="1669"/>
      <c r="I55" s="1679"/>
      <c r="J55" s="18"/>
      <c r="K55" s="20" t="s">
        <v>49</v>
      </c>
      <c r="L55" s="20" t="s">
        <v>49</v>
      </c>
      <c r="M55" s="1669"/>
      <c r="N55" s="1669"/>
      <c r="O55" s="203">
        <f>IF((K55=L55)=TRUE,0,1)</f>
        <v>0</v>
      </c>
      <c r="P55" s="197">
        <f t="shared" si="1"/>
        <v>0</v>
      </c>
      <c r="Q55" s="199">
        <f t="shared" si="7"/>
        <v>0</v>
      </c>
      <c r="R55" s="199">
        <f t="shared" si="2"/>
        <v>0</v>
      </c>
      <c r="S55" s="199">
        <f t="shared" si="3"/>
        <v>0</v>
      </c>
      <c r="T55" s="199">
        <f t="shared" si="4"/>
        <v>0</v>
      </c>
      <c r="U55" s="211"/>
    </row>
    <row r="56" spans="1:21" s="2" customFormat="1" ht="15.6" customHeight="1">
      <c r="A56" s="148" t="s">
        <v>306</v>
      </c>
      <c r="B56" s="148" t="s">
        <v>307</v>
      </c>
      <c r="C56" s="5">
        <v>46</v>
      </c>
      <c r="D56" s="9" t="s">
        <v>100</v>
      </c>
      <c r="E56" s="195" t="s">
        <v>205</v>
      </c>
      <c r="F56" s="3" t="s">
        <v>954</v>
      </c>
      <c r="G56" s="202" t="s">
        <v>399</v>
      </c>
      <c r="H56" s="25" t="s">
        <v>232</v>
      </c>
      <c r="I56" s="81">
        <v>1</v>
      </c>
      <c r="J56" s="18"/>
      <c r="K56" s="20">
        <v>0</v>
      </c>
      <c r="L56" s="20">
        <v>0</v>
      </c>
      <c r="M56" s="118">
        <f>IF(K56&lt;2,1,0)</f>
        <v>1</v>
      </c>
      <c r="N56" s="187">
        <f>IF(L56&lt;2,1,0)</f>
        <v>1</v>
      </c>
      <c r="O56" s="203">
        <f>IF(AND(L56=0,K56&lt;&gt;0),1,IF(AND(L56=0,K56=0),0,K56/L56-1))</f>
        <v>0</v>
      </c>
      <c r="P56" s="197">
        <f t="shared" si="1"/>
        <v>0</v>
      </c>
      <c r="Q56" s="199">
        <f t="shared" si="7"/>
        <v>0</v>
      </c>
      <c r="R56" s="199">
        <f t="shared" si="2"/>
        <v>0</v>
      </c>
      <c r="S56" s="199">
        <f t="shared" si="3"/>
        <v>0</v>
      </c>
      <c r="T56" s="199">
        <f t="shared" si="4"/>
        <v>0</v>
      </c>
      <c r="U56" s="211"/>
    </row>
    <row r="57" spans="1:21" s="2" customFormat="1" ht="15.6" customHeight="1">
      <c r="A57" s="148" t="s">
        <v>308</v>
      </c>
      <c r="B57" s="148" t="s">
        <v>309</v>
      </c>
      <c r="C57" s="5">
        <v>47</v>
      </c>
      <c r="D57" s="9" t="s">
        <v>101</v>
      </c>
      <c r="E57" s="195" t="s">
        <v>205</v>
      </c>
      <c r="F57" s="3" t="s">
        <v>205</v>
      </c>
      <c r="G57" s="202" t="s">
        <v>1555</v>
      </c>
      <c r="H57" s="25" t="s">
        <v>232</v>
      </c>
      <c r="I57" s="81">
        <v>1</v>
      </c>
      <c r="J57" s="18"/>
      <c r="K57" s="20">
        <v>0</v>
      </c>
      <c r="L57" s="20">
        <v>0</v>
      </c>
      <c r="M57" s="187">
        <f>IF(K57&lt;1,1,0)</f>
        <v>1</v>
      </c>
      <c r="N57" s="187">
        <f>IF(L57&lt;1,1,0)</f>
        <v>1</v>
      </c>
      <c r="O57" s="203">
        <f>IF(AND(L57=0,K57&lt;&gt;0),1,IF(AND(L57=0,K57=0),0,K57/L57-1))</f>
        <v>0</v>
      </c>
      <c r="P57" s="197">
        <f t="shared" si="1"/>
        <v>0</v>
      </c>
      <c r="Q57" s="199">
        <f t="shared" si="7"/>
        <v>0</v>
      </c>
      <c r="R57" s="199">
        <f t="shared" si="2"/>
        <v>0</v>
      </c>
      <c r="S57" s="199">
        <f t="shared" si="3"/>
        <v>0</v>
      </c>
      <c r="T57" s="199">
        <f t="shared" si="4"/>
        <v>0</v>
      </c>
      <c r="U57" s="211"/>
    </row>
    <row r="58" spans="1:21" s="2" customFormat="1" ht="15.6" customHeight="1">
      <c r="A58" s="148" t="s">
        <v>310</v>
      </c>
      <c r="B58" s="148" t="s">
        <v>311</v>
      </c>
      <c r="C58" s="5">
        <v>48</v>
      </c>
      <c r="D58" s="9" t="s">
        <v>102</v>
      </c>
      <c r="E58" s="195" t="s">
        <v>205</v>
      </c>
      <c r="F58" s="3" t="s">
        <v>205</v>
      </c>
      <c r="G58" s="202" t="s">
        <v>1555</v>
      </c>
      <c r="H58" s="25" t="s">
        <v>232</v>
      </c>
      <c r="I58" s="81">
        <v>1</v>
      </c>
      <c r="J58" s="18"/>
      <c r="K58" s="20">
        <v>0</v>
      </c>
      <c r="L58" s="20">
        <v>0</v>
      </c>
      <c r="M58" s="118">
        <f>IF(K58&lt;5,1,0)</f>
        <v>1</v>
      </c>
      <c r="N58" s="187">
        <f>IF(L58&lt;5,1,0)</f>
        <v>1</v>
      </c>
      <c r="O58" s="203">
        <f>IF(AND(L58=0,K58&lt;&gt;0),1,IF(AND(L58=0,K58=0),0,K58/L58-1))</f>
        <v>0</v>
      </c>
      <c r="P58" s="197">
        <f t="shared" si="1"/>
        <v>0</v>
      </c>
      <c r="Q58" s="199">
        <f t="shared" si="7"/>
        <v>0</v>
      </c>
      <c r="R58" s="199">
        <f t="shared" si="2"/>
        <v>0</v>
      </c>
      <c r="S58" s="199">
        <f t="shared" si="3"/>
        <v>0</v>
      </c>
      <c r="T58" s="199">
        <f t="shared" si="4"/>
        <v>0</v>
      </c>
      <c r="U58" s="211"/>
    </row>
    <row r="59" spans="1:21" s="2" customFormat="1" ht="15.6" customHeight="1">
      <c r="A59" s="148" t="s">
        <v>312</v>
      </c>
      <c r="B59" s="148" t="s">
        <v>313</v>
      </c>
      <c r="C59" s="5">
        <v>49</v>
      </c>
      <c r="D59" s="9" t="s">
        <v>103</v>
      </c>
      <c r="E59" s="195" t="s">
        <v>205</v>
      </c>
      <c r="F59" s="3" t="s">
        <v>205</v>
      </c>
      <c r="G59" s="202" t="s">
        <v>1555</v>
      </c>
      <c r="H59" s="25" t="s">
        <v>232</v>
      </c>
      <c r="I59" s="81">
        <v>2</v>
      </c>
      <c r="J59" s="18"/>
      <c r="K59" s="20">
        <v>0</v>
      </c>
      <c r="L59" s="20">
        <v>0</v>
      </c>
      <c r="M59" s="187">
        <f>IF(K59&gt;6,0,IF(K59&lt;3,2,1))</f>
        <v>2</v>
      </c>
      <c r="N59" s="187">
        <f>IF(L59&gt;6,0,IF(L59&lt;3,2,1))</f>
        <v>2</v>
      </c>
      <c r="O59" s="203">
        <f>IF(AND(L59=0,K59&lt;&gt;0),1,IF(AND(L59=0,K59=0),0,K59/L59-1))</f>
        <v>0</v>
      </c>
      <c r="P59" s="197">
        <f t="shared" si="1"/>
        <v>0</v>
      </c>
      <c r="Q59" s="199">
        <f t="shared" si="7"/>
        <v>0</v>
      </c>
      <c r="R59" s="199">
        <f t="shared" si="2"/>
        <v>0</v>
      </c>
      <c r="S59" s="199">
        <f t="shared" si="3"/>
        <v>0</v>
      </c>
      <c r="T59" s="199">
        <f t="shared" si="4"/>
        <v>0</v>
      </c>
      <c r="U59" s="211"/>
    </row>
    <row r="60" spans="1:21" s="2" customFormat="1" ht="15.6" customHeight="1">
      <c r="A60" s="148" t="s">
        <v>314</v>
      </c>
      <c r="B60" s="148" t="s">
        <v>315</v>
      </c>
      <c r="C60" s="5">
        <v>50</v>
      </c>
      <c r="D60" s="9" t="s">
        <v>104</v>
      </c>
      <c r="E60" s="195" t="s">
        <v>205</v>
      </c>
      <c r="F60" s="3" t="s">
        <v>955</v>
      </c>
      <c r="G60" s="202" t="s">
        <v>1555</v>
      </c>
      <c r="H60" s="25" t="s">
        <v>232</v>
      </c>
      <c r="I60" s="81">
        <v>2</v>
      </c>
      <c r="J60" s="18"/>
      <c r="K60" s="20">
        <v>0</v>
      </c>
      <c r="L60" s="20">
        <v>0</v>
      </c>
      <c r="M60" s="118">
        <f>IF(K60&lt;3,2,0)</f>
        <v>2</v>
      </c>
      <c r="N60" s="187">
        <f>IF(L60&lt;3,2,0)</f>
        <v>2</v>
      </c>
      <c r="O60" s="203">
        <f>IF(AND(L60=0,K60&lt;&gt;0),1,IF(AND(L60=0,K60=0),0,K60/L60-1))</f>
        <v>0</v>
      </c>
      <c r="P60" s="197">
        <f t="shared" si="1"/>
        <v>0</v>
      </c>
      <c r="Q60" s="199">
        <f t="shared" si="7"/>
        <v>0</v>
      </c>
      <c r="R60" s="199">
        <f t="shared" si="2"/>
        <v>0</v>
      </c>
      <c r="S60" s="199">
        <f t="shared" si="3"/>
        <v>0</v>
      </c>
      <c r="T60" s="199">
        <f t="shared" si="4"/>
        <v>0</v>
      </c>
      <c r="U60" s="211"/>
    </row>
    <row r="61" spans="1:21" s="374" customFormat="1" ht="15.6" customHeight="1">
      <c r="A61" s="148" t="s">
        <v>316</v>
      </c>
      <c r="B61" s="148" t="s">
        <v>317</v>
      </c>
      <c r="C61" s="470">
        <v>51</v>
      </c>
      <c r="D61" s="410" t="s">
        <v>105</v>
      </c>
      <c r="E61" s="534" t="s">
        <v>207</v>
      </c>
      <c r="F61" s="542" t="s">
        <v>207</v>
      </c>
      <c r="G61" s="543" t="s">
        <v>399</v>
      </c>
      <c r="H61" s="380" t="s">
        <v>232</v>
      </c>
      <c r="I61" s="399">
        <v>3</v>
      </c>
      <c r="J61" s="404" t="s">
        <v>1468</v>
      </c>
      <c r="K61" s="484" t="s">
        <v>106</v>
      </c>
      <c r="L61" s="484" t="s">
        <v>106</v>
      </c>
      <c r="M61" s="380">
        <v>3</v>
      </c>
      <c r="N61" s="380">
        <v>3</v>
      </c>
      <c r="O61" s="203">
        <f>IF((K61=L61)=TRUE,0,1)</f>
        <v>0</v>
      </c>
      <c r="P61" s="197">
        <f t="shared" si="1"/>
        <v>0</v>
      </c>
      <c r="Q61" s="199">
        <f t="shared" si="7"/>
        <v>0</v>
      </c>
      <c r="R61" s="199">
        <f t="shared" si="2"/>
        <v>0</v>
      </c>
      <c r="S61" s="199">
        <f t="shared" si="3"/>
        <v>0</v>
      </c>
      <c r="T61" s="199">
        <f t="shared" si="4"/>
        <v>0</v>
      </c>
      <c r="U61" s="211"/>
    </row>
    <row r="62" spans="1:21" s="374" customFormat="1" ht="15.6" customHeight="1">
      <c r="A62" s="150" t="s">
        <v>318</v>
      </c>
      <c r="B62" s="150" t="s">
        <v>319</v>
      </c>
      <c r="C62" s="548">
        <v>52</v>
      </c>
      <c r="D62" s="549" t="s">
        <v>107</v>
      </c>
      <c r="E62" s="550" t="s">
        <v>207</v>
      </c>
      <c r="F62" s="551" t="s">
        <v>207</v>
      </c>
      <c r="G62" s="543" t="s">
        <v>399</v>
      </c>
      <c r="H62" s="552" t="s">
        <v>232</v>
      </c>
      <c r="I62" s="553">
        <v>2</v>
      </c>
      <c r="J62" s="545" t="s">
        <v>1469</v>
      </c>
      <c r="K62" s="554" t="s">
        <v>108</v>
      </c>
      <c r="L62" s="554" t="s">
        <v>108</v>
      </c>
      <c r="M62" s="552">
        <v>2</v>
      </c>
      <c r="N62" s="552">
        <v>2</v>
      </c>
      <c r="O62" s="203">
        <f>IF((K62=L62)=TRUE,0,1)</f>
        <v>0</v>
      </c>
      <c r="P62" s="197">
        <f t="shared" si="1"/>
        <v>0</v>
      </c>
      <c r="Q62" s="199">
        <f t="shared" si="7"/>
        <v>0</v>
      </c>
      <c r="R62" s="199">
        <f t="shared" si="2"/>
        <v>0</v>
      </c>
      <c r="S62" s="199">
        <f t="shared" si="3"/>
        <v>0</v>
      </c>
      <c r="T62" s="199">
        <f t="shared" si="4"/>
        <v>0</v>
      </c>
      <c r="U62" s="211"/>
    </row>
    <row r="63" spans="1:21" s="2" customFormat="1" ht="15.6" customHeight="1">
      <c r="A63" s="151"/>
      <c r="B63" s="151"/>
      <c r="C63" s="204"/>
      <c r="D63" s="200" t="s">
        <v>226</v>
      </c>
      <c r="E63" s="208"/>
      <c r="F63" s="23"/>
      <c r="G63" s="202"/>
      <c r="H63" s="24"/>
      <c r="I63" s="209">
        <f>SUM(I4:I62)</f>
        <v>80</v>
      </c>
      <c r="J63" s="18"/>
      <c r="K63" s="6"/>
      <c r="L63" s="204"/>
      <c r="M63" s="214">
        <f>SUM(M4:M62)</f>
        <v>80</v>
      </c>
      <c r="N63" s="214">
        <f>SUM(N4:N62)</f>
        <v>80</v>
      </c>
      <c r="O63" s="215"/>
      <c r="P63" s="197">
        <f t="shared" si="1"/>
        <v>0</v>
      </c>
      <c r="Q63" s="205">
        <f t="shared" si="7"/>
        <v>0</v>
      </c>
      <c r="R63" s="205">
        <f t="shared" si="2"/>
        <v>0</v>
      </c>
      <c r="S63" s="205">
        <f t="shared" si="3"/>
        <v>0</v>
      </c>
      <c r="T63" s="205">
        <f t="shared" si="4"/>
        <v>0</v>
      </c>
      <c r="U63" s="212"/>
    </row>
    <row r="64" spans="1:21" s="2" customFormat="1" ht="14.25">
      <c r="A64" s="146"/>
      <c r="B64" s="146"/>
      <c r="C64" s="4"/>
      <c r="D64" s="198" t="s">
        <v>1533</v>
      </c>
      <c r="E64" s="196"/>
      <c r="F64" s="10"/>
      <c r="G64" s="27"/>
      <c r="I64" s="224">
        <f>SUM(I4:I62)</f>
        <v>80</v>
      </c>
      <c r="K64" s="4"/>
      <c r="L64" s="4"/>
      <c r="M64" s="216">
        <f>SUM(M4:M62)</f>
        <v>80</v>
      </c>
      <c r="N64" s="216">
        <f>SUM(N4:N62)</f>
        <v>80</v>
      </c>
      <c r="O64" s="10"/>
      <c r="Q64" s="205">
        <f t="shared" si="7"/>
        <v>0</v>
      </c>
      <c r="R64" s="205">
        <f t="shared" si="2"/>
        <v>0</v>
      </c>
      <c r="S64" s="205">
        <f t="shared" si="3"/>
        <v>0</v>
      </c>
      <c r="T64" s="205">
        <f t="shared" si="4"/>
        <v>0</v>
      </c>
    </row>
    <row r="65" spans="1:20" s="2" customFormat="1" ht="14.25">
      <c r="A65" s="152"/>
      <c r="B65" s="152"/>
      <c r="C65" s="4"/>
      <c r="D65" s="198" t="s">
        <v>462</v>
      </c>
      <c r="E65" s="196"/>
      <c r="F65" s="10"/>
      <c r="G65" s="14"/>
      <c r="I65" s="224">
        <v>20</v>
      </c>
      <c r="J65" s="10"/>
      <c r="K65" s="4"/>
      <c r="L65" s="4"/>
      <c r="M65" s="216">
        <v>20</v>
      </c>
      <c r="N65" s="216">
        <v>20</v>
      </c>
      <c r="O65" s="10"/>
      <c r="Q65" s="205">
        <f t="shared" si="7"/>
        <v>0</v>
      </c>
      <c r="R65" s="205">
        <f t="shared" si="2"/>
        <v>0</v>
      </c>
      <c r="S65" s="205">
        <f t="shared" si="3"/>
        <v>0</v>
      </c>
      <c r="T65" s="205">
        <f t="shared" si="4"/>
        <v>0</v>
      </c>
    </row>
    <row r="66" spans="1:20" s="1" customFormat="1">
      <c r="A66" s="152"/>
      <c r="B66" s="152"/>
      <c r="C66" s="4"/>
      <c r="D66" s="198" t="s">
        <v>464</v>
      </c>
      <c r="E66" s="196"/>
      <c r="F66" s="10"/>
      <c r="G66" s="14"/>
      <c r="I66" s="210"/>
      <c r="J66" s="10"/>
      <c r="K66" s="4"/>
      <c r="L66" s="4"/>
      <c r="M66" s="217">
        <f>100-SUM(M64:M65)</f>
        <v>0</v>
      </c>
      <c r="N66" s="217">
        <f>100-SUM(N64:N65)</f>
        <v>0</v>
      </c>
      <c r="O66" s="10"/>
      <c r="Q66" s="205">
        <f t="shared" si="7"/>
        <v>0</v>
      </c>
      <c r="R66" s="205">
        <f t="shared" si="2"/>
        <v>0</v>
      </c>
      <c r="S66" s="205">
        <f t="shared" si="3"/>
        <v>0</v>
      </c>
      <c r="T66" s="205">
        <f t="shared" si="4"/>
        <v>0</v>
      </c>
    </row>
    <row r="69" spans="1:20">
      <c r="A69" s="152"/>
      <c r="B69" s="152"/>
      <c r="D69" s="532"/>
      <c r="G69" s="556"/>
    </row>
    <row r="70" spans="1:20">
      <c r="A70" s="152"/>
      <c r="B70" s="152"/>
      <c r="D70" s="532"/>
      <c r="G70" s="556"/>
    </row>
    <row r="71" spans="1:20">
      <c r="A71" s="152"/>
      <c r="B71" s="152"/>
      <c r="D71" s="558" t="s">
        <v>1611</v>
      </c>
      <c r="G71" s="556"/>
    </row>
    <row r="72" spans="1:20">
      <c r="A72" s="152"/>
      <c r="B72" s="152"/>
      <c r="D72" s="375" t="s">
        <v>1655</v>
      </c>
      <c r="G72" s="556"/>
    </row>
    <row r="73" spans="1:20">
      <c r="A73" s="152"/>
      <c r="B73" s="152"/>
      <c r="D73" s="532"/>
      <c r="G73" s="556"/>
    </row>
    <row r="74" spans="1:20">
      <c r="A74" s="152"/>
      <c r="B74" s="152"/>
      <c r="D74" s="532"/>
      <c r="G74" s="556"/>
    </row>
    <row r="75" spans="1:20">
      <c r="A75" s="152"/>
      <c r="B75" s="152"/>
      <c r="D75" s="532"/>
      <c r="G75" s="556"/>
    </row>
    <row r="76" spans="1:20">
      <c r="A76" s="152"/>
      <c r="B76" s="152"/>
      <c r="D76" s="532"/>
      <c r="G76" s="556"/>
    </row>
    <row r="77" spans="1:20">
      <c r="A77" s="152"/>
      <c r="B77" s="152"/>
      <c r="D77" s="532"/>
      <c r="G77" s="556"/>
    </row>
    <row r="78" spans="1:20">
      <c r="A78" s="152"/>
      <c r="B78" s="152"/>
      <c r="D78" s="532"/>
      <c r="G78" s="556"/>
    </row>
    <row r="79" spans="1:20">
      <c r="A79" s="152"/>
      <c r="B79" s="152"/>
      <c r="D79" s="532"/>
      <c r="G79" s="556"/>
    </row>
    <row r="80" spans="1:20">
      <c r="A80" s="152"/>
      <c r="B80" s="152"/>
      <c r="D80" s="532"/>
      <c r="G80" s="556"/>
    </row>
    <row r="81" spans="1:7">
      <c r="A81" s="152"/>
      <c r="B81" s="152"/>
      <c r="D81" s="532"/>
      <c r="G81" s="556"/>
    </row>
    <row r="82" spans="1:7">
      <c r="A82" s="152"/>
      <c r="B82" s="152"/>
      <c r="D82" s="532"/>
      <c r="G82" s="556"/>
    </row>
    <row r="83" spans="1:7">
      <c r="A83" s="152"/>
      <c r="B83" s="152"/>
      <c r="D83" s="532"/>
      <c r="G83" s="556"/>
    </row>
    <row r="84" spans="1:7">
      <c r="A84" s="152"/>
      <c r="B84" s="152"/>
      <c r="D84" s="532"/>
      <c r="G84" s="556"/>
    </row>
    <row r="85" spans="1:7">
      <c r="A85" s="152"/>
      <c r="B85" s="152"/>
      <c r="D85" s="532"/>
      <c r="G85" s="556"/>
    </row>
    <row r="86" spans="1:7">
      <c r="A86" s="152"/>
      <c r="B86" s="152"/>
      <c r="D86" s="532"/>
      <c r="G86" s="556"/>
    </row>
    <row r="87" spans="1:7">
      <c r="A87" s="152"/>
      <c r="B87" s="152"/>
      <c r="D87" s="532"/>
      <c r="G87" s="556"/>
    </row>
    <row r="88" spans="1:7">
      <c r="A88" s="152"/>
      <c r="B88" s="152"/>
      <c r="D88" s="532"/>
      <c r="G88" s="556"/>
    </row>
    <row r="89" spans="1:7">
      <c r="A89" s="152"/>
      <c r="B89" s="152"/>
      <c r="D89" s="532"/>
      <c r="G89" s="556"/>
    </row>
    <row r="90" spans="1:7">
      <c r="A90" s="152"/>
      <c r="B90" s="152"/>
      <c r="D90" s="532"/>
      <c r="G90" s="556"/>
    </row>
    <row r="91" spans="1:7">
      <c r="A91" s="152"/>
      <c r="B91" s="152"/>
      <c r="D91" s="532"/>
      <c r="G91" s="556"/>
    </row>
    <row r="92" spans="1:7">
      <c r="A92" s="152"/>
      <c r="B92" s="152"/>
      <c r="D92" s="532"/>
      <c r="G92" s="556"/>
    </row>
    <row r="93" spans="1:7">
      <c r="A93" s="152"/>
      <c r="B93" s="152"/>
      <c r="D93" s="532"/>
      <c r="G93" s="556"/>
    </row>
    <row r="94" spans="1:7">
      <c r="A94" s="152"/>
      <c r="B94" s="152"/>
      <c r="D94" s="532"/>
      <c r="G94" s="556"/>
    </row>
    <row r="95" spans="1:7">
      <c r="A95" s="152"/>
      <c r="B95" s="152"/>
      <c r="D95" s="532"/>
      <c r="G95" s="556"/>
    </row>
    <row r="96" spans="1:7">
      <c r="A96" s="152"/>
      <c r="B96" s="152"/>
      <c r="D96" s="532"/>
      <c r="G96" s="556"/>
    </row>
    <row r="97" spans="1:7">
      <c r="A97" s="152"/>
      <c r="B97" s="152"/>
      <c r="D97" s="532"/>
      <c r="G97" s="556"/>
    </row>
    <row r="98" spans="1:7">
      <c r="A98" s="152"/>
      <c r="B98" s="152"/>
      <c r="D98" s="532"/>
      <c r="G98" s="556"/>
    </row>
    <row r="99" spans="1:7">
      <c r="A99" s="152"/>
      <c r="B99" s="152"/>
      <c r="D99" s="532"/>
      <c r="G99" s="556"/>
    </row>
    <row r="100" spans="1:7">
      <c r="A100" s="152"/>
      <c r="B100" s="152"/>
      <c r="D100" s="532"/>
      <c r="G100" s="556"/>
    </row>
    <row r="101" spans="1:7">
      <c r="A101" s="152"/>
      <c r="B101" s="152"/>
      <c r="D101" s="532"/>
      <c r="G101" s="556"/>
    </row>
    <row r="102" spans="1:7">
      <c r="A102" s="152"/>
      <c r="B102" s="152"/>
      <c r="D102" s="532"/>
      <c r="G102" s="556"/>
    </row>
    <row r="103" spans="1:7">
      <c r="A103" s="152"/>
      <c r="B103" s="152"/>
      <c r="D103" s="532"/>
      <c r="G103" s="556"/>
    </row>
    <row r="104" spans="1:7">
      <c r="A104" s="152"/>
      <c r="B104" s="152"/>
      <c r="D104" s="532"/>
      <c r="G104" s="556"/>
    </row>
    <row r="105" spans="1:7">
      <c r="A105" s="152"/>
      <c r="B105" s="152"/>
      <c r="D105" s="532"/>
      <c r="G105" s="556"/>
    </row>
    <row r="106" spans="1:7">
      <c r="A106" s="152"/>
      <c r="B106" s="152"/>
      <c r="D106" s="532"/>
      <c r="G106" s="556"/>
    </row>
    <row r="107" spans="1:7">
      <c r="A107" s="152"/>
      <c r="B107" s="152"/>
      <c r="D107" s="532"/>
      <c r="G107" s="556"/>
    </row>
    <row r="108" spans="1:7">
      <c r="A108" s="152"/>
      <c r="B108" s="152"/>
      <c r="D108" s="532"/>
      <c r="G108" s="556"/>
    </row>
    <row r="109" spans="1:7">
      <c r="A109" s="152"/>
      <c r="B109" s="152"/>
      <c r="D109" s="532"/>
      <c r="G109" s="556"/>
    </row>
    <row r="110" spans="1:7">
      <c r="A110" s="152"/>
      <c r="B110" s="152"/>
      <c r="D110" s="532"/>
      <c r="G110" s="556"/>
    </row>
    <row r="111" spans="1:7">
      <c r="A111" s="152"/>
      <c r="B111" s="152"/>
      <c r="D111" s="532"/>
      <c r="G111" s="556"/>
    </row>
    <row r="112" spans="1:7">
      <c r="A112" s="152"/>
      <c r="B112" s="152"/>
      <c r="D112" s="532"/>
      <c r="G112" s="556"/>
    </row>
    <row r="113" spans="1:7">
      <c r="A113" s="152"/>
      <c r="B113" s="152"/>
      <c r="D113" s="532"/>
      <c r="G113" s="556"/>
    </row>
    <row r="114" spans="1:7">
      <c r="A114" s="152"/>
      <c r="B114" s="152"/>
      <c r="D114" s="532"/>
      <c r="G114" s="556"/>
    </row>
    <row r="115" spans="1:7">
      <c r="A115" s="152"/>
      <c r="B115" s="152"/>
      <c r="D115" s="532"/>
      <c r="G115" s="556"/>
    </row>
    <row r="116" spans="1:7">
      <c r="A116" s="152"/>
      <c r="B116" s="152"/>
      <c r="D116" s="532"/>
      <c r="G116" s="556"/>
    </row>
    <row r="117" spans="1:7">
      <c r="A117" s="152"/>
      <c r="B117" s="152"/>
      <c r="D117" s="532"/>
      <c r="G117" s="556"/>
    </row>
    <row r="118" spans="1:7">
      <c r="A118" s="152"/>
      <c r="B118" s="152"/>
      <c r="D118" s="532"/>
      <c r="G118" s="556"/>
    </row>
    <row r="119" spans="1:7">
      <c r="A119" s="152"/>
      <c r="B119" s="152"/>
      <c r="D119" s="532"/>
      <c r="G119" s="556"/>
    </row>
    <row r="120" spans="1:7">
      <c r="A120" s="152"/>
      <c r="B120" s="152"/>
      <c r="D120" s="532"/>
      <c r="G120" s="556"/>
    </row>
    <row r="121" spans="1:7">
      <c r="A121" s="152"/>
      <c r="B121" s="152"/>
      <c r="D121" s="532"/>
      <c r="G121" s="556"/>
    </row>
  </sheetData>
  <dataConsolidate/>
  <mergeCells count="90">
    <mergeCell ref="M38:M39"/>
    <mergeCell ref="B23:B24"/>
    <mergeCell ref="M23:M24"/>
    <mergeCell ref="M25:M26"/>
    <mergeCell ref="B25:B26"/>
    <mergeCell ref="M32:M33"/>
    <mergeCell ref="M36:M37"/>
    <mergeCell ref="A38:A39"/>
    <mergeCell ref="B36:B37"/>
    <mergeCell ref="H23:H24"/>
    <mergeCell ref="H25:H26"/>
    <mergeCell ref="H32:H33"/>
    <mergeCell ref="A23:A24"/>
    <mergeCell ref="A25:A26"/>
    <mergeCell ref="B32:B33"/>
    <mergeCell ref="A36:A37"/>
    <mergeCell ref="H38:H39"/>
    <mergeCell ref="B38:B39"/>
    <mergeCell ref="M40:M41"/>
    <mergeCell ref="M43:M44"/>
    <mergeCell ref="A50:A51"/>
    <mergeCell ref="B50:B51"/>
    <mergeCell ref="H45:H46"/>
    <mergeCell ref="H48:H49"/>
    <mergeCell ref="H50:H51"/>
    <mergeCell ref="M45:M46"/>
    <mergeCell ref="M48:M49"/>
    <mergeCell ref="M50:M51"/>
    <mergeCell ref="A40:A41"/>
    <mergeCell ref="A43:A44"/>
    <mergeCell ref="H40:H41"/>
    <mergeCell ref="H43:H44"/>
    <mergeCell ref="N54:N55"/>
    <mergeCell ref="A54:A55"/>
    <mergeCell ref="B54:B55"/>
    <mergeCell ref="I50:I51"/>
    <mergeCell ref="I54:I55"/>
    <mergeCell ref="H54:H55"/>
    <mergeCell ref="N50:N51"/>
    <mergeCell ref="M54:M55"/>
    <mergeCell ref="N23:N24"/>
    <mergeCell ref="A45:A46"/>
    <mergeCell ref="B45:B46"/>
    <mergeCell ref="A48:A49"/>
    <mergeCell ref="B48:B49"/>
    <mergeCell ref="I36:I37"/>
    <mergeCell ref="I38:I39"/>
    <mergeCell ref="I40:I41"/>
    <mergeCell ref="I43:I44"/>
    <mergeCell ref="I45:I46"/>
    <mergeCell ref="I48:I49"/>
    <mergeCell ref="I25:I26"/>
    <mergeCell ref="I32:I33"/>
    <mergeCell ref="A32:A33"/>
    <mergeCell ref="B40:B41"/>
    <mergeCell ref="B43:B44"/>
    <mergeCell ref="N7:N8"/>
    <mergeCell ref="M7:M8"/>
    <mergeCell ref="M16:M17"/>
    <mergeCell ref="M21:M22"/>
    <mergeCell ref="N16:N17"/>
    <mergeCell ref="N21:N22"/>
    <mergeCell ref="B21:B22"/>
    <mergeCell ref="A18:A20"/>
    <mergeCell ref="A21:A22"/>
    <mergeCell ref="B16:B17"/>
    <mergeCell ref="B18:B20"/>
    <mergeCell ref="B9:B11"/>
    <mergeCell ref="A12:A15"/>
    <mergeCell ref="B12:B15"/>
    <mergeCell ref="H7:H8"/>
    <mergeCell ref="I16:I17"/>
    <mergeCell ref="A16:A17"/>
    <mergeCell ref="A7:A8"/>
    <mergeCell ref="B7:B8"/>
    <mergeCell ref="A9:A11"/>
    <mergeCell ref="I21:I22"/>
    <mergeCell ref="I7:I8"/>
    <mergeCell ref="H16:H17"/>
    <mergeCell ref="H21:H22"/>
    <mergeCell ref="H36:H37"/>
    <mergeCell ref="I23:I24"/>
    <mergeCell ref="N43:N44"/>
    <mergeCell ref="N45:N46"/>
    <mergeCell ref="N48:N49"/>
    <mergeCell ref="N25:N26"/>
    <mergeCell ref="N32:N33"/>
    <mergeCell ref="N36:N37"/>
    <mergeCell ref="N38:N39"/>
    <mergeCell ref="N40:N41"/>
  </mergeCells>
  <phoneticPr fontId="3" type="noConversion"/>
  <conditionalFormatting sqref="R5:R64 Q4:U62 T5:T64 Q63:T66">
    <cfRule type="cellIs" dxfId="123" priority="25" operator="lessThan">
      <formula>-0.3</formula>
    </cfRule>
    <cfRule type="cellIs" dxfId="122" priority="26" operator="greaterThan">
      <formula>0.3</formula>
    </cfRule>
  </conditionalFormatting>
  <conditionalFormatting sqref="O4:O62">
    <cfRule type="cellIs" dxfId="121" priority="20" stopIfTrue="1" operator="lessThanOrEqual">
      <formula>-0.3</formula>
    </cfRule>
    <cfRule type="cellIs" dxfId="120" priority="21" stopIfTrue="1" operator="greaterThanOrEqual">
      <formula>0.3</formula>
    </cfRule>
  </conditionalFormatting>
  <conditionalFormatting sqref="M4:N4">
    <cfRule type="cellIs" dxfId="119" priority="29" operator="notEqual">
      <formula>$I$4</formula>
    </cfRule>
  </conditionalFormatting>
  <conditionalFormatting sqref="P4:P63">
    <cfRule type="expression" dxfId="118" priority="13">
      <formula>P4&lt;0</formula>
    </cfRule>
  </conditionalFormatting>
  <conditionalFormatting sqref="P4:P63">
    <cfRule type="cellIs" dxfId="117" priority="11" stopIfTrue="1" operator="lessThan">
      <formula>0</formula>
    </cfRule>
    <cfRule type="cellIs" dxfId="116" priority="12" operator="greaterThan">
      <formula>0</formula>
    </cfRule>
  </conditionalFormatting>
  <dataValidations count="36">
    <dataValidation type="list" allowBlank="1" showInputMessage="1" showErrorMessage="1" sqref="K5:L5">
      <formula1>#REF!</formula1>
    </dataValidation>
    <dataValidation type="list" allowBlank="1" showInputMessage="1" showErrorMessage="1" sqref="K7:L7">
      <formula1>$K$7:$U$7</formula1>
    </dataValidation>
    <dataValidation type="list" allowBlank="1" showInputMessage="1" showErrorMessage="1" sqref="K8:L8">
      <formula1>$K$8:$U$8</formula1>
    </dataValidation>
    <dataValidation type="list" allowBlank="1" showInputMessage="1" showErrorMessage="1" sqref="K21:L21">
      <formula1>$K$21:$U$21</formula1>
    </dataValidation>
    <dataValidation type="list" allowBlank="1" showInputMessage="1" showErrorMessage="1" sqref="K22:L22">
      <formula1>$K$22:$U$22</formula1>
    </dataValidation>
    <dataValidation type="list" allowBlank="1" showInputMessage="1" showErrorMessage="1" sqref="K23:L23">
      <formula1>$K$23:$U$23</formula1>
    </dataValidation>
    <dataValidation type="list" allowBlank="1" showInputMessage="1" showErrorMessage="1" sqref="K24:L24">
      <formula1>$K$24:$U$24</formula1>
    </dataValidation>
    <dataValidation type="list" allowBlank="1" showInputMessage="1" showErrorMessage="1" sqref="K25:L25">
      <formula1>$K$25:$U$25</formula1>
    </dataValidation>
    <dataValidation type="list" allowBlank="1" showInputMessage="1" showErrorMessage="1" sqref="K26:L26">
      <formula1>$K$26:$U$26</formula1>
    </dataValidation>
    <dataValidation type="list" allowBlank="1" showInputMessage="1" showErrorMessage="1" sqref="K27:L27">
      <formula1>#REF!</formula1>
    </dataValidation>
    <dataValidation type="list" allowBlank="1" showInputMessage="1" showErrorMessage="1" sqref="K28:L28">
      <formula1>$K$28:$U$28</formula1>
    </dataValidation>
    <dataValidation type="list" allowBlank="1" showInputMessage="1" showErrorMessage="1" sqref="K29:L29">
      <formula1>$K$29:$U$29</formula1>
    </dataValidation>
    <dataValidation type="list" allowBlank="1" showInputMessage="1" showErrorMessage="1" sqref="K30:L30">
      <formula1>$K$30:$O$30</formula1>
    </dataValidation>
    <dataValidation type="list" allowBlank="1" showInputMessage="1" showErrorMessage="1" sqref="K31:L31">
      <formula1>#REF!</formula1>
    </dataValidation>
    <dataValidation type="list" allowBlank="1" showInputMessage="1" showErrorMessage="1" sqref="K32:L32">
      <formula1>$K$32:$U$32</formula1>
    </dataValidation>
    <dataValidation type="list" allowBlank="1" showInputMessage="1" showErrorMessage="1" sqref="K33:L33">
      <formula1>$K$33:$U$33</formula1>
    </dataValidation>
    <dataValidation type="list" allowBlank="1" showInputMessage="1" showErrorMessage="1" sqref="K34:L34">
      <formula1>$K$34:$U$34</formula1>
    </dataValidation>
    <dataValidation type="list" allowBlank="1" showInputMessage="1" showErrorMessage="1" sqref="K35:L35">
      <formula1>#REF!</formula1>
    </dataValidation>
    <dataValidation type="list" allowBlank="1" showInputMessage="1" showErrorMessage="1" sqref="K36:L36">
      <formula1>$K$36:$U$36</formula1>
    </dataValidation>
    <dataValidation type="list" allowBlank="1" showInputMessage="1" showErrorMessage="1" sqref="K37:L37">
      <formula1>$K$37:$U$37</formula1>
    </dataValidation>
    <dataValidation type="list" allowBlank="1" showInputMessage="1" showErrorMessage="1" sqref="K38:L38">
      <formula1>$K$38:$U$38</formula1>
    </dataValidation>
    <dataValidation type="list" allowBlank="1" showInputMessage="1" showErrorMessage="1" sqref="K39:L39">
      <formula1>$K$39:$U$39</formula1>
    </dataValidation>
    <dataValidation type="list" allowBlank="1" showInputMessage="1" showErrorMessage="1" sqref="K40:L40">
      <formula1>$K$40:$O$40</formula1>
    </dataValidation>
    <dataValidation type="list" allowBlank="1" showInputMessage="1" showErrorMessage="1" sqref="K41:L41">
      <formula1>$K$41:$U$41</formula1>
    </dataValidation>
    <dataValidation type="list" allowBlank="1" showInputMessage="1" showErrorMessage="1" sqref="K43:L43">
      <formula1>$K$43:$O$43</formula1>
    </dataValidation>
    <dataValidation type="list" allowBlank="1" showInputMessage="1" showErrorMessage="1" sqref="K44:L44">
      <formula1>$K$44:$U$44</formula1>
    </dataValidation>
    <dataValidation type="list" allowBlank="1" showInputMessage="1" showErrorMessage="1" sqref="K45:L45">
      <formula1>$K$45:$U$45</formula1>
    </dataValidation>
    <dataValidation type="list" allowBlank="1" showInputMessage="1" showErrorMessage="1" sqref="K46:L46">
      <formula1>$K$46:$U$46</formula1>
    </dataValidation>
    <dataValidation type="list" allowBlank="1" showInputMessage="1" showErrorMessage="1" sqref="K48:L48">
      <formula1>$K$48:$U$48</formula1>
    </dataValidation>
    <dataValidation type="list" allowBlank="1" showInputMessage="1" showErrorMessage="1" sqref="K49:L49">
      <formula1>$K$49:$U$49</formula1>
    </dataValidation>
    <dataValidation type="list" allowBlank="1" showInputMessage="1" showErrorMessage="1" sqref="K50:L50">
      <formula1>$K$50:$U$50</formula1>
    </dataValidation>
    <dataValidation type="list" allowBlank="1" showInputMessage="1" showErrorMessage="1" sqref="K51:L51">
      <formula1>$K$51:$U$51</formula1>
    </dataValidation>
    <dataValidation type="list" allowBlank="1" showInputMessage="1" showErrorMessage="1" sqref="K54:L54">
      <formula1>$K$54:$O$54</formula1>
    </dataValidation>
    <dataValidation type="list" allowBlank="1" showInputMessage="1" showErrorMessage="1" sqref="K55:L55">
      <formula1>$K$55:$U$55</formula1>
    </dataValidation>
    <dataValidation type="list" allowBlank="1" showInputMessage="1" showErrorMessage="1" sqref="K61:L61">
      <formula1>#REF!</formula1>
    </dataValidation>
    <dataValidation type="list" allowBlank="1" showInputMessage="1" showErrorMessage="1" sqref="K62:L62">
      <formula1>#REF!</formula1>
    </dataValidation>
  </dataValidations>
  <hyperlinks>
    <hyperlink ref="D71" location="权重!A1" display="权重!A1"/>
    <hyperlink ref="D72" location="目录!A1" display="目录!A1"/>
  </hyperlink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sheetPr>
    <tabColor rgb="FF00B0F0"/>
  </sheetPr>
  <dimension ref="A1:K51"/>
  <sheetViews>
    <sheetView topLeftCell="A28" workbookViewId="0">
      <selection activeCell="D65" sqref="D65"/>
    </sheetView>
  </sheetViews>
  <sheetFormatPr defaultRowHeight="13.5"/>
  <cols>
    <col min="1" max="2" width="9" style="325"/>
    <col min="3" max="3" width="18.125" style="325" customWidth="1"/>
    <col min="4" max="4" width="13.5" style="325" customWidth="1"/>
    <col min="5" max="5" width="11.5" style="320" customWidth="1"/>
    <col min="6" max="8" width="9" style="325"/>
    <col min="9" max="9" width="5.25" style="325" customWidth="1"/>
    <col min="10" max="10" width="17.375" style="325" customWidth="1"/>
    <col min="11" max="11" width="31.875" style="325" customWidth="1"/>
    <col min="12" max="12" width="12.5" style="325" bestFit="1" customWidth="1"/>
    <col min="13" max="16384" width="9" style="325"/>
  </cols>
  <sheetData>
    <row r="1" spans="1:11" ht="39" thickBot="1">
      <c r="A1" s="671" t="s">
        <v>2093</v>
      </c>
      <c r="B1" s="671" t="s">
        <v>2094</v>
      </c>
      <c r="C1" s="671" t="s">
        <v>2095</v>
      </c>
      <c r="D1" s="671" t="s">
        <v>2096</v>
      </c>
      <c r="E1" s="1170" t="s">
        <v>2097</v>
      </c>
      <c r="F1" s="671" t="s">
        <v>1914</v>
      </c>
      <c r="I1" s="1514"/>
      <c r="J1" s="1514"/>
      <c r="K1" s="1514"/>
    </row>
    <row r="2" spans="1:11" ht="14.25">
      <c r="A2" s="672" t="s">
        <v>1937</v>
      </c>
      <c r="B2" s="673" t="s">
        <v>1938</v>
      </c>
      <c r="C2" s="674">
        <v>217</v>
      </c>
      <c r="D2" s="674">
        <v>219</v>
      </c>
      <c r="E2" s="1173">
        <f t="shared" ref="E2:E12" si="0">C2/D2</f>
        <v>0.9908675799086758</v>
      </c>
      <c r="F2" s="333">
        <f>IF(E2&gt;=0.9,2,IF(E2&gt;=0.8,1,IF(E2&gt;=0.7,0.5,0)))</f>
        <v>2</v>
      </c>
      <c r="I2" s="1196"/>
      <c r="J2" s="1196" t="s">
        <v>1952</v>
      </c>
      <c r="K2" s="1196" t="s">
        <v>1956</v>
      </c>
    </row>
    <row r="3" spans="1:11" ht="14.25">
      <c r="A3" s="675" t="s">
        <v>1939</v>
      </c>
      <c r="B3" s="1160" t="s">
        <v>1938</v>
      </c>
      <c r="C3" s="677">
        <v>3</v>
      </c>
      <c r="D3" s="677">
        <v>3</v>
      </c>
      <c r="E3" s="1171">
        <f t="shared" si="0"/>
        <v>1</v>
      </c>
      <c r="F3" s="338">
        <f t="shared" ref="F3:F51" si="1">IF(E3&gt;=0.9,2,IF(E3&gt;=0.8,1,IF(E3&gt;=0.7,0.5,0)))</f>
        <v>2</v>
      </c>
      <c r="I3" s="1169" t="s">
        <v>1867</v>
      </c>
      <c r="J3" s="1168">
        <v>2</v>
      </c>
      <c r="K3" s="1167">
        <v>0.97133541880145169</v>
      </c>
    </row>
    <row r="4" spans="1:11" ht="14.25">
      <c r="A4" s="675" t="s">
        <v>1940</v>
      </c>
      <c r="B4" s="1160" t="s">
        <v>1938</v>
      </c>
      <c r="C4" s="677">
        <v>6</v>
      </c>
      <c r="D4" s="677">
        <v>6</v>
      </c>
      <c r="E4" s="1171">
        <f t="shared" si="0"/>
        <v>1</v>
      </c>
      <c r="F4" s="338">
        <f t="shared" si="1"/>
        <v>2</v>
      </c>
      <c r="I4" s="1169" t="s">
        <v>1864</v>
      </c>
      <c r="J4" s="1168">
        <v>2</v>
      </c>
      <c r="K4" s="1167">
        <v>0.99170949997525049</v>
      </c>
    </row>
    <row r="5" spans="1:11" ht="14.25">
      <c r="A5" s="675" t="s">
        <v>1941</v>
      </c>
      <c r="B5" s="1160" t="s">
        <v>1938</v>
      </c>
      <c r="C5" s="677">
        <v>231</v>
      </c>
      <c r="D5" s="677">
        <v>235</v>
      </c>
      <c r="E5" s="1171">
        <f t="shared" si="0"/>
        <v>0.98297872340425529</v>
      </c>
      <c r="F5" s="338">
        <f t="shared" si="1"/>
        <v>2</v>
      </c>
      <c r="I5" s="1169" t="s">
        <v>1865</v>
      </c>
      <c r="J5" s="1168">
        <v>2</v>
      </c>
      <c r="K5" s="1167">
        <v>1</v>
      </c>
    </row>
    <row r="6" spans="1:11" ht="15" thickBot="1">
      <c r="A6" s="679" t="s">
        <v>1942</v>
      </c>
      <c r="B6" s="680" t="s">
        <v>1938</v>
      </c>
      <c r="C6" s="681">
        <v>15</v>
      </c>
      <c r="D6" s="681">
        <v>15</v>
      </c>
      <c r="E6" s="1174">
        <f t="shared" si="0"/>
        <v>1</v>
      </c>
      <c r="F6" s="339">
        <f t="shared" si="1"/>
        <v>2</v>
      </c>
      <c r="I6" s="1169" t="s">
        <v>1863</v>
      </c>
      <c r="J6" s="1168">
        <v>2</v>
      </c>
      <c r="K6" s="1167">
        <v>0.98956796628029497</v>
      </c>
    </row>
    <row r="7" spans="1:11" ht="14.25">
      <c r="A7" s="1182" t="s">
        <v>1937</v>
      </c>
      <c r="B7" s="682" t="s">
        <v>1943</v>
      </c>
      <c r="C7" s="705">
        <v>2013</v>
      </c>
      <c r="D7" s="705">
        <v>2029</v>
      </c>
      <c r="E7" s="1183">
        <f t="shared" si="0"/>
        <v>0.99211434204041404</v>
      </c>
      <c r="F7" s="1184">
        <f t="shared" si="1"/>
        <v>2</v>
      </c>
      <c r="I7" s="1169" t="s">
        <v>1866</v>
      </c>
      <c r="J7" s="1168">
        <v>2</v>
      </c>
      <c r="K7" s="1167">
        <v>0.98887998103987351</v>
      </c>
    </row>
    <row r="8" spans="1:11" ht="14.25">
      <c r="A8" s="675" t="s">
        <v>1939</v>
      </c>
      <c r="B8" s="1160" t="s">
        <v>1943</v>
      </c>
      <c r="C8" s="677">
        <v>14</v>
      </c>
      <c r="D8" s="677">
        <v>14</v>
      </c>
      <c r="E8" s="1171">
        <f t="shared" si="0"/>
        <v>1</v>
      </c>
      <c r="F8" s="338">
        <f t="shared" si="1"/>
        <v>2</v>
      </c>
    </row>
    <row r="9" spans="1:11" ht="14.25">
      <c r="A9" s="675" t="s">
        <v>1940</v>
      </c>
      <c r="B9" s="1160" t="s">
        <v>1943</v>
      </c>
      <c r="C9" s="677">
        <v>169</v>
      </c>
      <c r="D9" s="677">
        <v>172</v>
      </c>
      <c r="E9" s="1171">
        <f t="shared" si="0"/>
        <v>0.98255813953488369</v>
      </c>
      <c r="F9" s="338">
        <f t="shared" si="1"/>
        <v>2</v>
      </c>
    </row>
    <row r="10" spans="1:11" ht="14.25">
      <c r="A10" s="675" t="s">
        <v>1941</v>
      </c>
      <c r="B10" s="1160" t="s">
        <v>1943</v>
      </c>
      <c r="C10" s="690"/>
      <c r="D10" s="690"/>
      <c r="E10" s="1176"/>
      <c r="F10" s="1177"/>
    </row>
    <row r="11" spans="1:11" ht="15" thickBot="1">
      <c r="A11" s="679" t="s">
        <v>1942</v>
      </c>
      <c r="B11" s="680" t="s">
        <v>1943</v>
      </c>
      <c r="C11" s="681">
        <v>39</v>
      </c>
      <c r="D11" s="681">
        <v>39</v>
      </c>
      <c r="E11" s="1178">
        <f t="shared" si="0"/>
        <v>1</v>
      </c>
      <c r="F11" s="1179">
        <f t="shared" si="1"/>
        <v>2</v>
      </c>
      <c r="J11" s="325" t="s">
        <v>1961</v>
      </c>
    </row>
    <row r="12" spans="1:11" ht="14.25">
      <c r="A12" s="672" t="s">
        <v>1864</v>
      </c>
      <c r="B12" s="673" t="s">
        <v>1944</v>
      </c>
      <c r="C12" s="674">
        <v>2752</v>
      </c>
      <c r="D12" s="674">
        <v>2763</v>
      </c>
      <c r="E12" s="1173">
        <f t="shared" si="0"/>
        <v>0.99601882012305465</v>
      </c>
      <c r="F12" s="333">
        <f t="shared" si="1"/>
        <v>2</v>
      </c>
      <c r="J12" s="325" t="s">
        <v>1962</v>
      </c>
    </row>
    <row r="13" spans="1:11" ht="14.25">
      <c r="A13" s="675" t="s">
        <v>1865</v>
      </c>
      <c r="B13" s="1160" t="s">
        <v>1944</v>
      </c>
      <c r="C13" s="690"/>
      <c r="D13" s="690"/>
      <c r="E13" s="1176"/>
      <c r="F13" s="1177"/>
      <c r="J13" s="325" t="s">
        <v>1963</v>
      </c>
    </row>
    <row r="14" spans="1:11" ht="14.25">
      <c r="A14" s="675" t="s">
        <v>1866</v>
      </c>
      <c r="B14" s="1160" t="s">
        <v>1944</v>
      </c>
      <c r="C14" s="690"/>
      <c r="D14" s="690"/>
      <c r="E14" s="1176"/>
      <c r="F14" s="1177"/>
    </row>
    <row r="15" spans="1:11" ht="14.25">
      <c r="A15" s="675" t="s">
        <v>1867</v>
      </c>
      <c r="B15" s="1160" t="s">
        <v>1944</v>
      </c>
      <c r="C15" s="677">
        <v>780</v>
      </c>
      <c r="D15" s="677">
        <v>795</v>
      </c>
      <c r="E15" s="1171">
        <f>C15/D15</f>
        <v>0.98113207547169812</v>
      </c>
      <c r="F15" s="338">
        <f t="shared" si="1"/>
        <v>2</v>
      </c>
    </row>
    <row r="16" spans="1:11" ht="15" thickBot="1">
      <c r="A16" s="679" t="s">
        <v>1863</v>
      </c>
      <c r="B16" s="680" t="s">
        <v>1944</v>
      </c>
      <c r="C16" s="681">
        <v>83</v>
      </c>
      <c r="D16" s="681">
        <v>84</v>
      </c>
      <c r="E16" s="1178">
        <f>C16/D16</f>
        <v>0.98809523809523814</v>
      </c>
      <c r="F16" s="1179">
        <f t="shared" si="1"/>
        <v>2</v>
      </c>
    </row>
    <row r="17" spans="1:10" ht="14.25">
      <c r="A17" s="672" t="s">
        <v>1937</v>
      </c>
      <c r="B17" s="673" t="s">
        <v>1945</v>
      </c>
      <c r="C17" s="1185">
        <v>310</v>
      </c>
      <c r="D17" s="1185">
        <v>313</v>
      </c>
      <c r="E17" s="1180">
        <f>C17/D17</f>
        <v>0.99041533546325877</v>
      </c>
      <c r="F17" s="1181">
        <f t="shared" si="1"/>
        <v>2</v>
      </c>
      <c r="I17" s="641" t="s">
        <v>1995</v>
      </c>
    </row>
    <row r="18" spans="1:10" ht="14.25">
      <c r="A18" s="675" t="s">
        <v>1939</v>
      </c>
      <c r="B18" s="1160" t="s">
        <v>1945</v>
      </c>
      <c r="C18" s="1187"/>
      <c r="D18" s="1187"/>
      <c r="E18" s="1188"/>
      <c r="F18" s="1189"/>
      <c r="I18" s="641" t="s">
        <v>1996</v>
      </c>
    </row>
    <row r="19" spans="1:10" ht="14.25">
      <c r="A19" s="675" t="s">
        <v>1940</v>
      </c>
      <c r="B19" s="1160" t="s">
        <v>1945</v>
      </c>
      <c r="C19" s="677">
        <v>394</v>
      </c>
      <c r="D19" s="677">
        <v>402</v>
      </c>
      <c r="E19" s="1171">
        <f>C19/D19</f>
        <v>0.98009950248756217</v>
      </c>
      <c r="F19" s="338">
        <f t="shared" si="1"/>
        <v>2</v>
      </c>
      <c r="I19" s="641" t="s">
        <v>1997</v>
      </c>
    </row>
    <row r="20" spans="1:10" ht="14.25">
      <c r="A20" s="675" t="s">
        <v>1941</v>
      </c>
      <c r="B20" s="1160" t="s">
        <v>1945</v>
      </c>
      <c r="C20" s="1187"/>
      <c r="D20" s="1187"/>
      <c r="E20" s="1188"/>
      <c r="F20" s="1189"/>
    </row>
    <row r="21" spans="1:10" ht="15" thickBot="1">
      <c r="A21" s="1190" t="s">
        <v>1942</v>
      </c>
      <c r="B21" s="703" t="s">
        <v>1945</v>
      </c>
      <c r="C21" s="1191">
        <v>7</v>
      </c>
      <c r="D21" s="1191">
        <v>7</v>
      </c>
      <c r="E21" s="1183">
        <f t="shared" ref="E21:E32" si="2">C21/D21</f>
        <v>1</v>
      </c>
      <c r="F21" s="1184">
        <f t="shared" si="1"/>
        <v>2</v>
      </c>
    </row>
    <row r="22" spans="1:10" ht="14.25">
      <c r="A22" s="672" t="s">
        <v>1937</v>
      </c>
      <c r="B22" s="673" t="s">
        <v>1946</v>
      </c>
      <c r="C22" s="674">
        <v>3084</v>
      </c>
      <c r="D22" s="674">
        <v>3106</v>
      </c>
      <c r="E22" s="1173">
        <f>C22/D22</f>
        <v>0.99291693496458466</v>
      </c>
      <c r="F22" s="333">
        <f>IF(E22&gt;=0.9,2,IF(E22&gt;=0.8,1,IF(E22&gt;=0.7,0.5,0)))</f>
        <v>2</v>
      </c>
    </row>
    <row r="23" spans="1:10" ht="14.25">
      <c r="A23" s="675" t="s">
        <v>1939</v>
      </c>
      <c r="B23" s="1160" t="s">
        <v>1946</v>
      </c>
      <c r="C23" s="677">
        <v>2</v>
      </c>
      <c r="D23" s="677">
        <v>2</v>
      </c>
      <c r="E23" s="1171">
        <f>C23/D23</f>
        <v>1</v>
      </c>
      <c r="F23" s="338">
        <f>IF(E23&gt;=0.9,2,IF(E23&gt;=0.8,1,IF(E23&gt;=0.7,0.5,0)))</f>
        <v>2</v>
      </c>
    </row>
    <row r="24" spans="1:10" ht="14.25">
      <c r="A24" s="675" t="s">
        <v>1940</v>
      </c>
      <c r="B24" s="1160" t="s">
        <v>1946</v>
      </c>
      <c r="C24" s="1187"/>
      <c r="D24" s="1187"/>
      <c r="E24" s="1188"/>
      <c r="F24" s="1189"/>
    </row>
    <row r="25" spans="1:10" ht="14.25">
      <c r="A25" s="675" t="s">
        <v>1941</v>
      </c>
      <c r="B25" s="1160" t="s">
        <v>1946</v>
      </c>
      <c r="C25" s="677">
        <v>665</v>
      </c>
      <c r="D25" s="677">
        <v>685</v>
      </c>
      <c r="E25" s="1171">
        <f t="shared" si="2"/>
        <v>0.97080291970802923</v>
      </c>
      <c r="F25" s="338">
        <f t="shared" si="1"/>
        <v>2</v>
      </c>
    </row>
    <row r="26" spans="1:10" ht="15" thickBot="1">
      <c r="A26" s="1190" t="s">
        <v>1942</v>
      </c>
      <c r="B26" s="703" t="s">
        <v>1946</v>
      </c>
      <c r="C26" s="704">
        <v>61</v>
      </c>
      <c r="D26" s="704">
        <v>64</v>
      </c>
      <c r="E26" s="1172">
        <f t="shared" si="2"/>
        <v>0.953125</v>
      </c>
      <c r="F26" s="1192">
        <f t="shared" si="1"/>
        <v>2</v>
      </c>
    </row>
    <row r="27" spans="1:10" ht="14.25">
      <c r="A27" s="672" t="s">
        <v>1937</v>
      </c>
      <c r="B27" s="673" t="s">
        <v>1947</v>
      </c>
      <c r="C27" s="674">
        <v>2185</v>
      </c>
      <c r="D27" s="674">
        <v>2203</v>
      </c>
      <c r="E27" s="1173">
        <f t="shared" si="2"/>
        <v>0.99182932364956877</v>
      </c>
      <c r="F27" s="333">
        <f t="shared" si="1"/>
        <v>2</v>
      </c>
      <c r="J27" s="532"/>
    </row>
    <row r="28" spans="1:10" ht="14.25">
      <c r="A28" s="675" t="s">
        <v>1939</v>
      </c>
      <c r="B28" s="1160" t="s">
        <v>1947</v>
      </c>
      <c r="C28" s="677">
        <v>8</v>
      </c>
      <c r="D28" s="677">
        <v>8</v>
      </c>
      <c r="E28" s="1171">
        <f t="shared" si="2"/>
        <v>1</v>
      </c>
      <c r="F28" s="338">
        <f t="shared" si="1"/>
        <v>2</v>
      </c>
    </row>
    <row r="29" spans="1:10" ht="14.25">
      <c r="A29" s="675" t="s">
        <v>1940</v>
      </c>
      <c r="B29" s="1160" t="s">
        <v>1947</v>
      </c>
      <c r="C29" s="677">
        <v>137</v>
      </c>
      <c r="D29" s="677">
        <v>144</v>
      </c>
      <c r="E29" s="1171">
        <f t="shared" si="2"/>
        <v>0.95138888888888884</v>
      </c>
      <c r="F29" s="338">
        <f t="shared" si="1"/>
        <v>2</v>
      </c>
    </row>
    <row r="30" spans="1:10" ht="14.25">
      <c r="A30" s="675" t="s">
        <v>1941</v>
      </c>
      <c r="B30" s="1160" t="s">
        <v>1947</v>
      </c>
      <c r="C30" s="677">
        <v>1141</v>
      </c>
      <c r="D30" s="677">
        <v>1151</v>
      </c>
      <c r="E30" s="1171">
        <f t="shared" si="2"/>
        <v>0.99131190269331015</v>
      </c>
      <c r="F30" s="338">
        <f t="shared" si="1"/>
        <v>2</v>
      </c>
    </row>
    <row r="31" spans="1:10" ht="15" thickBot="1">
      <c r="A31" s="1190" t="s">
        <v>1942</v>
      </c>
      <c r="B31" s="703" t="s">
        <v>1947</v>
      </c>
      <c r="C31" s="704">
        <v>62</v>
      </c>
      <c r="D31" s="704">
        <v>64</v>
      </c>
      <c r="E31" s="1172">
        <f t="shared" si="2"/>
        <v>0.96875</v>
      </c>
      <c r="F31" s="1192">
        <f t="shared" si="1"/>
        <v>2</v>
      </c>
    </row>
    <row r="32" spans="1:10" ht="14.25">
      <c r="A32" s="672" t="s">
        <v>1864</v>
      </c>
      <c r="B32" s="673" t="s">
        <v>1948</v>
      </c>
      <c r="C32" s="674">
        <v>767</v>
      </c>
      <c r="D32" s="674">
        <v>773</v>
      </c>
      <c r="E32" s="1173">
        <f t="shared" si="2"/>
        <v>0.99223803363518759</v>
      </c>
      <c r="F32" s="333">
        <f t="shared" si="1"/>
        <v>2</v>
      </c>
    </row>
    <row r="33" spans="1:6" ht="14.25">
      <c r="A33" s="675" t="s">
        <v>1865</v>
      </c>
      <c r="B33" s="1160" t="s">
        <v>1948</v>
      </c>
      <c r="C33" s="690"/>
      <c r="D33" s="690"/>
      <c r="E33" s="1176"/>
      <c r="F33" s="1177"/>
    </row>
    <row r="34" spans="1:6" ht="14.25">
      <c r="A34" s="675" t="s">
        <v>1866</v>
      </c>
      <c r="B34" s="1160" t="s">
        <v>1948</v>
      </c>
      <c r="C34" s="690"/>
      <c r="D34" s="690"/>
      <c r="E34" s="1176"/>
      <c r="F34" s="1177"/>
    </row>
    <row r="35" spans="1:6" ht="14.25">
      <c r="A35" s="675" t="s">
        <v>1867</v>
      </c>
      <c r="B35" s="1160" t="s">
        <v>1948</v>
      </c>
      <c r="C35" s="677">
        <v>2</v>
      </c>
      <c r="D35" s="677">
        <v>2</v>
      </c>
      <c r="E35" s="1171">
        <f t="shared" ref="E35" si="3">C35/D35</f>
        <v>1</v>
      </c>
      <c r="F35" s="338">
        <f t="shared" si="1"/>
        <v>2</v>
      </c>
    </row>
    <row r="36" spans="1:6" ht="15" thickBot="1">
      <c r="A36" s="1190" t="s">
        <v>1863</v>
      </c>
      <c r="B36" s="703" t="s">
        <v>1948</v>
      </c>
      <c r="C36" s="704">
        <v>16</v>
      </c>
      <c r="D36" s="704">
        <v>16</v>
      </c>
      <c r="E36" s="1172">
        <f t="shared" ref="E36:E42" si="4">C36/D36</f>
        <v>1</v>
      </c>
      <c r="F36" s="1192">
        <f t="shared" si="1"/>
        <v>2</v>
      </c>
    </row>
    <row r="37" spans="1:6" ht="14.25">
      <c r="A37" s="672" t="s">
        <v>1937</v>
      </c>
      <c r="B37" s="673" t="s">
        <v>1949</v>
      </c>
      <c r="C37" s="674">
        <v>1507</v>
      </c>
      <c r="D37" s="674">
        <v>1523</v>
      </c>
      <c r="E37" s="1173">
        <f t="shared" si="4"/>
        <v>0.98949441891004597</v>
      </c>
      <c r="F37" s="333">
        <f t="shared" si="1"/>
        <v>2</v>
      </c>
    </row>
    <row r="38" spans="1:6" ht="14.25">
      <c r="A38" s="675" t="s">
        <v>1939</v>
      </c>
      <c r="B38" s="1160" t="s">
        <v>1949</v>
      </c>
      <c r="C38" s="690"/>
      <c r="D38" s="690"/>
      <c r="E38" s="1176"/>
      <c r="F38" s="1177"/>
    </row>
    <row r="39" spans="1:6" ht="14.25">
      <c r="A39" s="675" t="s">
        <v>1940</v>
      </c>
      <c r="B39" s="1160" t="s">
        <v>1949</v>
      </c>
      <c r="C39" s="677">
        <v>243</v>
      </c>
      <c r="D39" s="677">
        <v>259</v>
      </c>
      <c r="E39" s="1171">
        <f t="shared" si="4"/>
        <v>0.93822393822393824</v>
      </c>
      <c r="F39" s="338">
        <f t="shared" si="1"/>
        <v>2</v>
      </c>
    </row>
    <row r="40" spans="1:6" ht="14.25">
      <c r="A40" s="675" t="s">
        <v>1941</v>
      </c>
      <c r="B40" s="1160" t="s">
        <v>1949</v>
      </c>
      <c r="C40" s="677">
        <v>508</v>
      </c>
      <c r="D40" s="677">
        <v>512</v>
      </c>
      <c r="E40" s="1171">
        <f t="shared" si="4"/>
        <v>0.9921875</v>
      </c>
      <c r="F40" s="338">
        <f t="shared" si="1"/>
        <v>2</v>
      </c>
    </row>
    <row r="41" spans="1:6" ht="15" thickBot="1">
      <c r="A41" s="1190" t="s">
        <v>1942</v>
      </c>
      <c r="B41" s="703" t="s">
        <v>1949</v>
      </c>
      <c r="C41" s="704">
        <v>32</v>
      </c>
      <c r="D41" s="704">
        <v>32</v>
      </c>
      <c r="E41" s="1172">
        <f t="shared" si="4"/>
        <v>1</v>
      </c>
      <c r="F41" s="1192">
        <f t="shared" si="1"/>
        <v>2</v>
      </c>
    </row>
    <row r="42" spans="1:6" ht="14.25">
      <c r="A42" s="672" t="s">
        <v>1937</v>
      </c>
      <c r="B42" s="673" t="s">
        <v>1950</v>
      </c>
      <c r="C42" s="674">
        <v>715</v>
      </c>
      <c r="D42" s="674">
        <v>729</v>
      </c>
      <c r="E42" s="1173">
        <f t="shared" si="4"/>
        <v>0.98079561042524011</v>
      </c>
      <c r="F42" s="333">
        <f t="shared" si="1"/>
        <v>2</v>
      </c>
    </row>
    <row r="43" spans="1:6" ht="14.25">
      <c r="A43" s="675" t="s">
        <v>1939</v>
      </c>
      <c r="B43" s="1160" t="s">
        <v>1950</v>
      </c>
      <c r="C43" s="690"/>
      <c r="D43" s="690"/>
      <c r="E43" s="1176"/>
      <c r="F43" s="1177"/>
    </row>
    <row r="44" spans="1:6" ht="14.25">
      <c r="A44" s="675" t="s">
        <v>1940</v>
      </c>
      <c r="B44" s="1160" t="s">
        <v>1950</v>
      </c>
      <c r="C44" s="690"/>
      <c r="D44" s="690"/>
      <c r="E44" s="1176"/>
      <c r="F44" s="1177"/>
    </row>
    <row r="45" spans="1:6" ht="14.25">
      <c r="A45" s="675" t="s">
        <v>1941</v>
      </c>
      <c r="B45" s="1160" t="s">
        <v>1950</v>
      </c>
      <c r="C45" s="677">
        <v>203</v>
      </c>
      <c r="D45" s="677">
        <v>220</v>
      </c>
      <c r="E45" s="1171">
        <f t="shared" ref="E45:E51" si="5">C45/D45</f>
        <v>0.92272727272727273</v>
      </c>
      <c r="F45" s="338">
        <f t="shared" si="1"/>
        <v>2</v>
      </c>
    </row>
    <row r="46" spans="1:6" ht="15" thickBot="1">
      <c r="A46" s="1190" t="s">
        <v>1942</v>
      </c>
      <c r="B46" s="703" t="s">
        <v>1950</v>
      </c>
      <c r="C46" s="704">
        <v>15</v>
      </c>
      <c r="D46" s="704">
        <v>15</v>
      </c>
      <c r="E46" s="1172">
        <f t="shared" si="5"/>
        <v>1</v>
      </c>
      <c r="F46" s="1192">
        <f t="shared" si="1"/>
        <v>2</v>
      </c>
    </row>
    <row r="47" spans="1:6" ht="14.25">
      <c r="A47" s="672" t="s">
        <v>1864</v>
      </c>
      <c r="B47" s="673" t="s">
        <v>1951</v>
      </c>
      <c r="C47" s="674">
        <v>934</v>
      </c>
      <c r="D47" s="674">
        <v>944</v>
      </c>
      <c r="E47" s="1173">
        <f t="shared" si="5"/>
        <v>0.98940677966101698</v>
      </c>
      <c r="F47" s="333">
        <f t="shared" si="1"/>
        <v>2</v>
      </c>
    </row>
    <row r="48" spans="1:6" ht="14.25">
      <c r="A48" s="675" t="s">
        <v>1865</v>
      </c>
      <c r="B48" s="1160" t="s">
        <v>1951</v>
      </c>
      <c r="C48" s="677">
        <v>1</v>
      </c>
      <c r="D48" s="677">
        <v>1</v>
      </c>
      <c r="E48" s="1171">
        <f t="shared" si="5"/>
        <v>1</v>
      </c>
      <c r="F48" s="338">
        <f t="shared" si="1"/>
        <v>2</v>
      </c>
    </row>
    <row r="49" spans="1:6" ht="14.25">
      <c r="A49" s="675" t="s">
        <v>1866</v>
      </c>
      <c r="B49" s="1160" t="s">
        <v>1951</v>
      </c>
      <c r="C49" s="677">
        <v>5</v>
      </c>
      <c r="D49" s="677">
        <v>5</v>
      </c>
      <c r="E49" s="1171">
        <f t="shared" si="5"/>
        <v>1</v>
      </c>
      <c r="F49" s="338">
        <f t="shared" si="1"/>
        <v>2</v>
      </c>
    </row>
    <row r="50" spans="1:6" ht="14.25">
      <c r="A50" s="675" t="s">
        <v>1867</v>
      </c>
      <c r="B50" s="1160" t="s">
        <v>1951</v>
      </c>
      <c r="C50" s="677">
        <v>316</v>
      </c>
      <c r="D50" s="677">
        <v>328</v>
      </c>
      <c r="E50" s="1171">
        <f t="shared" si="5"/>
        <v>0.96341463414634143</v>
      </c>
      <c r="F50" s="338">
        <f t="shared" si="1"/>
        <v>2</v>
      </c>
    </row>
    <row r="51" spans="1:6" ht="15" thickBot="1">
      <c r="A51" s="679" t="s">
        <v>1863</v>
      </c>
      <c r="B51" s="680" t="s">
        <v>1951</v>
      </c>
      <c r="C51" s="681">
        <v>19</v>
      </c>
      <c r="D51" s="681">
        <v>19</v>
      </c>
      <c r="E51" s="1174">
        <f t="shared" si="5"/>
        <v>1</v>
      </c>
      <c r="F51" s="339">
        <f t="shared" si="1"/>
        <v>2</v>
      </c>
    </row>
  </sheetData>
  <mergeCells count="1">
    <mergeCell ref="I1:K1"/>
  </mergeCells>
  <phoneticPr fontId="3" type="noConversion"/>
  <conditionalFormatting sqref="F2:F9 F11:F12 F15:F17 F19 F21:F23 F25:F32 F36:F37 F39:F42 F45:F51">
    <cfRule type="cellIs" dxfId="424" priority="2" operator="lessThan">
      <formula>2</formula>
    </cfRule>
  </conditionalFormatting>
  <conditionalFormatting sqref="F35">
    <cfRule type="cellIs" dxfId="6" priority="1" operator="lessThan">
      <formula>2</formula>
    </cfRule>
  </conditionalFormatting>
  <hyperlinks>
    <hyperlink ref="I17" location="'总公司绩效-II'!A1" display="总公司绩效-II"/>
    <hyperlink ref="I18" location="目录!A1" display="目录"/>
    <hyperlink ref="I19" location="'OR04-分公司销售、承保、保全'!A1" display="OR04"/>
  </hyperlinks>
  <pageMargins left="0.7" right="0.7" top="0.75" bottom="0.75" header="0.3" footer="0.3"/>
</worksheet>
</file>

<file path=xl/worksheets/sheet20.xml><?xml version="1.0" encoding="utf-8"?>
<worksheet xmlns="http://schemas.openxmlformats.org/spreadsheetml/2006/main" xmlns:r="http://schemas.openxmlformats.org/officeDocument/2006/relationships">
  <sheetPr codeName="Sheet5">
    <tabColor theme="6"/>
  </sheetPr>
  <dimension ref="A1:X85"/>
  <sheetViews>
    <sheetView workbookViewId="0">
      <pane xSplit="8" ySplit="3" topLeftCell="I31" activePane="bottomRight" state="frozenSplit"/>
      <selection activeCell="C1" sqref="C1"/>
      <selection pane="topRight" activeCell="T1" sqref="T1"/>
      <selection pane="bottomLeft" activeCell="C15" sqref="C15"/>
      <selection pane="bottomRight" activeCell="D52" sqref="D52"/>
    </sheetView>
  </sheetViews>
  <sheetFormatPr defaultColWidth="8.875" defaultRowHeight="16.5" outlineLevelCol="1"/>
  <cols>
    <col min="1" max="1" width="20.75" style="944" hidden="1" customWidth="1" outlineLevel="1"/>
    <col min="2" max="2" width="20.75" style="1014" hidden="1" customWidth="1" outlineLevel="1"/>
    <col min="3" max="3" width="4.625" style="1015" customWidth="1" collapsed="1"/>
    <col min="4" max="4" width="29.75" style="944" customWidth="1"/>
    <col min="5" max="5" width="13.125" style="1017" customWidth="1"/>
    <col min="6" max="6" width="11.5" style="1018" hidden="1" customWidth="1" outlineLevel="1"/>
    <col min="7" max="7" width="10.5" style="944" hidden="1" customWidth="1" outlineLevel="1"/>
    <col min="8" max="8" width="9" style="944" customWidth="1" collapsed="1"/>
    <col min="9" max="9" width="10.75" style="944" hidden="1" customWidth="1" outlineLevel="1"/>
    <col min="10" max="10" width="12.5" style="944" hidden="1" customWidth="1" outlineLevel="1"/>
    <col min="11" max="11" width="9.75" style="944" hidden="1" customWidth="1" outlineLevel="1"/>
    <col min="12" max="12" width="13.375" style="1019" customWidth="1" collapsed="1"/>
    <col min="13" max="13" width="10.875" style="1019" customWidth="1"/>
    <col min="14" max="14" width="16.125" style="1020" customWidth="1"/>
    <col min="15" max="15" width="9.375" style="581" customWidth="1"/>
    <col min="16" max="16" width="9.5" style="944" customWidth="1"/>
    <col min="17" max="17" width="10" style="944" customWidth="1"/>
    <col min="18" max="19" width="9" style="944" customWidth="1"/>
    <col min="20" max="20" width="8.625" style="944" customWidth="1"/>
    <col min="21" max="21" width="10.25" style="944" customWidth="1"/>
    <col min="22" max="22" width="10.375" style="944" customWidth="1"/>
    <col min="23" max="24" width="9" style="944" customWidth="1"/>
    <col min="25" max="16384" width="8.875" style="944"/>
  </cols>
  <sheetData>
    <row r="1" spans="1:22">
      <c r="A1" s="939"/>
      <c r="B1" s="940"/>
      <c r="C1" s="941" t="s">
        <v>109</v>
      </c>
      <c r="D1" s="942"/>
      <c r="E1" s="943"/>
      <c r="F1" s="939"/>
      <c r="L1" s="945"/>
      <c r="M1" s="945"/>
      <c r="N1" s="946"/>
      <c r="O1" s="577"/>
    </row>
    <row r="2" spans="1:22">
      <c r="A2" s="947"/>
      <c r="B2" s="948"/>
      <c r="C2" s="949"/>
      <c r="D2" s="949"/>
      <c r="E2" s="943"/>
      <c r="F2" s="949"/>
      <c r="L2" s="945"/>
      <c r="M2" s="945"/>
      <c r="N2" s="946"/>
      <c r="O2" s="577"/>
      <c r="Q2" s="950" t="s">
        <v>1656</v>
      </c>
    </row>
    <row r="3" spans="1:22" s="957" customFormat="1" ht="15">
      <c r="A3" s="951" t="s">
        <v>395</v>
      </c>
      <c r="B3" s="951" t="s">
        <v>396</v>
      </c>
      <c r="C3" s="952" t="s">
        <v>188</v>
      </c>
      <c r="D3" s="953" t="s">
        <v>183</v>
      </c>
      <c r="E3" s="953" t="s">
        <v>1523</v>
      </c>
      <c r="F3" s="953" t="s">
        <v>1524</v>
      </c>
      <c r="G3" s="953" t="s">
        <v>1559</v>
      </c>
      <c r="H3" s="953" t="s">
        <v>1556</v>
      </c>
      <c r="I3" s="953"/>
      <c r="J3" s="953"/>
      <c r="K3" s="953"/>
      <c r="L3" s="953" t="s">
        <v>1557</v>
      </c>
      <c r="M3" s="953" t="s">
        <v>1421</v>
      </c>
      <c r="N3" s="954" t="s">
        <v>2255</v>
      </c>
      <c r="O3" s="578" t="s">
        <v>1558</v>
      </c>
      <c r="P3" s="954" t="s">
        <v>2258</v>
      </c>
      <c r="Q3" s="953" t="s">
        <v>2159</v>
      </c>
      <c r="R3" s="955" t="s">
        <v>1101</v>
      </c>
      <c r="S3" s="956" t="s">
        <v>1560</v>
      </c>
      <c r="T3" s="956" t="s">
        <v>1603</v>
      </c>
      <c r="U3" s="956" t="s">
        <v>1604</v>
      </c>
      <c r="V3" s="956" t="s">
        <v>1605</v>
      </c>
    </row>
    <row r="4" spans="1:22" s="957" customFormat="1" ht="15.6" customHeight="1">
      <c r="A4" s="958" t="s">
        <v>320</v>
      </c>
      <c r="B4" s="959" t="s">
        <v>1859</v>
      </c>
      <c r="C4" s="960">
        <v>1</v>
      </c>
      <c r="D4" s="1433" t="s">
        <v>1716</v>
      </c>
      <c r="E4" s="961" t="s">
        <v>206</v>
      </c>
      <c r="F4" s="962" t="s">
        <v>404</v>
      </c>
      <c r="G4" s="963" t="s">
        <v>232</v>
      </c>
      <c r="H4" s="964">
        <v>6</v>
      </c>
      <c r="I4" s="963" t="s">
        <v>110</v>
      </c>
      <c r="J4" s="963" t="s">
        <v>111</v>
      </c>
      <c r="K4" s="963" t="s">
        <v>112</v>
      </c>
      <c r="L4" s="965" t="s">
        <v>110</v>
      </c>
      <c r="M4" s="972" t="s">
        <v>112</v>
      </c>
      <c r="N4" s="972" t="s">
        <v>1720</v>
      </c>
      <c r="O4" s="579">
        <f>IF((N4=M4)=TRUE,0,1)</f>
        <v>0</v>
      </c>
      <c r="P4" s="967">
        <v>0</v>
      </c>
      <c r="Q4" s="967">
        <v>0</v>
      </c>
      <c r="R4" s="968">
        <f t="shared" ref="R4:R40" si="0">P4-Q4</f>
        <v>0</v>
      </c>
      <c r="S4" s="969">
        <f t="shared" ref="S4:S40" si="1">H4-P4</f>
        <v>6</v>
      </c>
      <c r="T4" s="969">
        <f>S4*0.6</f>
        <v>3.5999999999999996</v>
      </c>
      <c r="U4" s="969">
        <f>T4/9</f>
        <v>0.39999999999999997</v>
      </c>
      <c r="V4" s="969">
        <f>U4/2</f>
        <v>0.19999999999999998</v>
      </c>
    </row>
    <row r="5" spans="1:22" s="957" customFormat="1" ht="15.6" customHeight="1">
      <c r="A5" s="958"/>
      <c r="B5" s="959"/>
      <c r="C5" s="960">
        <v>2</v>
      </c>
      <c r="D5" s="970" t="s">
        <v>1858</v>
      </c>
      <c r="E5" s="961" t="s">
        <v>206</v>
      </c>
      <c r="F5" s="962" t="s">
        <v>404</v>
      </c>
      <c r="G5" s="963" t="s">
        <v>232</v>
      </c>
      <c r="H5" s="967"/>
      <c r="I5" s="963"/>
      <c r="J5" s="963"/>
      <c r="K5" s="963"/>
      <c r="L5" s="971" t="s">
        <v>641</v>
      </c>
      <c r="M5" s="972" t="s">
        <v>222</v>
      </c>
      <c r="N5" s="972" t="s">
        <v>222</v>
      </c>
      <c r="O5" s="579">
        <f>IF((N5=M5)=TRUE,0,1)</f>
        <v>0</v>
      </c>
      <c r="P5" s="967"/>
      <c r="Q5" s="967"/>
      <c r="R5" s="973">
        <f t="shared" si="0"/>
        <v>0</v>
      </c>
      <c r="S5" s="969">
        <f t="shared" si="1"/>
        <v>0</v>
      </c>
      <c r="T5" s="969">
        <f t="shared" ref="T5:T44" si="2">S5*0.6</f>
        <v>0</v>
      </c>
      <c r="U5" s="969">
        <f t="shared" ref="U5:U44" si="3">T5/9</f>
        <v>0</v>
      </c>
      <c r="V5" s="969">
        <f t="shared" ref="V5:V44" si="4">U5/2</f>
        <v>0</v>
      </c>
    </row>
    <row r="6" spans="1:22" s="957" customFormat="1" ht="15.6" customHeight="1">
      <c r="A6" s="958" t="s">
        <v>321</v>
      </c>
      <c r="B6" s="959" t="s">
        <v>1077</v>
      </c>
      <c r="C6" s="960">
        <v>3</v>
      </c>
      <c r="D6" s="970" t="s">
        <v>191</v>
      </c>
      <c r="E6" s="961" t="s">
        <v>206</v>
      </c>
      <c r="F6" s="962" t="s">
        <v>404</v>
      </c>
      <c r="G6" s="963" t="s">
        <v>232</v>
      </c>
      <c r="H6" s="964">
        <v>4</v>
      </c>
      <c r="I6" s="963"/>
      <c r="J6" s="963"/>
      <c r="K6" s="963"/>
      <c r="L6" s="971"/>
      <c r="M6" s="972">
        <v>37</v>
      </c>
      <c r="N6" s="972">
        <v>37</v>
      </c>
      <c r="O6" s="579">
        <f t="shared" ref="O6:O13" si="5">IF(AND(M6=0,N6&lt;&gt;0),1,IF(AND(M6=0,N6=0),0,N6/M6-1))</f>
        <v>0</v>
      </c>
      <c r="P6" s="967">
        <v>4</v>
      </c>
      <c r="Q6" s="967">
        <v>4</v>
      </c>
      <c r="R6" s="973">
        <f t="shared" si="0"/>
        <v>0</v>
      </c>
      <c r="S6" s="969">
        <f t="shared" si="1"/>
        <v>0</v>
      </c>
      <c r="T6" s="969">
        <f t="shared" si="2"/>
        <v>0</v>
      </c>
      <c r="U6" s="969">
        <f t="shared" si="3"/>
        <v>0</v>
      </c>
      <c r="V6" s="969">
        <f t="shared" si="4"/>
        <v>0</v>
      </c>
    </row>
    <row r="7" spans="1:22" s="957" customFormat="1" ht="15.6" customHeight="1">
      <c r="A7" s="1754" t="s">
        <v>322</v>
      </c>
      <c r="B7" s="1650" t="s">
        <v>1734</v>
      </c>
      <c r="C7" s="960">
        <v>4</v>
      </c>
      <c r="D7" s="970" t="s">
        <v>1733</v>
      </c>
      <c r="E7" s="974"/>
      <c r="F7" s="975" t="s">
        <v>403</v>
      </c>
      <c r="G7" s="963" t="s">
        <v>232</v>
      </c>
      <c r="H7" s="964">
        <v>2</v>
      </c>
      <c r="I7" s="963"/>
      <c r="J7" s="963"/>
      <c r="K7" s="963"/>
      <c r="L7" s="971"/>
      <c r="M7" s="1291">
        <v>0.11904761904761904</v>
      </c>
      <c r="N7" s="1291">
        <f>N8/(N9+N10)</f>
        <v>9.7560975609756101E-2</v>
      </c>
      <c r="O7" s="579">
        <f t="shared" si="5"/>
        <v>-0.18048780487804872</v>
      </c>
      <c r="P7" s="967">
        <f>IF(N7&lt;=0.2,2,0)</f>
        <v>2</v>
      </c>
      <c r="Q7" s="967">
        <f>IF(M7&lt;=0.2,2,0)</f>
        <v>2</v>
      </c>
      <c r="R7" s="973">
        <f t="shared" si="0"/>
        <v>0</v>
      </c>
      <c r="S7" s="969">
        <f t="shared" si="1"/>
        <v>0</v>
      </c>
      <c r="T7" s="969">
        <f t="shared" si="2"/>
        <v>0</v>
      </c>
      <c r="U7" s="969">
        <f t="shared" si="3"/>
        <v>0</v>
      </c>
      <c r="V7" s="969">
        <f t="shared" si="4"/>
        <v>0</v>
      </c>
    </row>
    <row r="8" spans="1:22" s="957" customFormat="1" ht="15.6" customHeight="1">
      <c r="A8" s="1754"/>
      <c r="B8" s="1650"/>
      <c r="C8" s="976">
        <v>4.0999999999999996</v>
      </c>
      <c r="D8" s="977" t="s">
        <v>113</v>
      </c>
      <c r="E8" s="961" t="s">
        <v>206</v>
      </c>
      <c r="F8" s="978"/>
      <c r="G8" s="963"/>
      <c r="H8" s="979"/>
      <c r="I8" s="963"/>
      <c r="J8" s="963"/>
      <c r="K8" s="963"/>
      <c r="L8" s="971" t="s">
        <v>641</v>
      </c>
      <c r="M8" s="972">
        <v>5</v>
      </c>
      <c r="N8" s="972">
        <v>4</v>
      </c>
      <c r="O8" s="579">
        <f t="shared" si="5"/>
        <v>-0.19999999999999996</v>
      </c>
      <c r="P8" s="967"/>
      <c r="Q8" s="967"/>
      <c r="R8" s="973">
        <f t="shared" si="0"/>
        <v>0</v>
      </c>
      <c r="S8" s="969">
        <f t="shared" si="1"/>
        <v>0</v>
      </c>
      <c r="T8" s="969">
        <f t="shared" si="2"/>
        <v>0</v>
      </c>
      <c r="U8" s="969">
        <f t="shared" si="3"/>
        <v>0</v>
      </c>
      <c r="V8" s="969">
        <f t="shared" si="4"/>
        <v>0</v>
      </c>
    </row>
    <row r="9" spans="1:22" s="957" customFormat="1" ht="15.6" customHeight="1">
      <c r="A9" s="1754"/>
      <c r="B9" s="1650"/>
      <c r="C9" s="976">
        <v>4.2</v>
      </c>
      <c r="D9" s="977" t="s">
        <v>114</v>
      </c>
      <c r="E9" s="961" t="s">
        <v>206</v>
      </c>
      <c r="F9" s="978"/>
      <c r="G9" s="963"/>
      <c r="H9" s="979"/>
      <c r="I9" s="963"/>
      <c r="J9" s="963"/>
      <c r="K9" s="963"/>
      <c r="L9" s="971" t="s">
        <v>641</v>
      </c>
      <c r="M9" s="972">
        <v>29</v>
      </c>
      <c r="N9" s="972">
        <v>30</v>
      </c>
      <c r="O9" s="579">
        <f t="shared" si="5"/>
        <v>3.4482758620689724E-2</v>
      </c>
      <c r="P9" s="967"/>
      <c r="Q9" s="967"/>
      <c r="R9" s="973">
        <f t="shared" si="0"/>
        <v>0</v>
      </c>
      <c r="S9" s="969">
        <f t="shared" si="1"/>
        <v>0</v>
      </c>
      <c r="T9" s="969">
        <f t="shared" si="2"/>
        <v>0</v>
      </c>
      <c r="U9" s="969">
        <f t="shared" si="3"/>
        <v>0</v>
      </c>
      <c r="V9" s="969">
        <f t="shared" si="4"/>
        <v>0</v>
      </c>
    </row>
    <row r="10" spans="1:22" s="957" customFormat="1" ht="15.6" customHeight="1">
      <c r="A10" s="1754"/>
      <c r="B10" s="1650"/>
      <c r="C10" s="976">
        <v>4.3</v>
      </c>
      <c r="D10" s="977" t="s">
        <v>115</v>
      </c>
      <c r="E10" s="961" t="s">
        <v>206</v>
      </c>
      <c r="F10" s="980"/>
      <c r="G10" s="963"/>
      <c r="H10" s="979"/>
      <c r="I10" s="963"/>
      <c r="J10" s="963"/>
      <c r="K10" s="963"/>
      <c r="L10" s="971" t="s">
        <v>641</v>
      </c>
      <c r="M10" s="972">
        <v>13</v>
      </c>
      <c r="N10" s="972">
        <v>11</v>
      </c>
      <c r="O10" s="579">
        <f t="shared" si="5"/>
        <v>-0.15384615384615385</v>
      </c>
      <c r="P10" s="967"/>
      <c r="Q10" s="967"/>
      <c r="R10" s="973">
        <f t="shared" si="0"/>
        <v>0</v>
      </c>
      <c r="S10" s="969">
        <f t="shared" si="1"/>
        <v>0</v>
      </c>
      <c r="T10" s="969">
        <f t="shared" si="2"/>
        <v>0</v>
      </c>
      <c r="U10" s="969">
        <f t="shared" si="3"/>
        <v>0</v>
      </c>
      <c r="V10" s="969">
        <f t="shared" si="4"/>
        <v>0</v>
      </c>
    </row>
    <row r="11" spans="1:22" s="957" customFormat="1" ht="15.6" customHeight="1">
      <c r="A11" s="958" t="s">
        <v>323</v>
      </c>
      <c r="B11" s="959" t="s">
        <v>324</v>
      </c>
      <c r="C11" s="960">
        <v>5</v>
      </c>
      <c r="D11" s="970" t="s">
        <v>1735</v>
      </c>
      <c r="E11" s="974"/>
      <c r="F11" s="975" t="s">
        <v>403</v>
      </c>
      <c r="G11" s="963" t="s">
        <v>232</v>
      </c>
      <c r="H11" s="964">
        <v>4</v>
      </c>
      <c r="I11" s="963"/>
      <c r="J11" s="963"/>
      <c r="K11" s="963"/>
      <c r="L11" s="971"/>
      <c r="M11" s="1292">
        <v>16.810810810810811</v>
      </c>
      <c r="N11" s="1292">
        <f>N12/N13</f>
        <v>15.054054054054054</v>
      </c>
      <c r="O11" s="579">
        <f t="shared" si="5"/>
        <v>-0.10450160771704176</v>
      </c>
      <c r="P11" s="967">
        <f>IF(N11&gt;=2,4,0)</f>
        <v>4</v>
      </c>
      <c r="Q11" s="967">
        <f>IF(M11&gt;=2,4,0)</f>
        <v>4</v>
      </c>
      <c r="R11" s="973">
        <f t="shared" si="0"/>
        <v>0</v>
      </c>
      <c r="S11" s="969">
        <f t="shared" si="1"/>
        <v>0</v>
      </c>
      <c r="T11" s="969">
        <f t="shared" si="2"/>
        <v>0</v>
      </c>
      <c r="U11" s="969">
        <f t="shared" si="3"/>
        <v>0</v>
      </c>
      <c r="V11" s="969">
        <f t="shared" si="4"/>
        <v>0</v>
      </c>
    </row>
    <row r="12" spans="1:22" s="957" customFormat="1" ht="15.6" customHeight="1">
      <c r="A12" s="958"/>
      <c r="B12" s="959"/>
      <c r="C12" s="976">
        <v>5.0999999999999996</v>
      </c>
      <c r="D12" s="977" t="s">
        <v>192</v>
      </c>
      <c r="E12" s="961" t="s">
        <v>2128</v>
      </c>
      <c r="F12" s="978"/>
      <c r="G12" s="963"/>
      <c r="H12" s="967"/>
      <c r="I12" s="963"/>
      <c r="J12" s="963"/>
      <c r="K12" s="963"/>
      <c r="L12" s="971" t="s">
        <v>642</v>
      </c>
      <c r="M12" s="972">
        <v>622</v>
      </c>
      <c r="N12" s="981">
        <v>557</v>
      </c>
      <c r="O12" s="579">
        <f t="shared" si="5"/>
        <v>-0.10450160771704176</v>
      </c>
      <c r="P12" s="967"/>
      <c r="Q12" s="967"/>
      <c r="R12" s="973">
        <f t="shared" si="0"/>
        <v>0</v>
      </c>
      <c r="S12" s="969">
        <f t="shared" si="1"/>
        <v>0</v>
      </c>
      <c r="T12" s="969">
        <f t="shared" si="2"/>
        <v>0</v>
      </c>
      <c r="U12" s="969">
        <f t="shared" si="3"/>
        <v>0</v>
      </c>
      <c r="V12" s="969">
        <f t="shared" si="4"/>
        <v>0</v>
      </c>
    </row>
    <row r="13" spans="1:22" s="957" customFormat="1" ht="15.6" customHeight="1">
      <c r="A13" s="958"/>
      <c r="B13" s="959"/>
      <c r="C13" s="976">
        <v>5.2</v>
      </c>
      <c r="D13" s="977" t="s">
        <v>116</v>
      </c>
      <c r="E13" s="961" t="s">
        <v>206</v>
      </c>
      <c r="F13" s="980"/>
      <c r="G13" s="963"/>
      <c r="H13" s="967"/>
      <c r="I13" s="963"/>
      <c r="J13" s="963"/>
      <c r="K13" s="963"/>
      <c r="L13" s="971" t="s">
        <v>641</v>
      </c>
      <c r="M13" s="972">
        <v>37</v>
      </c>
      <c r="N13" s="982">
        <v>37</v>
      </c>
      <c r="O13" s="579">
        <f t="shared" si="5"/>
        <v>0</v>
      </c>
      <c r="P13" s="967"/>
      <c r="Q13" s="967"/>
      <c r="R13" s="973">
        <f t="shared" si="0"/>
        <v>0</v>
      </c>
      <c r="S13" s="969">
        <f t="shared" si="1"/>
        <v>0</v>
      </c>
      <c r="T13" s="969">
        <f t="shared" si="2"/>
        <v>0</v>
      </c>
      <c r="U13" s="969">
        <f t="shared" si="3"/>
        <v>0</v>
      </c>
      <c r="V13" s="969">
        <f t="shared" si="4"/>
        <v>0</v>
      </c>
    </row>
    <row r="14" spans="1:22" s="957" customFormat="1" ht="15.6" customHeight="1">
      <c r="A14" s="958" t="s">
        <v>325</v>
      </c>
      <c r="B14" s="959" t="s">
        <v>326</v>
      </c>
      <c r="C14" s="960">
        <v>6</v>
      </c>
      <c r="D14" s="983" t="s">
        <v>117</v>
      </c>
      <c r="E14" s="961" t="s">
        <v>206</v>
      </c>
      <c r="F14" s="962" t="s">
        <v>399</v>
      </c>
      <c r="G14" s="963" t="s">
        <v>232</v>
      </c>
      <c r="H14" s="964">
        <v>4</v>
      </c>
      <c r="I14" s="963" t="s">
        <v>118</v>
      </c>
      <c r="J14" s="963" t="s">
        <v>119</v>
      </c>
      <c r="K14" s="963"/>
      <c r="L14" s="965" t="s">
        <v>118</v>
      </c>
      <c r="M14" s="984" t="s">
        <v>118</v>
      </c>
      <c r="N14" s="984" t="s">
        <v>118</v>
      </c>
      <c r="O14" s="579">
        <f>IF((N14=M14)=TRUE,0,1)</f>
        <v>0</v>
      </c>
      <c r="P14" s="967">
        <v>4</v>
      </c>
      <c r="Q14" s="967">
        <v>4</v>
      </c>
      <c r="R14" s="973">
        <f t="shared" si="0"/>
        <v>0</v>
      </c>
      <c r="S14" s="969">
        <f t="shared" si="1"/>
        <v>0</v>
      </c>
      <c r="T14" s="969">
        <f t="shared" si="2"/>
        <v>0</v>
      </c>
      <c r="U14" s="969">
        <f t="shared" si="3"/>
        <v>0</v>
      </c>
      <c r="V14" s="969">
        <f t="shared" si="4"/>
        <v>0</v>
      </c>
    </row>
    <row r="15" spans="1:22" s="957" customFormat="1" ht="15.6" customHeight="1">
      <c r="A15" s="958" t="s">
        <v>327</v>
      </c>
      <c r="B15" s="959" t="s">
        <v>328</v>
      </c>
      <c r="C15" s="960">
        <v>7</v>
      </c>
      <c r="D15" s="983" t="s">
        <v>54</v>
      </c>
      <c r="E15" s="961" t="s">
        <v>206</v>
      </c>
      <c r="F15" s="962" t="s">
        <v>399</v>
      </c>
      <c r="G15" s="963" t="s">
        <v>232</v>
      </c>
      <c r="H15" s="964">
        <v>5</v>
      </c>
      <c r="I15" s="963" t="s">
        <v>120</v>
      </c>
      <c r="J15" s="963" t="s">
        <v>121</v>
      </c>
      <c r="K15" s="963"/>
      <c r="L15" s="965"/>
      <c r="M15" s="984" t="s">
        <v>120</v>
      </c>
      <c r="N15" s="984" t="s">
        <v>120</v>
      </c>
      <c r="O15" s="579">
        <f>IF((N15=M15)=TRUE,0,1)</f>
        <v>0</v>
      </c>
      <c r="P15" s="967">
        <v>5</v>
      </c>
      <c r="Q15" s="967">
        <v>5</v>
      </c>
      <c r="R15" s="973">
        <f t="shared" si="0"/>
        <v>0</v>
      </c>
      <c r="S15" s="969">
        <f t="shared" si="1"/>
        <v>0</v>
      </c>
      <c r="T15" s="969">
        <f t="shared" si="2"/>
        <v>0</v>
      </c>
      <c r="U15" s="969">
        <f t="shared" si="3"/>
        <v>0</v>
      </c>
      <c r="V15" s="969">
        <f t="shared" si="4"/>
        <v>0</v>
      </c>
    </row>
    <row r="16" spans="1:22" s="957" customFormat="1" ht="15.6" customHeight="1">
      <c r="A16" s="958" t="s">
        <v>329</v>
      </c>
      <c r="B16" s="959" t="s">
        <v>330</v>
      </c>
      <c r="C16" s="960">
        <v>8</v>
      </c>
      <c r="D16" s="983" t="s">
        <v>122</v>
      </c>
      <c r="E16" s="961" t="s">
        <v>206</v>
      </c>
      <c r="F16" s="962" t="s">
        <v>399</v>
      </c>
      <c r="G16" s="963" t="s">
        <v>232</v>
      </c>
      <c r="H16" s="964">
        <v>1</v>
      </c>
      <c r="I16" s="963" t="s">
        <v>123</v>
      </c>
      <c r="J16" s="963" t="s">
        <v>124</v>
      </c>
      <c r="K16" s="963"/>
      <c r="L16" s="965" t="s">
        <v>123</v>
      </c>
      <c r="M16" s="984" t="s">
        <v>123</v>
      </c>
      <c r="N16" s="984" t="s">
        <v>123</v>
      </c>
      <c r="O16" s="579">
        <f>IF((N16=M16)=TRUE,0,1)</f>
        <v>0</v>
      </c>
      <c r="P16" s="967">
        <v>1</v>
      </c>
      <c r="Q16" s="967">
        <v>1</v>
      </c>
      <c r="R16" s="973">
        <f t="shared" si="0"/>
        <v>0</v>
      </c>
      <c r="S16" s="969">
        <f t="shared" si="1"/>
        <v>0</v>
      </c>
      <c r="T16" s="969">
        <f t="shared" si="2"/>
        <v>0</v>
      </c>
      <c r="U16" s="969">
        <f t="shared" si="3"/>
        <v>0</v>
      </c>
      <c r="V16" s="969">
        <f t="shared" si="4"/>
        <v>0</v>
      </c>
    </row>
    <row r="17" spans="1:22" s="957" customFormat="1" ht="15.6" customHeight="1">
      <c r="A17" s="958" t="s">
        <v>331</v>
      </c>
      <c r="B17" s="959" t="s">
        <v>332</v>
      </c>
      <c r="C17" s="960">
        <v>9</v>
      </c>
      <c r="D17" s="983" t="s">
        <v>125</v>
      </c>
      <c r="E17" s="961" t="s">
        <v>206</v>
      </c>
      <c r="F17" s="985" t="s">
        <v>469</v>
      </c>
      <c r="G17" s="963" t="s">
        <v>232</v>
      </c>
      <c r="H17" s="964">
        <v>4</v>
      </c>
      <c r="I17" s="963"/>
      <c r="J17" s="963"/>
      <c r="K17" s="963"/>
      <c r="L17" s="971"/>
      <c r="M17" s="972">
        <v>0</v>
      </c>
      <c r="N17" s="972">
        <v>0</v>
      </c>
      <c r="O17" s="579">
        <f>IF(AND(M17=0,N17&lt;&gt;0),1,IF(AND(M17=0,N17=0),0,N17/M17-1))</f>
        <v>0</v>
      </c>
      <c r="P17" s="967">
        <f>IF(N17&lt;=2,4,0)</f>
        <v>4</v>
      </c>
      <c r="Q17" s="967">
        <f>IF(M17&lt;=2,4,0)</f>
        <v>4</v>
      </c>
      <c r="R17" s="973">
        <f t="shared" si="0"/>
        <v>0</v>
      </c>
      <c r="S17" s="969">
        <f t="shared" si="1"/>
        <v>0</v>
      </c>
      <c r="T17" s="969">
        <f t="shared" si="2"/>
        <v>0</v>
      </c>
      <c r="U17" s="969">
        <f t="shared" si="3"/>
        <v>0</v>
      </c>
      <c r="V17" s="969">
        <f t="shared" si="4"/>
        <v>0</v>
      </c>
    </row>
    <row r="18" spans="1:22" s="957" customFormat="1" ht="15.6" customHeight="1">
      <c r="A18" s="958" t="s">
        <v>333</v>
      </c>
      <c r="B18" s="959" t="s">
        <v>334</v>
      </c>
      <c r="C18" s="960">
        <v>10</v>
      </c>
      <c r="D18" s="983" t="s">
        <v>126</v>
      </c>
      <c r="E18" s="961" t="s">
        <v>206</v>
      </c>
      <c r="F18" s="962" t="s">
        <v>399</v>
      </c>
      <c r="G18" s="963" t="s">
        <v>232</v>
      </c>
      <c r="H18" s="964">
        <v>1</v>
      </c>
      <c r="I18" s="963" t="s">
        <v>127</v>
      </c>
      <c r="J18" s="963" t="s">
        <v>128</v>
      </c>
      <c r="K18" s="963"/>
      <c r="L18" s="965" t="s">
        <v>127</v>
      </c>
      <c r="M18" s="972" t="s">
        <v>127</v>
      </c>
      <c r="N18" s="972" t="s">
        <v>127</v>
      </c>
      <c r="O18" s="579">
        <f>IF((N18=M18)=TRUE,0,1)</f>
        <v>0</v>
      </c>
      <c r="P18" s="967">
        <v>1</v>
      </c>
      <c r="Q18" s="967">
        <v>1</v>
      </c>
      <c r="R18" s="973">
        <f t="shared" si="0"/>
        <v>0</v>
      </c>
      <c r="S18" s="969">
        <f t="shared" si="1"/>
        <v>0</v>
      </c>
      <c r="T18" s="969">
        <f t="shared" si="2"/>
        <v>0</v>
      </c>
      <c r="U18" s="969">
        <f t="shared" si="3"/>
        <v>0</v>
      </c>
      <c r="V18" s="969">
        <f t="shared" si="4"/>
        <v>0</v>
      </c>
    </row>
    <row r="19" spans="1:22" s="957" customFormat="1" ht="15.6" customHeight="1">
      <c r="A19" s="1267" t="s">
        <v>2268</v>
      </c>
      <c r="B19" s="959" t="s">
        <v>335</v>
      </c>
      <c r="C19" s="960">
        <v>11</v>
      </c>
      <c r="D19" s="983" t="s">
        <v>129</v>
      </c>
      <c r="E19" s="961" t="s">
        <v>206</v>
      </c>
      <c r="F19" s="962" t="s">
        <v>402</v>
      </c>
      <c r="G19" s="963" t="s">
        <v>232</v>
      </c>
      <c r="H19" s="964">
        <v>5</v>
      </c>
      <c r="I19" s="963"/>
      <c r="J19" s="963"/>
      <c r="K19" s="963"/>
      <c r="L19" s="986" t="s">
        <v>643</v>
      </c>
      <c r="M19" s="972">
        <v>0</v>
      </c>
      <c r="N19" s="972">
        <v>0</v>
      </c>
      <c r="O19" s="579">
        <f>IF(AND(M19=0,N19&lt;&gt;0),1,IF(AND(M19=0,N19=0),0,N19/M19-1))</f>
        <v>0</v>
      </c>
      <c r="P19" s="967">
        <v>5</v>
      </c>
      <c r="Q19" s="967">
        <v>5</v>
      </c>
      <c r="R19" s="973">
        <f t="shared" si="0"/>
        <v>0</v>
      </c>
      <c r="S19" s="969">
        <f t="shared" si="1"/>
        <v>0</v>
      </c>
      <c r="T19" s="969">
        <f t="shared" si="2"/>
        <v>0</v>
      </c>
      <c r="U19" s="969">
        <f t="shared" si="3"/>
        <v>0</v>
      </c>
      <c r="V19" s="969">
        <f t="shared" si="4"/>
        <v>0</v>
      </c>
    </row>
    <row r="20" spans="1:22" s="957" customFormat="1" ht="15.6" customHeight="1">
      <c r="A20" s="958" t="s">
        <v>336</v>
      </c>
      <c r="B20" s="959" t="s">
        <v>335</v>
      </c>
      <c r="C20" s="960">
        <v>12</v>
      </c>
      <c r="D20" s="983" t="s">
        <v>130</v>
      </c>
      <c r="E20" s="987" t="s">
        <v>206</v>
      </c>
      <c r="F20" s="962" t="s">
        <v>402</v>
      </c>
      <c r="G20" s="963" t="s">
        <v>232</v>
      </c>
      <c r="H20" s="964">
        <v>5</v>
      </c>
      <c r="I20" s="963"/>
      <c r="J20" s="963"/>
      <c r="K20" s="963"/>
      <c r="L20" s="988"/>
      <c r="M20" s="972">
        <v>0</v>
      </c>
      <c r="N20" s="972">
        <v>0</v>
      </c>
      <c r="O20" s="579">
        <f>IF(AND(M20=0,N20&lt;&gt;0),1,IF(AND(M20=0,N20=0),0,N20/M20-1))</f>
        <v>0</v>
      </c>
      <c r="P20" s="967">
        <v>5</v>
      </c>
      <c r="Q20" s="967">
        <v>5</v>
      </c>
      <c r="R20" s="973">
        <f t="shared" si="0"/>
        <v>0</v>
      </c>
      <c r="S20" s="969">
        <f t="shared" si="1"/>
        <v>0</v>
      </c>
      <c r="T20" s="969">
        <f t="shared" si="2"/>
        <v>0</v>
      </c>
      <c r="U20" s="969">
        <f t="shared" si="3"/>
        <v>0</v>
      </c>
      <c r="V20" s="969">
        <f t="shared" si="4"/>
        <v>0</v>
      </c>
    </row>
    <row r="21" spans="1:22" s="957" customFormat="1" ht="15.6" customHeight="1">
      <c r="A21" s="958" t="s">
        <v>337</v>
      </c>
      <c r="B21" s="959" t="s">
        <v>338</v>
      </c>
      <c r="C21" s="960">
        <v>13</v>
      </c>
      <c r="D21" s="983" t="s">
        <v>193</v>
      </c>
      <c r="E21" s="961" t="s">
        <v>206</v>
      </c>
      <c r="F21" s="962" t="s">
        <v>399</v>
      </c>
      <c r="G21" s="963" t="s">
        <v>232</v>
      </c>
      <c r="H21" s="964">
        <v>1</v>
      </c>
      <c r="I21" s="989" t="s">
        <v>127</v>
      </c>
      <c r="J21" s="963" t="s">
        <v>128</v>
      </c>
      <c r="K21" s="963"/>
      <c r="L21" s="965" t="s">
        <v>127</v>
      </c>
      <c r="M21" s="981" t="s">
        <v>127</v>
      </c>
      <c r="N21" s="981" t="s">
        <v>127</v>
      </c>
      <c r="O21" s="579">
        <f>IF((N21=M21)=TRUE,0,1)</f>
        <v>0</v>
      </c>
      <c r="P21" s="967">
        <v>1</v>
      </c>
      <c r="Q21" s="967">
        <v>1</v>
      </c>
      <c r="R21" s="973">
        <f t="shared" si="0"/>
        <v>0</v>
      </c>
      <c r="S21" s="969">
        <f t="shared" si="1"/>
        <v>0</v>
      </c>
      <c r="T21" s="969">
        <f t="shared" si="2"/>
        <v>0</v>
      </c>
      <c r="U21" s="969">
        <f t="shared" si="3"/>
        <v>0</v>
      </c>
      <c r="V21" s="969">
        <f t="shared" si="4"/>
        <v>0</v>
      </c>
    </row>
    <row r="22" spans="1:22" s="957" customFormat="1" ht="15.6" customHeight="1">
      <c r="A22" s="958" t="s">
        <v>339</v>
      </c>
      <c r="B22" s="959" t="s">
        <v>338</v>
      </c>
      <c r="C22" s="960">
        <v>14</v>
      </c>
      <c r="D22" s="983" t="s">
        <v>131</v>
      </c>
      <c r="E22" s="961" t="s">
        <v>206</v>
      </c>
      <c r="F22" s="962" t="s">
        <v>399</v>
      </c>
      <c r="G22" s="963" t="s">
        <v>232</v>
      </c>
      <c r="H22" s="964">
        <v>1</v>
      </c>
      <c r="I22" s="989" t="s">
        <v>127</v>
      </c>
      <c r="J22" s="963" t="s">
        <v>128</v>
      </c>
      <c r="K22" s="963"/>
      <c r="L22" s="965" t="s">
        <v>127</v>
      </c>
      <c r="M22" s="981" t="s">
        <v>127</v>
      </c>
      <c r="N22" s="981" t="s">
        <v>127</v>
      </c>
      <c r="O22" s="579">
        <f>IF((N22=M22)=TRUE,0,1)</f>
        <v>0</v>
      </c>
      <c r="P22" s="967">
        <v>1</v>
      </c>
      <c r="Q22" s="967">
        <v>1</v>
      </c>
      <c r="R22" s="973">
        <f t="shared" si="0"/>
        <v>0</v>
      </c>
      <c r="S22" s="969">
        <f t="shared" si="1"/>
        <v>0</v>
      </c>
      <c r="T22" s="969">
        <f t="shared" si="2"/>
        <v>0</v>
      </c>
      <c r="U22" s="969">
        <f t="shared" si="3"/>
        <v>0</v>
      </c>
      <c r="V22" s="969">
        <f t="shared" si="4"/>
        <v>0</v>
      </c>
    </row>
    <row r="23" spans="1:22" s="957" customFormat="1" ht="13.5" customHeight="1">
      <c r="A23" s="958" t="s">
        <v>340</v>
      </c>
      <c r="B23" s="959" t="s">
        <v>1473</v>
      </c>
      <c r="C23" s="960">
        <v>15</v>
      </c>
      <c r="D23" s="983" t="s">
        <v>1717</v>
      </c>
      <c r="E23" s="961" t="s">
        <v>206</v>
      </c>
      <c r="F23" s="975" t="s">
        <v>403</v>
      </c>
      <c r="G23" s="963" t="s">
        <v>232</v>
      </c>
      <c r="H23" s="964">
        <v>4</v>
      </c>
      <c r="I23" s="989"/>
      <c r="J23" s="963"/>
      <c r="K23" s="963"/>
      <c r="L23" s="971"/>
      <c r="M23" s="981">
        <v>0</v>
      </c>
      <c r="N23" s="981">
        <v>0</v>
      </c>
      <c r="O23" s="579">
        <f>IF(AND(M23=0,N23&lt;&gt;0),1,IF(AND(M23=0,N23=0),0,N23/M23-1))</f>
        <v>0</v>
      </c>
      <c r="P23" s="967">
        <f>IF(N23&gt;3,0,IF(N23=0,4,2))</f>
        <v>4</v>
      </c>
      <c r="Q23" s="967">
        <f>IF(M23&gt;3,0,IF(M23=0,4,2))</f>
        <v>4</v>
      </c>
      <c r="R23" s="973">
        <f t="shared" si="0"/>
        <v>0</v>
      </c>
      <c r="S23" s="969">
        <f t="shared" si="1"/>
        <v>0</v>
      </c>
      <c r="T23" s="969">
        <f t="shared" si="2"/>
        <v>0</v>
      </c>
      <c r="U23" s="969">
        <f t="shared" si="3"/>
        <v>0</v>
      </c>
      <c r="V23" s="969">
        <f t="shared" si="4"/>
        <v>0</v>
      </c>
    </row>
    <row r="24" spans="1:22" s="957" customFormat="1" ht="15.6" customHeight="1">
      <c r="A24" s="958" t="s">
        <v>341</v>
      </c>
      <c r="B24" s="959" t="s">
        <v>342</v>
      </c>
      <c r="C24" s="960">
        <v>16</v>
      </c>
      <c r="D24" s="983" t="s">
        <v>194</v>
      </c>
      <c r="E24" s="961" t="s">
        <v>206</v>
      </c>
      <c r="F24" s="962" t="s">
        <v>399</v>
      </c>
      <c r="G24" s="963" t="s">
        <v>232</v>
      </c>
      <c r="H24" s="964">
        <v>1</v>
      </c>
      <c r="I24" s="989" t="s">
        <v>132</v>
      </c>
      <c r="J24" s="963" t="s">
        <v>133</v>
      </c>
      <c r="K24" s="963"/>
      <c r="L24" s="965"/>
      <c r="M24" s="990" t="s">
        <v>132</v>
      </c>
      <c r="N24" s="990" t="s">
        <v>132</v>
      </c>
      <c r="O24" s="579">
        <f>IF((N24=M24)=TRUE,0,1)</f>
        <v>0</v>
      </c>
      <c r="P24" s="967">
        <v>1</v>
      </c>
      <c r="Q24" s="967">
        <v>1</v>
      </c>
      <c r="R24" s="973">
        <f t="shared" si="0"/>
        <v>0</v>
      </c>
      <c r="S24" s="969">
        <f t="shared" si="1"/>
        <v>0</v>
      </c>
      <c r="T24" s="969">
        <f t="shared" si="2"/>
        <v>0</v>
      </c>
      <c r="U24" s="969">
        <f t="shared" si="3"/>
        <v>0</v>
      </c>
      <c r="V24" s="969">
        <f t="shared" si="4"/>
        <v>0</v>
      </c>
    </row>
    <row r="25" spans="1:22" s="957" customFormat="1" ht="16.5" customHeight="1">
      <c r="A25" s="958" t="s">
        <v>343</v>
      </c>
      <c r="B25" s="959" t="s">
        <v>2031</v>
      </c>
      <c r="C25" s="960">
        <v>17</v>
      </c>
      <c r="D25" s="991" t="s">
        <v>1721</v>
      </c>
      <c r="E25" s="974"/>
      <c r="F25" s="975" t="s">
        <v>403</v>
      </c>
      <c r="G25" s="963" t="s">
        <v>232</v>
      </c>
      <c r="H25" s="964">
        <v>3</v>
      </c>
      <c r="I25" s="989"/>
      <c r="J25" s="963"/>
      <c r="K25" s="963"/>
      <c r="L25" s="971"/>
      <c r="M25" s="1293">
        <v>1.9227071716977504E-4</v>
      </c>
      <c r="N25" s="1400">
        <f>N26/N27</f>
        <v>6.426735218508997E-5</v>
      </c>
      <c r="O25" s="579">
        <f>IF(AND(M25=0,N25&lt;&gt;0),1,IF(AND(M25=0,N25=0),0,N25/M25-1))</f>
        <v>-0.66574550128534704</v>
      </c>
      <c r="P25" s="967">
        <f>IF(N25&lt;0.001,3,0)</f>
        <v>3</v>
      </c>
      <c r="Q25" s="967">
        <f>IF(M25&lt;0.001,3,0)</f>
        <v>3</v>
      </c>
      <c r="R25" s="973">
        <f t="shared" si="0"/>
        <v>0</v>
      </c>
      <c r="S25" s="969">
        <f t="shared" si="1"/>
        <v>0</v>
      </c>
      <c r="T25" s="969">
        <f t="shared" si="2"/>
        <v>0</v>
      </c>
      <c r="U25" s="969">
        <f t="shared" si="3"/>
        <v>0</v>
      </c>
      <c r="V25" s="969">
        <f t="shared" si="4"/>
        <v>0</v>
      </c>
    </row>
    <row r="26" spans="1:22" s="957" customFormat="1" ht="15.6" customHeight="1">
      <c r="A26" s="958"/>
      <c r="B26" s="959"/>
      <c r="C26" s="976">
        <v>17.100000000000001</v>
      </c>
      <c r="D26" s="977" t="s">
        <v>134</v>
      </c>
      <c r="E26" s="961" t="s">
        <v>206</v>
      </c>
      <c r="F26" s="978"/>
      <c r="G26" s="963"/>
      <c r="H26" s="979"/>
      <c r="I26" s="989"/>
      <c r="J26" s="963"/>
      <c r="K26" s="963"/>
      <c r="L26" s="986" t="s">
        <v>644</v>
      </c>
      <c r="M26" s="981">
        <v>3</v>
      </c>
      <c r="N26" s="981">
        <v>1</v>
      </c>
      <c r="O26" s="579">
        <f>IF(AND(M26=0,N26&lt;&gt;0),1,IF(AND(M26=0,N26=0),0,N26/M26-1))</f>
        <v>-0.66666666666666674</v>
      </c>
      <c r="P26" s="967"/>
      <c r="Q26" s="967"/>
      <c r="R26" s="973">
        <f t="shared" si="0"/>
        <v>0</v>
      </c>
      <c r="S26" s="969">
        <f t="shared" si="1"/>
        <v>0</v>
      </c>
      <c r="T26" s="969">
        <f t="shared" si="2"/>
        <v>0</v>
      </c>
      <c r="U26" s="969">
        <f t="shared" si="3"/>
        <v>0</v>
      </c>
      <c r="V26" s="969">
        <f t="shared" si="4"/>
        <v>0</v>
      </c>
    </row>
    <row r="27" spans="1:22" s="957" customFormat="1" ht="15.6" customHeight="1">
      <c r="A27" s="958"/>
      <c r="B27" s="959"/>
      <c r="C27" s="976">
        <v>17.2</v>
      </c>
      <c r="D27" s="977" t="s">
        <v>1718</v>
      </c>
      <c r="E27" s="961" t="s">
        <v>206</v>
      </c>
      <c r="F27" s="980"/>
      <c r="G27" s="963"/>
      <c r="H27" s="979"/>
      <c r="I27" s="989"/>
      <c r="J27" s="963"/>
      <c r="K27" s="963"/>
      <c r="L27" s="986" t="s">
        <v>644</v>
      </c>
      <c r="M27" s="981">
        <v>15603</v>
      </c>
      <c r="N27" s="981">
        <v>15560</v>
      </c>
      <c r="O27" s="579">
        <f>IF(AND(M27=0,N27&lt;&gt;0),1,IF(AND(M27=0,N27=0),0,N27/M27-1))</f>
        <v>-2.7558802794334092E-3</v>
      </c>
      <c r="P27" s="967"/>
      <c r="Q27" s="967"/>
      <c r="R27" s="973">
        <f t="shared" si="0"/>
        <v>0</v>
      </c>
      <c r="S27" s="969">
        <f t="shared" si="1"/>
        <v>0</v>
      </c>
      <c r="T27" s="969">
        <f t="shared" si="2"/>
        <v>0</v>
      </c>
      <c r="U27" s="969">
        <f t="shared" si="3"/>
        <v>0</v>
      </c>
      <c r="V27" s="969">
        <f t="shared" si="4"/>
        <v>0</v>
      </c>
    </row>
    <row r="28" spans="1:22" s="957" customFormat="1" ht="15.6" customHeight="1">
      <c r="A28" s="958" t="s">
        <v>344</v>
      </c>
      <c r="B28" s="959" t="s">
        <v>345</v>
      </c>
      <c r="C28" s="960">
        <v>18</v>
      </c>
      <c r="D28" s="983" t="s">
        <v>195</v>
      </c>
      <c r="E28" s="961" t="s">
        <v>206</v>
      </c>
      <c r="F28" s="962" t="s">
        <v>399</v>
      </c>
      <c r="G28" s="963" t="s">
        <v>232</v>
      </c>
      <c r="H28" s="964">
        <v>1</v>
      </c>
      <c r="I28" s="989" t="s">
        <v>135</v>
      </c>
      <c r="J28" s="963" t="s">
        <v>136</v>
      </c>
      <c r="K28" s="963"/>
      <c r="L28" s="965"/>
      <c r="M28" s="990" t="s">
        <v>135</v>
      </c>
      <c r="N28" s="990" t="s">
        <v>135</v>
      </c>
      <c r="O28" s="579">
        <f>IF((N28=M28)=TRUE,0,1)</f>
        <v>0</v>
      </c>
      <c r="P28" s="967">
        <v>1</v>
      </c>
      <c r="Q28" s="967">
        <v>1</v>
      </c>
      <c r="R28" s="973">
        <f t="shared" si="0"/>
        <v>0</v>
      </c>
      <c r="S28" s="969">
        <f t="shared" si="1"/>
        <v>0</v>
      </c>
      <c r="T28" s="969">
        <f t="shared" si="2"/>
        <v>0</v>
      </c>
      <c r="U28" s="969">
        <f t="shared" si="3"/>
        <v>0</v>
      </c>
      <c r="V28" s="969">
        <f t="shared" si="4"/>
        <v>0</v>
      </c>
    </row>
    <row r="29" spans="1:22" s="957" customFormat="1" ht="15.6" customHeight="1">
      <c r="A29" s="958" t="s">
        <v>346</v>
      </c>
      <c r="B29" s="959" t="s">
        <v>347</v>
      </c>
      <c r="C29" s="960">
        <v>19</v>
      </c>
      <c r="D29" s="983" t="s">
        <v>137</v>
      </c>
      <c r="E29" s="961" t="s">
        <v>206</v>
      </c>
      <c r="F29" s="975" t="s">
        <v>403</v>
      </c>
      <c r="G29" s="963" t="s">
        <v>232</v>
      </c>
      <c r="H29" s="964">
        <v>3</v>
      </c>
      <c r="I29" s="989"/>
      <c r="J29" s="963"/>
      <c r="K29" s="963"/>
      <c r="L29" s="971"/>
      <c r="M29" s="981">
        <v>0</v>
      </c>
      <c r="N29" s="981">
        <v>0</v>
      </c>
      <c r="O29" s="579">
        <f>IF(AND(M29=0,N29&lt;&gt;0),1,IF(AND(M29=0,N29=0),0,N29/M29-1))</f>
        <v>0</v>
      </c>
      <c r="P29" s="967">
        <f>IF(N29=0,3,IF(N29&gt;3,0,1))</f>
        <v>3</v>
      </c>
      <c r="Q29" s="967">
        <f>IF(M29=0,3,IF(M29&gt;3,0,1))</f>
        <v>3</v>
      </c>
      <c r="R29" s="973">
        <f t="shared" si="0"/>
        <v>0</v>
      </c>
      <c r="S29" s="969">
        <f t="shared" si="1"/>
        <v>0</v>
      </c>
      <c r="T29" s="969">
        <f t="shared" si="2"/>
        <v>0</v>
      </c>
      <c r="U29" s="969">
        <f t="shared" si="3"/>
        <v>0</v>
      </c>
      <c r="V29" s="969">
        <f t="shared" si="4"/>
        <v>0</v>
      </c>
    </row>
    <row r="30" spans="1:22" s="957" customFormat="1" ht="15.6" customHeight="1">
      <c r="A30" s="958" t="s">
        <v>348</v>
      </c>
      <c r="B30" s="959" t="s">
        <v>349</v>
      </c>
      <c r="C30" s="960">
        <v>20</v>
      </c>
      <c r="D30" s="983" t="s">
        <v>138</v>
      </c>
      <c r="E30" s="961" t="s">
        <v>206</v>
      </c>
      <c r="F30" s="962" t="s">
        <v>399</v>
      </c>
      <c r="G30" s="963" t="s">
        <v>232</v>
      </c>
      <c r="H30" s="964">
        <v>1</v>
      </c>
      <c r="I30" s="963" t="s">
        <v>139</v>
      </c>
      <c r="J30" s="963" t="s">
        <v>140</v>
      </c>
      <c r="K30" s="963" t="s">
        <v>112</v>
      </c>
      <c r="L30" s="965"/>
      <c r="M30" s="984" t="s">
        <v>140</v>
      </c>
      <c r="N30" s="984" t="s">
        <v>140</v>
      </c>
      <c r="O30" s="579">
        <f>IF((N30=M30)=TRUE,0,1)</f>
        <v>0</v>
      </c>
      <c r="P30" s="967">
        <v>1</v>
      </c>
      <c r="Q30" s="967">
        <v>1</v>
      </c>
      <c r="R30" s="973">
        <f t="shared" si="0"/>
        <v>0</v>
      </c>
      <c r="S30" s="969">
        <f t="shared" si="1"/>
        <v>0</v>
      </c>
      <c r="T30" s="969">
        <f t="shared" si="2"/>
        <v>0</v>
      </c>
      <c r="U30" s="969">
        <f t="shared" si="3"/>
        <v>0</v>
      </c>
      <c r="V30" s="969">
        <f t="shared" si="4"/>
        <v>0</v>
      </c>
    </row>
    <row r="31" spans="1:22" s="957" customFormat="1" ht="15.6" customHeight="1">
      <c r="A31" s="958" t="s">
        <v>350</v>
      </c>
      <c r="B31" s="959" t="s">
        <v>351</v>
      </c>
      <c r="C31" s="960">
        <v>21</v>
      </c>
      <c r="D31" s="983" t="s">
        <v>141</v>
      </c>
      <c r="E31" s="961" t="s">
        <v>206</v>
      </c>
      <c r="F31" s="975" t="s">
        <v>403</v>
      </c>
      <c r="G31" s="963" t="s">
        <v>232</v>
      </c>
      <c r="H31" s="964">
        <v>4</v>
      </c>
      <c r="I31" s="963"/>
      <c r="J31" s="963"/>
      <c r="K31" s="963"/>
      <c r="L31" s="971"/>
      <c r="M31" s="972">
        <v>0</v>
      </c>
      <c r="N31" s="972">
        <v>0</v>
      </c>
      <c r="O31" s="579">
        <f>IF(AND(M31=0,N31&lt;&gt;0),1,IF(AND(M31=0,N31=0),0,N31/M31-1))</f>
        <v>0</v>
      </c>
      <c r="P31" s="967">
        <f>IF(N31=0,4,IF(N31&gt;3,0,2))</f>
        <v>4</v>
      </c>
      <c r="Q31" s="967">
        <f>IF(M31=0,4,IF(M31&gt;3,0,2))</f>
        <v>4</v>
      </c>
      <c r="R31" s="973">
        <f t="shared" si="0"/>
        <v>0</v>
      </c>
      <c r="S31" s="969">
        <f t="shared" si="1"/>
        <v>0</v>
      </c>
      <c r="T31" s="969">
        <f t="shared" si="2"/>
        <v>0</v>
      </c>
      <c r="U31" s="969">
        <f t="shared" si="3"/>
        <v>0</v>
      </c>
      <c r="V31" s="969">
        <f t="shared" si="4"/>
        <v>0</v>
      </c>
    </row>
    <row r="32" spans="1:22" s="957" customFormat="1" ht="15.6" customHeight="1">
      <c r="A32" s="958" t="s">
        <v>352</v>
      </c>
      <c r="B32" s="959" t="s">
        <v>353</v>
      </c>
      <c r="C32" s="960">
        <v>22</v>
      </c>
      <c r="D32" s="983" t="s">
        <v>142</v>
      </c>
      <c r="E32" s="961" t="s">
        <v>206</v>
      </c>
      <c r="F32" s="962" t="s">
        <v>399</v>
      </c>
      <c r="G32" s="963" t="s">
        <v>232</v>
      </c>
      <c r="H32" s="964">
        <v>2</v>
      </c>
      <c r="I32" s="963" t="s">
        <v>143</v>
      </c>
      <c r="J32" s="963" t="s">
        <v>144</v>
      </c>
      <c r="K32" s="963"/>
      <c r="L32" s="965"/>
      <c r="M32" s="984" t="s">
        <v>143</v>
      </c>
      <c r="N32" s="984" t="s">
        <v>143</v>
      </c>
      <c r="O32" s="579">
        <f>IF((N32=M32)=TRUE,0,1)</f>
        <v>0</v>
      </c>
      <c r="P32" s="967">
        <v>2</v>
      </c>
      <c r="Q32" s="967">
        <v>2</v>
      </c>
      <c r="R32" s="973">
        <f t="shared" si="0"/>
        <v>0</v>
      </c>
      <c r="S32" s="969">
        <f t="shared" si="1"/>
        <v>0</v>
      </c>
      <c r="T32" s="969">
        <f t="shared" si="2"/>
        <v>0</v>
      </c>
      <c r="U32" s="969">
        <f t="shared" si="3"/>
        <v>0</v>
      </c>
      <c r="V32" s="969">
        <f t="shared" si="4"/>
        <v>0</v>
      </c>
    </row>
    <row r="33" spans="1:24" s="957" customFormat="1" ht="54">
      <c r="A33" s="958" t="s">
        <v>354</v>
      </c>
      <c r="B33" s="959" t="s">
        <v>355</v>
      </c>
      <c r="C33" s="960">
        <v>23</v>
      </c>
      <c r="D33" s="983" t="s">
        <v>102</v>
      </c>
      <c r="E33" s="961" t="s">
        <v>206</v>
      </c>
      <c r="F33" s="975" t="s">
        <v>403</v>
      </c>
      <c r="G33" s="963" t="s">
        <v>232</v>
      </c>
      <c r="H33" s="964">
        <v>4</v>
      </c>
      <c r="I33" s="963"/>
      <c r="J33" s="963"/>
      <c r="K33" s="963"/>
      <c r="L33" s="971"/>
      <c r="M33" s="972">
        <v>0</v>
      </c>
      <c r="N33" s="972">
        <v>0</v>
      </c>
      <c r="O33" s="579">
        <f>IF(AND(M33=0,N33&lt;&gt;0),1,IF(AND(M33=0,N33=0),0,N33/M33-1))</f>
        <v>0</v>
      </c>
      <c r="P33" s="967">
        <f>IF(N33&lt;=3,4,IF(N33&gt;5,0,2))</f>
        <v>4</v>
      </c>
      <c r="Q33" s="967">
        <v>4</v>
      </c>
      <c r="R33" s="973">
        <f t="shared" si="0"/>
        <v>0</v>
      </c>
      <c r="S33" s="969">
        <f t="shared" si="1"/>
        <v>0</v>
      </c>
      <c r="T33" s="969">
        <f t="shared" si="2"/>
        <v>0</v>
      </c>
      <c r="U33" s="969">
        <f t="shared" si="3"/>
        <v>0</v>
      </c>
      <c r="V33" s="969">
        <f t="shared" si="4"/>
        <v>0</v>
      </c>
    </row>
    <row r="34" spans="1:24" s="957" customFormat="1" ht="15.6" customHeight="1">
      <c r="A34" s="958" t="s">
        <v>356</v>
      </c>
      <c r="B34" s="959" t="s">
        <v>357</v>
      </c>
      <c r="C34" s="960">
        <v>24</v>
      </c>
      <c r="D34" s="983" t="s">
        <v>145</v>
      </c>
      <c r="E34" s="961" t="s">
        <v>1677</v>
      </c>
      <c r="F34" s="962" t="s">
        <v>399</v>
      </c>
      <c r="G34" s="963" t="s">
        <v>232</v>
      </c>
      <c r="H34" s="964">
        <v>3</v>
      </c>
      <c r="I34" s="963" t="s">
        <v>146</v>
      </c>
      <c r="J34" s="963" t="s">
        <v>147</v>
      </c>
      <c r="K34" s="963"/>
      <c r="L34" s="965"/>
      <c r="M34" s="984" t="s">
        <v>146</v>
      </c>
      <c r="N34" s="984" t="s">
        <v>146</v>
      </c>
      <c r="O34" s="579">
        <f>IF((N34=M34)=TRUE,0,1)</f>
        <v>0</v>
      </c>
      <c r="P34" s="967">
        <v>3</v>
      </c>
      <c r="Q34" s="967">
        <v>3</v>
      </c>
      <c r="R34" s="973">
        <f t="shared" si="0"/>
        <v>0</v>
      </c>
      <c r="S34" s="969">
        <f t="shared" si="1"/>
        <v>0</v>
      </c>
      <c r="T34" s="969">
        <f t="shared" si="2"/>
        <v>0</v>
      </c>
      <c r="U34" s="969">
        <f t="shared" si="3"/>
        <v>0</v>
      </c>
      <c r="V34" s="969">
        <f t="shared" si="4"/>
        <v>0</v>
      </c>
    </row>
    <row r="35" spans="1:24" s="957" customFormat="1" ht="15.6" customHeight="1">
      <c r="A35" s="992" t="s">
        <v>358</v>
      </c>
      <c r="B35" s="993" t="s">
        <v>359</v>
      </c>
      <c r="C35" s="960">
        <v>25</v>
      </c>
      <c r="D35" s="983" t="s">
        <v>148</v>
      </c>
      <c r="E35" s="961" t="s">
        <v>206</v>
      </c>
      <c r="F35" s="962" t="s">
        <v>399</v>
      </c>
      <c r="G35" s="963" t="s">
        <v>232</v>
      </c>
      <c r="H35" s="964">
        <v>3</v>
      </c>
      <c r="I35" s="963" t="s">
        <v>149</v>
      </c>
      <c r="J35" s="963" t="s">
        <v>150</v>
      </c>
      <c r="K35" s="963" t="s">
        <v>112</v>
      </c>
      <c r="L35" s="965"/>
      <c r="M35" s="984" t="s">
        <v>149</v>
      </c>
      <c r="N35" s="984" t="s">
        <v>149</v>
      </c>
      <c r="O35" s="579">
        <f>IF((N35=M35)=TRUE,0,1)</f>
        <v>0</v>
      </c>
      <c r="P35" s="967">
        <v>3</v>
      </c>
      <c r="Q35" s="967">
        <v>3</v>
      </c>
      <c r="R35" s="973">
        <f t="shared" si="0"/>
        <v>0</v>
      </c>
      <c r="S35" s="969">
        <f t="shared" si="1"/>
        <v>0</v>
      </c>
      <c r="T35" s="969">
        <f t="shared" si="2"/>
        <v>0</v>
      </c>
      <c r="U35" s="969">
        <f t="shared" si="3"/>
        <v>0</v>
      </c>
      <c r="V35" s="969">
        <f t="shared" si="4"/>
        <v>0</v>
      </c>
    </row>
    <row r="36" spans="1:24" s="957" customFormat="1" ht="45" customHeight="1">
      <c r="A36" s="958" t="s">
        <v>474</v>
      </c>
      <c r="B36" s="959" t="s">
        <v>1737</v>
      </c>
      <c r="C36" s="960">
        <v>26</v>
      </c>
      <c r="D36" s="983" t="s">
        <v>1736</v>
      </c>
      <c r="E36" s="974"/>
      <c r="F36" s="975" t="s">
        <v>403</v>
      </c>
      <c r="G36" s="963" t="s">
        <v>232</v>
      </c>
      <c r="H36" s="964">
        <v>3</v>
      </c>
      <c r="I36" s="963"/>
      <c r="J36" s="963"/>
      <c r="K36" s="963"/>
      <c r="L36" s="971"/>
      <c r="M36" s="994">
        <v>0</v>
      </c>
      <c r="N36" s="1291">
        <f>IF(N38=0,"",N37/N38)</f>
        <v>2.6042298939278114E-6</v>
      </c>
      <c r="O36" s="579">
        <f>IF(AND(M36=0,N36&lt;&gt;0),1,IF(AND(M36=0,N36=0),0,N36/M36-1))</f>
        <v>1</v>
      </c>
      <c r="P36" s="967">
        <f>IF(N36&lt;0.0001,3,0)</f>
        <v>3</v>
      </c>
      <c r="Q36" s="967">
        <f>IF(M36&lt;0.0001,3,0)</f>
        <v>3</v>
      </c>
      <c r="R36" s="973">
        <f t="shared" si="0"/>
        <v>0</v>
      </c>
      <c r="S36" s="969">
        <f t="shared" si="1"/>
        <v>0</v>
      </c>
      <c r="T36" s="969">
        <f t="shared" si="2"/>
        <v>0</v>
      </c>
      <c r="U36" s="969">
        <f t="shared" si="3"/>
        <v>0</v>
      </c>
      <c r="V36" s="969">
        <f t="shared" si="4"/>
        <v>0</v>
      </c>
    </row>
    <row r="37" spans="1:24" s="957" customFormat="1" ht="15.6" customHeight="1">
      <c r="A37" s="958"/>
      <c r="B37" s="959"/>
      <c r="C37" s="976">
        <v>26.1</v>
      </c>
      <c r="D37" s="977" t="s">
        <v>200</v>
      </c>
      <c r="E37" s="961" t="s">
        <v>206</v>
      </c>
      <c r="F37" s="978"/>
      <c r="G37" s="963"/>
      <c r="H37" s="967"/>
      <c r="I37" s="963"/>
      <c r="J37" s="963"/>
      <c r="K37" s="963"/>
      <c r="L37" s="971"/>
      <c r="M37" s="972">
        <v>0</v>
      </c>
      <c r="N37" s="972">
        <v>9792</v>
      </c>
      <c r="O37" s="579">
        <f>IF(AND(M37=0,N37&lt;&gt;0),1,IF(AND(M37=0,N37=0),0,N37/M37-1))</f>
        <v>1</v>
      </c>
      <c r="P37" s="967"/>
      <c r="Q37" s="967"/>
      <c r="R37" s="973">
        <f t="shared" si="0"/>
        <v>0</v>
      </c>
      <c r="S37" s="969">
        <f t="shared" si="1"/>
        <v>0</v>
      </c>
      <c r="T37" s="969">
        <f t="shared" si="2"/>
        <v>0</v>
      </c>
      <c r="U37" s="969">
        <f t="shared" si="3"/>
        <v>0</v>
      </c>
      <c r="V37" s="969">
        <f t="shared" si="4"/>
        <v>0</v>
      </c>
    </row>
    <row r="38" spans="1:24" s="957" customFormat="1" ht="15.6" customHeight="1">
      <c r="A38" s="958"/>
      <c r="B38" s="959"/>
      <c r="C38" s="976">
        <v>26.2</v>
      </c>
      <c r="D38" s="977" t="s">
        <v>151</v>
      </c>
      <c r="E38" s="961" t="s">
        <v>206</v>
      </c>
      <c r="F38" s="980"/>
      <c r="G38" s="963"/>
      <c r="H38" s="967"/>
      <c r="I38" s="963"/>
      <c r="J38" s="963"/>
      <c r="K38" s="963"/>
      <c r="L38" s="971"/>
      <c r="M38" s="995">
        <v>3611869726.7199998</v>
      </c>
      <c r="N38" s="1507">
        <v>3760036709.0599999</v>
      </c>
      <c r="O38" s="579">
        <f>IF(AND(M38=0,N38&lt;&gt;0),1,IF(AND(M38=0,N38=0),0,N38/M38-1))</f>
        <v>4.1022238771206476E-2</v>
      </c>
      <c r="P38" s="967"/>
      <c r="Q38" s="967"/>
      <c r="R38" s="973">
        <f t="shared" si="0"/>
        <v>0</v>
      </c>
      <c r="S38" s="969">
        <f t="shared" si="1"/>
        <v>0</v>
      </c>
      <c r="T38" s="969">
        <f t="shared" si="2"/>
        <v>0</v>
      </c>
      <c r="U38" s="969">
        <f t="shared" si="3"/>
        <v>0</v>
      </c>
      <c r="V38" s="969">
        <f t="shared" si="4"/>
        <v>0</v>
      </c>
    </row>
    <row r="39" spans="1:24" s="957" customFormat="1" ht="15.6" customHeight="1">
      <c r="A39" s="958" t="s">
        <v>360</v>
      </c>
      <c r="B39" s="959" t="s">
        <v>361</v>
      </c>
      <c r="C39" s="960">
        <v>27</v>
      </c>
      <c r="D39" s="983" t="s">
        <v>105</v>
      </c>
      <c r="E39" s="961" t="s">
        <v>206</v>
      </c>
      <c r="F39" s="962" t="s">
        <v>399</v>
      </c>
      <c r="G39" s="963" t="s">
        <v>232</v>
      </c>
      <c r="H39" s="964">
        <v>3</v>
      </c>
      <c r="I39" s="963" t="s">
        <v>152</v>
      </c>
      <c r="J39" s="963" t="s">
        <v>153</v>
      </c>
      <c r="K39" s="963"/>
      <c r="L39" s="971"/>
      <c r="M39" s="966" t="s">
        <v>152</v>
      </c>
      <c r="N39" s="966" t="s">
        <v>2023</v>
      </c>
      <c r="O39" s="579">
        <f>IF((N39=M39)=TRUE,0,1)</f>
        <v>0</v>
      </c>
      <c r="P39" s="967">
        <v>3</v>
      </c>
      <c r="Q39" s="967">
        <v>3</v>
      </c>
      <c r="R39" s="973">
        <f t="shared" si="0"/>
        <v>0</v>
      </c>
      <c r="S39" s="969">
        <f t="shared" si="1"/>
        <v>0</v>
      </c>
      <c r="T39" s="969">
        <f t="shared" si="2"/>
        <v>0</v>
      </c>
      <c r="U39" s="969">
        <f t="shared" si="3"/>
        <v>0</v>
      </c>
      <c r="V39" s="969">
        <f t="shared" si="4"/>
        <v>0</v>
      </c>
    </row>
    <row r="40" spans="1:24" s="957" customFormat="1" ht="15.6" customHeight="1">
      <c r="A40" s="958"/>
      <c r="B40" s="959"/>
      <c r="C40" s="996">
        <v>28</v>
      </c>
      <c r="D40" s="997" t="s">
        <v>107</v>
      </c>
      <c r="E40" s="987" t="s">
        <v>206</v>
      </c>
      <c r="F40" s="975" t="s">
        <v>399</v>
      </c>
      <c r="G40" s="998" t="s">
        <v>232</v>
      </c>
      <c r="H40" s="999">
        <v>2</v>
      </c>
      <c r="I40" s="998" t="s">
        <v>154</v>
      </c>
      <c r="J40" s="998" t="s">
        <v>155</v>
      </c>
      <c r="K40" s="998"/>
      <c r="L40" s="988"/>
      <c r="M40" s="1000" t="s">
        <v>154</v>
      </c>
      <c r="N40" s="1000" t="s">
        <v>154</v>
      </c>
      <c r="O40" s="580">
        <f>IF((N40=M40)=TRUE,0,1)</f>
        <v>0</v>
      </c>
      <c r="P40" s="967">
        <v>2</v>
      </c>
      <c r="Q40" s="967">
        <v>2</v>
      </c>
      <c r="R40" s="973">
        <f t="shared" si="0"/>
        <v>0</v>
      </c>
      <c r="S40" s="1001">
        <f t="shared" si="1"/>
        <v>0</v>
      </c>
      <c r="T40" s="969">
        <f t="shared" si="2"/>
        <v>0</v>
      </c>
      <c r="U40" s="969">
        <f t="shared" si="3"/>
        <v>0</v>
      </c>
      <c r="V40" s="969">
        <f t="shared" si="4"/>
        <v>0</v>
      </c>
    </row>
    <row r="41" spans="1:24" s="957" customFormat="1" ht="15.75" customHeight="1">
      <c r="A41" s="958" t="s">
        <v>1471</v>
      </c>
      <c r="B41" s="1002" t="s">
        <v>635</v>
      </c>
      <c r="C41" s="1003">
        <v>29</v>
      </c>
      <c r="D41" s="983" t="s">
        <v>636</v>
      </c>
      <c r="E41" s="961"/>
      <c r="F41" s="962" t="s">
        <v>412</v>
      </c>
      <c r="G41" s="963" t="s">
        <v>231</v>
      </c>
      <c r="H41" s="964">
        <v>10</v>
      </c>
      <c r="I41" s="963"/>
      <c r="J41" s="963"/>
      <c r="K41" s="963"/>
      <c r="L41" s="1004"/>
      <c r="M41" s="966">
        <v>0</v>
      </c>
      <c r="N41" s="966">
        <f>N17+N23+N29+N31+N19+N20</f>
        <v>0</v>
      </c>
      <c r="O41" s="1310"/>
      <c r="P41" s="967">
        <f>IF(N41=0,10,"行业水平评分")</f>
        <v>10</v>
      </c>
      <c r="Q41" s="967">
        <f>IF(M41=0,10,"行业水平评分")</f>
        <v>10</v>
      </c>
      <c r="R41" s="973">
        <f>0</f>
        <v>0</v>
      </c>
      <c r="S41" s="969">
        <f>IF(N41&lt;&gt;0,10,0)</f>
        <v>0</v>
      </c>
      <c r="T41" s="969">
        <f t="shared" si="2"/>
        <v>0</v>
      </c>
      <c r="U41" s="969">
        <f t="shared" si="3"/>
        <v>0</v>
      </c>
      <c r="V41" s="969">
        <f t="shared" si="4"/>
        <v>0</v>
      </c>
    </row>
    <row r="42" spans="1:24" ht="15.6" customHeight="1">
      <c r="A42" s="1005"/>
      <c r="B42" s="1006"/>
      <c r="C42" s="1003"/>
      <c r="D42" s="1007" t="s">
        <v>223</v>
      </c>
      <c r="E42" s="1008"/>
      <c r="F42" s="1009"/>
      <c r="G42" s="963"/>
      <c r="H42" s="1010">
        <f>SUM(H4:H41)</f>
        <v>90</v>
      </c>
      <c r="I42" s="1005"/>
      <c r="J42" s="1005"/>
      <c r="K42" s="1005"/>
      <c r="L42" s="1011"/>
      <c r="M42" s="1012"/>
      <c r="N42" s="972"/>
      <c r="O42" s="1293"/>
      <c r="P42" s="1355">
        <f>SUBTOTAL(9,P4:P41)</f>
        <v>84</v>
      </c>
      <c r="Q42" s="1355">
        <f>SUBTOTAL(9,Q4:Q41)</f>
        <v>84</v>
      </c>
      <c r="R42" s="1013">
        <f>P42-Q42</f>
        <v>0</v>
      </c>
      <c r="S42" s="1357">
        <f>SUM(S4:S41)</f>
        <v>6</v>
      </c>
      <c r="T42" s="1358">
        <f t="shared" si="2"/>
        <v>3.5999999999999996</v>
      </c>
      <c r="U42" s="1358">
        <f t="shared" si="3"/>
        <v>0.39999999999999997</v>
      </c>
      <c r="V42" s="1358">
        <f t="shared" si="4"/>
        <v>0.19999999999999998</v>
      </c>
    </row>
    <row r="43" spans="1:24">
      <c r="D43" s="1016" t="s">
        <v>1567</v>
      </c>
      <c r="H43" s="964">
        <f>SUM(H4:H40)</f>
        <v>80</v>
      </c>
      <c r="P43" s="1356">
        <f>P42-P45</f>
        <v>74</v>
      </c>
      <c r="Q43" s="1356">
        <f>Q42-Q45</f>
        <v>74</v>
      </c>
      <c r="S43" s="1357">
        <f>SUM(S4:S40)</f>
        <v>6</v>
      </c>
      <c r="T43" s="1358">
        <f t="shared" si="2"/>
        <v>3.5999999999999996</v>
      </c>
      <c r="U43" s="1358">
        <f t="shared" si="3"/>
        <v>0.39999999999999997</v>
      </c>
      <c r="V43" s="1358">
        <f t="shared" si="4"/>
        <v>0.19999999999999998</v>
      </c>
      <c r="W43" s="1016" t="s">
        <v>1493</v>
      </c>
      <c r="X43" s="1016"/>
    </row>
    <row r="44" spans="1:24">
      <c r="D44" s="1016" t="s">
        <v>1568</v>
      </c>
      <c r="H44" s="964">
        <f>H41</f>
        <v>10</v>
      </c>
      <c r="P44" s="1356">
        <f>0</f>
        <v>0</v>
      </c>
      <c r="Q44" s="1356">
        <f>0</f>
        <v>0</v>
      </c>
      <c r="S44" s="1357">
        <f>S41</f>
        <v>0</v>
      </c>
      <c r="T44" s="1358">
        <f t="shared" si="2"/>
        <v>0</v>
      </c>
      <c r="U44" s="1358">
        <f t="shared" si="3"/>
        <v>0</v>
      </c>
      <c r="V44" s="1358">
        <f t="shared" si="4"/>
        <v>0</v>
      </c>
      <c r="W44" s="1016" t="s">
        <v>1569</v>
      </c>
      <c r="X44" s="1016"/>
    </row>
    <row r="45" spans="1:24">
      <c r="D45" s="1016" t="s">
        <v>461</v>
      </c>
      <c r="P45" s="1356">
        <f>IF(P41=10,10,0)</f>
        <v>10</v>
      </c>
      <c r="Q45" s="1356">
        <f>IF(Q41=10,10,0)</f>
        <v>10</v>
      </c>
    </row>
    <row r="46" spans="1:24">
      <c r="D46" s="1016" t="s">
        <v>463</v>
      </c>
      <c r="P46" s="1356">
        <f>10-P45</f>
        <v>0</v>
      </c>
      <c r="Q46" s="1356">
        <f>10-Q45</f>
        <v>0</v>
      </c>
    </row>
    <row r="47" spans="1:24">
      <c r="D47" s="1016" t="s">
        <v>462</v>
      </c>
      <c r="H47" s="1010">
        <v>10</v>
      </c>
      <c r="P47" s="1356">
        <v>10</v>
      </c>
      <c r="Q47" s="1356">
        <v>10</v>
      </c>
    </row>
    <row r="48" spans="1:24">
      <c r="D48" s="1016" t="s">
        <v>464</v>
      </c>
      <c r="P48" s="1356">
        <f>100-SUM(P43:P44)-P47</f>
        <v>16</v>
      </c>
      <c r="Q48" s="1356">
        <f>100-SUM(Q43:Q44)-Q47</f>
        <v>16</v>
      </c>
    </row>
    <row r="49" spans="1:12">
      <c r="A49" s="1020"/>
      <c r="B49" s="1022"/>
      <c r="H49" s="1023"/>
      <c r="L49" s="1024"/>
    </row>
    <row r="50" spans="1:12">
      <c r="A50" s="1020"/>
      <c r="B50" s="1022"/>
      <c r="H50" s="1023"/>
      <c r="L50" s="1024"/>
    </row>
    <row r="51" spans="1:12">
      <c r="A51" s="1020"/>
      <c r="B51" s="1022"/>
      <c r="H51" s="1023"/>
      <c r="L51" s="1024"/>
    </row>
    <row r="52" spans="1:12">
      <c r="A52" s="1020"/>
      <c r="B52" s="1022"/>
      <c r="D52" s="1025" t="s">
        <v>1611</v>
      </c>
      <c r="H52" s="1023"/>
      <c r="L52" s="1024"/>
    </row>
    <row r="53" spans="1:12">
      <c r="A53" s="1020"/>
      <c r="B53" s="1022"/>
      <c r="D53" s="1026" t="s">
        <v>1655</v>
      </c>
      <c r="H53" s="1023"/>
      <c r="L53" s="1024"/>
    </row>
    <row r="54" spans="1:12">
      <c r="A54" s="1020"/>
      <c r="B54" s="1022"/>
      <c r="D54" s="1020"/>
      <c r="H54" s="1023"/>
      <c r="L54" s="1024"/>
    </row>
    <row r="55" spans="1:12">
      <c r="A55" s="1020"/>
      <c r="B55" s="1022"/>
      <c r="D55" s="1020"/>
      <c r="H55" s="1023"/>
      <c r="L55" s="1024"/>
    </row>
    <row r="56" spans="1:12">
      <c r="A56" s="1020"/>
      <c r="B56" s="1022"/>
      <c r="D56" s="1020"/>
      <c r="H56" s="1023"/>
      <c r="L56" s="1024"/>
    </row>
    <row r="57" spans="1:12">
      <c r="A57" s="1020"/>
      <c r="B57" s="1022"/>
      <c r="D57" s="1020"/>
      <c r="H57" s="1023"/>
      <c r="L57" s="1024"/>
    </row>
    <row r="58" spans="1:12">
      <c r="A58" s="1020"/>
      <c r="B58" s="1022"/>
      <c r="D58" s="1020"/>
      <c r="H58" s="1023"/>
      <c r="L58" s="1024"/>
    </row>
    <row r="59" spans="1:12">
      <c r="A59" s="1020"/>
      <c r="B59" s="1022"/>
      <c r="D59" s="1020"/>
      <c r="H59" s="1023"/>
      <c r="L59" s="1024"/>
    </row>
    <row r="60" spans="1:12">
      <c r="A60" s="1020"/>
      <c r="B60" s="1022"/>
      <c r="D60" s="1020"/>
      <c r="H60" s="1023"/>
      <c r="L60" s="1024"/>
    </row>
    <row r="61" spans="1:12">
      <c r="A61" s="1020"/>
      <c r="B61" s="1022"/>
      <c r="D61" s="1020"/>
      <c r="H61" s="1023"/>
      <c r="L61" s="1024"/>
    </row>
    <row r="62" spans="1:12">
      <c r="A62" s="1020"/>
      <c r="B62" s="1022"/>
      <c r="D62" s="1020"/>
      <c r="H62" s="1023"/>
      <c r="L62" s="1024"/>
    </row>
    <row r="63" spans="1:12">
      <c r="A63" s="1020"/>
      <c r="B63" s="1022"/>
      <c r="D63" s="1020"/>
      <c r="H63" s="1023"/>
      <c r="L63" s="1024"/>
    </row>
    <row r="64" spans="1:12">
      <c r="A64" s="1020"/>
      <c r="B64" s="1022"/>
      <c r="D64" s="1020"/>
      <c r="H64" s="1023"/>
      <c r="L64" s="1024"/>
    </row>
    <row r="65" spans="1:12">
      <c r="A65" s="1020"/>
      <c r="B65" s="1022"/>
      <c r="D65" s="1020"/>
      <c r="H65" s="1023"/>
      <c r="L65" s="1024"/>
    </row>
    <row r="66" spans="1:12">
      <c r="A66" s="1020"/>
      <c r="B66" s="1022"/>
      <c r="D66" s="1020"/>
      <c r="H66" s="1023"/>
      <c r="L66" s="1024"/>
    </row>
    <row r="67" spans="1:12">
      <c r="A67" s="1020"/>
      <c r="B67" s="1022"/>
      <c r="D67" s="1020"/>
      <c r="H67" s="1023"/>
      <c r="L67" s="1024"/>
    </row>
    <row r="68" spans="1:12">
      <c r="A68" s="1020"/>
      <c r="B68" s="1022"/>
      <c r="D68" s="1020"/>
      <c r="H68" s="1023"/>
      <c r="L68" s="1024"/>
    </row>
    <row r="69" spans="1:12">
      <c r="A69" s="1020"/>
      <c r="B69" s="1022"/>
      <c r="D69" s="1020"/>
      <c r="H69" s="1023"/>
      <c r="L69" s="1024"/>
    </row>
    <row r="70" spans="1:12">
      <c r="A70" s="1020"/>
      <c r="B70" s="1022"/>
      <c r="D70" s="1020"/>
      <c r="H70" s="1023"/>
      <c r="L70" s="1024"/>
    </row>
    <row r="71" spans="1:12">
      <c r="A71" s="1020"/>
      <c r="B71" s="1022"/>
      <c r="D71" s="1020"/>
      <c r="H71" s="1023"/>
      <c r="L71" s="1024"/>
    </row>
    <row r="72" spans="1:12">
      <c r="A72" s="1020"/>
      <c r="B72" s="1022"/>
      <c r="D72" s="1020"/>
      <c r="H72" s="1023"/>
      <c r="L72" s="1024"/>
    </row>
    <row r="73" spans="1:12">
      <c r="A73" s="1020"/>
      <c r="B73" s="1022"/>
      <c r="D73" s="1020"/>
      <c r="H73" s="1023"/>
      <c r="L73" s="1024"/>
    </row>
    <row r="74" spans="1:12">
      <c r="A74" s="1020"/>
      <c r="B74" s="1022"/>
      <c r="D74" s="1020"/>
      <c r="H74" s="1023"/>
      <c r="L74" s="1024"/>
    </row>
    <row r="75" spans="1:12">
      <c r="A75" s="1020"/>
      <c r="B75" s="1022"/>
      <c r="D75" s="1020"/>
      <c r="H75" s="1023"/>
      <c r="L75" s="1024"/>
    </row>
    <row r="76" spans="1:12">
      <c r="A76" s="1020"/>
      <c r="B76" s="1022"/>
      <c r="D76" s="1020"/>
      <c r="H76" s="1023"/>
      <c r="L76" s="1024"/>
    </row>
    <row r="77" spans="1:12">
      <c r="A77" s="1020"/>
      <c r="B77" s="1022"/>
      <c r="D77" s="1020"/>
      <c r="H77" s="1023"/>
      <c r="L77" s="1024"/>
    </row>
    <row r="78" spans="1:12">
      <c r="A78" s="1020"/>
      <c r="B78" s="1022"/>
      <c r="D78" s="1020"/>
      <c r="H78" s="1023"/>
      <c r="L78" s="1024"/>
    </row>
    <row r="79" spans="1:12">
      <c r="A79" s="1020"/>
      <c r="B79" s="1022"/>
      <c r="D79" s="1020"/>
      <c r="H79" s="1023"/>
      <c r="L79" s="1024"/>
    </row>
    <row r="80" spans="1:12">
      <c r="A80" s="1020"/>
      <c r="B80" s="1022"/>
      <c r="D80" s="1020"/>
      <c r="H80" s="1023"/>
      <c r="L80" s="1024"/>
    </row>
    <row r="81" spans="1:12">
      <c r="A81" s="1020"/>
      <c r="B81" s="1022"/>
      <c r="D81" s="1020"/>
      <c r="H81" s="1023"/>
      <c r="L81" s="1024"/>
    </row>
    <row r="82" spans="1:12">
      <c r="A82" s="1020"/>
      <c r="B82" s="1022"/>
      <c r="D82" s="1020"/>
      <c r="H82" s="1023"/>
      <c r="L82" s="1024"/>
    </row>
    <row r="83" spans="1:12">
      <c r="A83" s="1020"/>
      <c r="B83" s="1022"/>
      <c r="D83" s="1020"/>
      <c r="H83" s="1023"/>
      <c r="L83" s="1024"/>
    </row>
    <row r="84" spans="1:12">
      <c r="A84" s="1020"/>
      <c r="B84" s="1022"/>
      <c r="D84" s="1020"/>
      <c r="H84" s="1023"/>
      <c r="L84" s="1024"/>
    </row>
    <row r="85" spans="1:12">
      <c r="A85" s="1020"/>
      <c r="B85" s="1022"/>
      <c r="D85" s="1020"/>
      <c r="H85" s="1023"/>
      <c r="L85" s="1024"/>
    </row>
  </sheetData>
  <mergeCells count="2">
    <mergeCell ref="A7:A10"/>
    <mergeCell ref="B7:B10"/>
  </mergeCells>
  <phoneticPr fontId="12" type="noConversion"/>
  <conditionalFormatting sqref="O4:O40">
    <cfRule type="cellIs" dxfId="115" priority="27" stopIfTrue="1" operator="lessThanOrEqual">
      <formula>-0.3</formula>
    </cfRule>
    <cfRule type="cellIs" dxfId="114" priority="28" stopIfTrue="1" operator="greaterThanOrEqual">
      <formula>0.3</formula>
    </cfRule>
  </conditionalFormatting>
  <conditionalFormatting sqref="P36:Q36">
    <cfRule type="cellIs" dxfId="113" priority="25" operator="notEqual">
      <formula>3</formula>
    </cfRule>
  </conditionalFormatting>
  <conditionalFormatting sqref="S4:V41">
    <cfRule type="expression" dxfId="112" priority="23">
      <formula>S4&lt;&gt;0</formula>
    </cfRule>
  </conditionalFormatting>
  <conditionalFormatting sqref="P4">
    <cfRule type="expression" dxfId="111" priority="20">
      <formula>P4&lt;&gt;H4</formula>
    </cfRule>
  </conditionalFormatting>
  <conditionalFormatting sqref="P5:P10">
    <cfRule type="expression" dxfId="110" priority="19">
      <formula>P5&lt;&gt;H5</formula>
    </cfRule>
  </conditionalFormatting>
  <conditionalFormatting sqref="P5:P41">
    <cfRule type="expression" dxfId="109" priority="18">
      <formula>P5&lt;&gt;H5</formula>
    </cfRule>
  </conditionalFormatting>
  <conditionalFormatting sqref="Q4">
    <cfRule type="expression" dxfId="108" priority="17">
      <formula>Q4&lt;&gt;H4</formula>
    </cfRule>
  </conditionalFormatting>
  <conditionalFormatting sqref="Q5:Q23">
    <cfRule type="expression" dxfId="107" priority="16">
      <formula>Q5&lt;&gt;H5</formula>
    </cfRule>
  </conditionalFormatting>
  <conditionalFormatting sqref="Q20:Q41">
    <cfRule type="expression" dxfId="106" priority="15">
      <formula>Q20&lt;&gt;H20</formula>
    </cfRule>
  </conditionalFormatting>
  <conditionalFormatting sqref="R4:R41">
    <cfRule type="expression" dxfId="105" priority="14">
      <formula>R4&lt;0</formula>
    </cfRule>
  </conditionalFormatting>
  <conditionalFormatting sqref="R4:R41">
    <cfRule type="cellIs" dxfId="104" priority="11" stopIfTrue="1" operator="lessThan">
      <formula>0</formula>
    </cfRule>
    <cfRule type="cellIs" dxfId="103" priority="12" operator="greaterThan">
      <formula>0</formula>
    </cfRule>
  </conditionalFormatting>
  <dataValidations count="14">
    <dataValidation type="list" allowBlank="1" showInputMessage="1" showErrorMessage="1" sqref="H5 M5:N5">
      <formula1>"是,否"</formula1>
    </dataValidation>
    <dataValidation type="list" allowBlank="1" showInputMessage="1" showErrorMessage="1" sqref="L4:N4">
      <formula1>$I$4:$K$4</formula1>
    </dataValidation>
    <dataValidation type="list" allowBlank="1" showInputMessage="1" showErrorMessage="1" sqref="L30">
      <formula1>$I$30:$K$30</formula1>
    </dataValidation>
    <dataValidation type="list" allowBlank="1" showInputMessage="1" showErrorMessage="1" sqref="L32">
      <formula1>$I$32:$J$32</formula1>
    </dataValidation>
    <dataValidation type="list" allowBlank="1" showInputMessage="1" showErrorMessage="1" sqref="L34">
      <formula1>$I$34:$J$34</formula1>
    </dataValidation>
    <dataValidation type="list" allowBlank="1" showInputMessage="1" showErrorMessage="1" sqref="L35">
      <formula1>$I$35:$K$35</formula1>
    </dataValidation>
    <dataValidation type="list" allowBlank="1" showInputMessage="1" showErrorMessage="1" sqref="L18">
      <formula1>$M$18:$M$18</formula1>
    </dataValidation>
    <dataValidation type="list" allowBlank="1" showInputMessage="1" showErrorMessage="1" sqref="L16">
      <formula1>$M$16:$M$16</formula1>
    </dataValidation>
    <dataValidation type="list" allowBlank="1" showInputMessage="1" showErrorMessage="1" sqref="L15">
      <formula1>$M$15:$M$15</formula1>
    </dataValidation>
    <dataValidation type="list" allowBlank="1" showInputMessage="1" showErrorMessage="1" sqref="L14">
      <formula1>$M$14:$M$14</formula1>
    </dataValidation>
    <dataValidation type="list" allowBlank="1" showInputMessage="1" showErrorMessage="1" sqref="L28">
      <formula1>$M$28:$M$28</formula1>
    </dataValidation>
    <dataValidation type="list" allowBlank="1" showInputMessage="1" showErrorMessage="1" sqref="L24">
      <formula1>$M$24:$M$24</formula1>
    </dataValidation>
    <dataValidation type="list" allowBlank="1" showInputMessage="1" showErrorMessage="1" sqref="L22">
      <formula1>$M$22:$M$22</formula1>
    </dataValidation>
    <dataValidation type="list" allowBlank="1" showInputMessage="1" showErrorMessage="1" sqref="L21">
      <formula1>$M$21:$M$21</formula1>
    </dataValidation>
  </dataValidations>
  <hyperlinks>
    <hyperlink ref="D52" location="权重!A1" display="权重!A1"/>
    <hyperlink ref="D53" location="目录!A1" display="目录!A1"/>
  </hyperlinks>
  <pageMargins left="0.7" right="0.7" top="0.75" bottom="0.75" header="0.3" footer="0.3"/>
  <pageSetup paperSize="9" orientation="portrait" horizontalDpi="4294967295" verticalDpi="4294967295" r:id="rId1"/>
</worksheet>
</file>

<file path=xl/worksheets/sheet21.xml><?xml version="1.0" encoding="utf-8"?>
<worksheet xmlns="http://schemas.openxmlformats.org/spreadsheetml/2006/main" xmlns:r="http://schemas.openxmlformats.org/officeDocument/2006/relationships">
  <sheetPr codeName="Sheet6">
    <tabColor theme="6"/>
  </sheetPr>
  <dimension ref="A1:AD169"/>
  <sheetViews>
    <sheetView workbookViewId="0">
      <pane xSplit="8" ySplit="3" topLeftCell="J4" activePane="bottomRight" state="frozenSplit"/>
      <selection activeCell="A3" sqref="A3:B3"/>
      <selection pane="topRight" activeCell="A3" sqref="A3:B3"/>
      <selection pane="bottomLeft" activeCell="A3" sqref="A3:B3"/>
      <selection pane="bottomRight" activeCell="M4" sqref="M4"/>
    </sheetView>
  </sheetViews>
  <sheetFormatPr defaultColWidth="8.875" defaultRowHeight="16.5" outlineLevelCol="1"/>
  <cols>
    <col min="1" max="2" width="20.75" style="371" hidden="1" customWidth="1" outlineLevel="1"/>
    <col min="3" max="3" width="4.625" style="536" customWidth="1" collapsed="1"/>
    <col min="4" max="4" width="41.375" style="371" customWidth="1"/>
    <col min="5" max="5" width="12.5" style="374" customWidth="1"/>
    <col min="6" max="6" width="11.5" style="559" hidden="1" customWidth="1" outlineLevel="1"/>
    <col min="7" max="7" width="10.5" style="371" hidden="1" customWidth="1" outlineLevel="1"/>
    <col min="8" max="8" width="9" style="371" customWidth="1" collapsed="1"/>
    <col min="9" max="9" width="13.875" style="371" hidden="1" customWidth="1"/>
    <col min="10" max="10" width="9.625" style="557" customWidth="1" collapsed="1"/>
    <col min="11" max="11" width="9.25" style="557" customWidth="1"/>
    <col min="12" max="12" width="9.25" style="581" customWidth="1"/>
    <col min="13" max="14" width="10.625" style="371" customWidth="1"/>
    <col min="15" max="15" width="11.75" style="384" customWidth="1"/>
    <col min="16" max="16" width="7.875" style="371" bestFit="1" customWidth="1"/>
    <col min="17" max="17" width="7.75" style="371" customWidth="1"/>
    <col min="18" max="19" width="11.25" style="371" customWidth="1"/>
    <col min="20" max="20" width="14.875" style="371" customWidth="1"/>
    <col min="21" max="21" width="72.125" style="371" bestFit="1" customWidth="1"/>
    <col min="22" max="22" width="5.625" style="371" bestFit="1" customWidth="1"/>
    <col min="23" max="23" width="7.75" style="371" customWidth="1"/>
    <col min="24" max="25" width="8.875" style="562" hidden="1" customWidth="1" outlineLevel="1"/>
    <col min="26" max="26" width="8.875" style="585" hidden="1" customWidth="1" outlineLevel="1"/>
    <col min="27" max="28" width="8.875" style="562" hidden="1" customWidth="1" outlineLevel="1"/>
    <col min="29" max="29" width="8.875" style="585" hidden="1" customWidth="1" outlineLevel="1"/>
    <col min="30" max="30" width="8.875" style="371" collapsed="1"/>
    <col min="31" max="16384" width="8.875" style="371"/>
  </cols>
  <sheetData>
    <row r="1" spans="1:29">
      <c r="A1" s="560"/>
      <c r="B1" s="560"/>
      <c r="C1" s="582" t="s">
        <v>185</v>
      </c>
      <c r="D1" s="561"/>
      <c r="F1" s="382"/>
      <c r="G1" s="583"/>
      <c r="I1" s="584"/>
      <c r="J1" s="382"/>
      <c r="K1" s="382"/>
      <c r="L1" s="577"/>
      <c r="M1" s="584"/>
      <c r="Y1" s="562" t="s">
        <v>1421</v>
      </c>
      <c r="AB1" s="562" t="s">
        <v>1408</v>
      </c>
    </row>
    <row r="2" spans="1:29">
      <c r="A2" s="563"/>
      <c r="B2" s="563"/>
      <c r="C2" s="586"/>
      <c r="D2" s="564"/>
      <c r="F2" s="586"/>
      <c r="I2" s="584"/>
      <c r="J2" s="382"/>
      <c r="K2" s="382"/>
      <c r="L2" s="577"/>
      <c r="M2" s="584"/>
      <c r="N2" s="364" t="s">
        <v>1656</v>
      </c>
      <c r="Y2" s="562" t="s">
        <v>1082</v>
      </c>
      <c r="AB2" s="562" t="s">
        <v>1082</v>
      </c>
    </row>
    <row r="3" spans="1:29" s="374" customFormat="1" ht="15">
      <c r="A3" s="359" t="s">
        <v>395</v>
      </c>
      <c r="B3" s="359" t="s">
        <v>396</v>
      </c>
      <c r="C3" s="565" t="s">
        <v>184</v>
      </c>
      <c r="D3" s="531" t="s">
        <v>183</v>
      </c>
      <c r="E3" s="531" t="s">
        <v>1485</v>
      </c>
      <c r="F3" s="531" t="s">
        <v>394</v>
      </c>
      <c r="G3" s="531" t="s">
        <v>650</v>
      </c>
      <c r="H3" s="531" t="s">
        <v>489</v>
      </c>
      <c r="I3" s="531" t="s">
        <v>1099</v>
      </c>
      <c r="J3" s="605" t="s">
        <v>1421</v>
      </c>
      <c r="K3" s="606" t="s">
        <v>2255</v>
      </c>
      <c r="L3" s="578" t="s">
        <v>1561</v>
      </c>
      <c r="M3" s="606" t="s">
        <v>2258</v>
      </c>
      <c r="N3" s="605" t="s">
        <v>2159</v>
      </c>
      <c r="O3" s="531" t="s">
        <v>1101</v>
      </c>
      <c r="P3" s="531" t="s">
        <v>465</v>
      </c>
      <c r="Q3" s="533" t="s">
        <v>1609</v>
      </c>
      <c r="R3" s="533" t="s">
        <v>1610</v>
      </c>
      <c r="S3" s="607" t="s">
        <v>2466</v>
      </c>
      <c r="X3" s="396"/>
      <c r="Y3" s="396" t="s">
        <v>1406</v>
      </c>
      <c r="Z3" s="403" t="s">
        <v>1405</v>
      </c>
      <c r="AA3" s="396"/>
      <c r="AB3" s="396" t="s">
        <v>1406</v>
      </c>
      <c r="AC3" s="403" t="s">
        <v>1405</v>
      </c>
    </row>
    <row r="4" spans="1:29" s="374" customFormat="1" ht="15.6" customHeight="1">
      <c r="A4" s="1755" t="s">
        <v>2210</v>
      </c>
      <c r="B4" s="1755" t="s">
        <v>362</v>
      </c>
      <c r="C4" s="567">
        <v>1</v>
      </c>
      <c r="D4" s="1416" t="s">
        <v>156</v>
      </c>
      <c r="E4" s="534"/>
      <c r="F4" s="587" t="s">
        <v>405</v>
      </c>
      <c r="G4" s="542" t="s">
        <v>231</v>
      </c>
      <c r="H4" s="399">
        <v>8</v>
      </c>
      <c r="I4" s="379"/>
      <c r="J4" s="22">
        <v>0.75</v>
      </c>
      <c r="K4" s="22">
        <f>K5/K6</f>
        <v>0.75</v>
      </c>
      <c r="L4" s="579">
        <f t="shared" ref="L4:L18" si="0">IF(AND(J4=0,K4&lt;&gt;0),1,IF(AND(J4=0,K4=0),0,K4/J4-1))</f>
        <v>0</v>
      </c>
      <c r="M4" s="613" t="s">
        <v>2494</v>
      </c>
      <c r="N4" s="542" t="s">
        <v>231</v>
      </c>
      <c r="O4" s="380" t="str">
        <f>"行业水平评分"</f>
        <v>行业水平评分</v>
      </c>
      <c r="P4" s="588">
        <f>H4</f>
        <v>8</v>
      </c>
      <c r="Q4" s="458">
        <f>P4*100%</f>
        <v>8</v>
      </c>
      <c r="R4" s="458">
        <f>Q4/9*2</f>
        <v>1.7777777777777777</v>
      </c>
      <c r="S4" s="458">
        <f>R4/2</f>
        <v>0.88888888888888884</v>
      </c>
      <c r="T4" s="442"/>
      <c r="U4" s="442"/>
      <c r="V4" s="442"/>
      <c r="W4" s="576"/>
      <c r="X4" s="396"/>
      <c r="Y4" s="403">
        <v>0.5</v>
      </c>
      <c r="Z4" s="403">
        <f>K4*H4</f>
        <v>6</v>
      </c>
      <c r="AA4" s="396"/>
      <c r="AB4" s="403">
        <v>0.5</v>
      </c>
      <c r="AC4" s="403">
        <f>J4*H4</f>
        <v>6</v>
      </c>
    </row>
    <row r="5" spans="1:29" s="374" customFormat="1" ht="15.6" customHeight="1">
      <c r="A5" s="1755"/>
      <c r="B5" s="1755"/>
      <c r="C5" s="569">
        <v>1.1000000000000001</v>
      </c>
      <c r="D5" s="589" t="s">
        <v>157</v>
      </c>
      <c r="E5" s="534" t="s">
        <v>208</v>
      </c>
      <c r="F5" s="590"/>
      <c r="G5" s="542"/>
      <c r="H5" s="380"/>
      <c r="I5" s="379" t="s">
        <v>211</v>
      </c>
      <c r="J5" s="402">
        <v>3</v>
      </c>
      <c r="K5" s="402">
        <v>3</v>
      </c>
      <c r="L5" s="579">
        <f t="shared" si="0"/>
        <v>0</v>
      </c>
      <c r="M5" s="380"/>
      <c r="N5" s="379"/>
      <c r="O5" s="408">
        <f>M5-N5</f>
        <v>0</v>
      </c>
      <c r="P5" s="588">
        <f>H5-N5</f>
        <v>0</v>
      </c>
      <c r="Q5" s="458">
        <f t="shared" ref="Q5:Q21" si="1">P5*100%</f>
        <v>0</v>
      </c>
      <c r="R5" s="458">
        <f t="shared" ref="R5:R21" si="2">Q5/9*2</f>
        <v>0</v>
      </c>
      <c r="S5" s="458">
        <f t="shared" ref="S5:S21" si="3">R5/2</f>
        <v>0</v>
      </c>
      <c r="T5" s="442"/>
      <c r="U5" s="442"/>
      <c r="V5" s="442"/>
      <c r="W5" s="576"/>
      <c r="X5" s="396"/>
      <c r="Y5" s="403"/>
      <c r="Z5" s="403"/>
      <c r="AA5" s="396"/>
      <c r="AB5" s="403"/>
      <c r="AC5" s="403"/>
    </row>
    <row r="6" spans="1:29" s="374" customFormat="1" ht="15.6" customHeight="1">
      <c r="A6" s="1755"/>
      <c r="B6" s="1755"/>
      <c r="C6" s="569">
        <v>1.2</v>
      </c>
      <c r="D6" s="405" t="s">
        <v>158</v>
      </c>
      <c r="E6" s="534" t="s">
        <v>208</v>
      </c>
      <c r="F6" s="591"/>
      <c r="G6" s="542"/>
      <c r="H6" s="380"/>
      <c r="I6" s="379" t="s">
        <v>211</v>
      </c>
      <c r="J6" s="402">
        <v>4</v>
      </c>
      <c r="K6" s="402">
        <v>4</v>
      </c>
      <c r="L6" s="579">
        <f t="shared" si="0"/>
        <v>0</v>
      </c>
      <c r="M6" s="380"/>
      <c r="N6" s="379"/>
      <c r="O6" s="408">
        <f>M6-N6</f>
        <v>0</v>
      </c>
      <c r="P6" s="588">
        <f>H6-N6</f>
        <v>0</v>
      </c>
      <c r="Q6" s="458">
        <f t="shared" si="1"/>
        <v>0</v>
      </c>
      <c r="R6" s="458">
        <f t="shared" si="2"/>
        <v>0</v>
      </c>
      <c r="S6" s="458">
        <f t="shared" si="3"/>
        <v>0</v>
      </c>
      <c r="T6" s="442"/>
      <c r="U6" s="442"/>
      <c r="V6" s="442"/>
      <c r="W6" s="576"/>
      <c r="X6" s="396"/>
      <c r="Y6" s="403"/>
      <c r="Z6" s="403"/>
      <c r="AA6" s="396"/>
      <c r="AB6" s="403"/>
      <c r="AC6" s="403"/>
    </row>
    <row r="7" spans="1:29" s="374" customFormat="1" ht="15.6" customHeight="1">
      <c r="A7" s="566" t="s">
        <v>2211</v>
      </c>
      <c r="B7" s="566" t="s">
        <v>363</v>
      </c>
      <c r="C7" s="567">
        <v>2</v>
      </c>
      <c r="D7" s="1416" t="s">
        <v>159</v>
      </c>
      <c r="E7" s="534" t="s">
        <v>208</v>
      </c>
      <c r="F7" s="587" t="s">
        <v>405</v>
      </c>
      <c r="G7" s="542" t="s">
        <v>231</v>
      </c>
      <c r="H7" s="399">
        <v>9</v>
      </c>
      <c r="I7" s="379" t="s">
        <v>211</v>
      </c>
      <c r="J7" s="495">
        <v>7.36</v>
      </c>
      <c r="K7" s="495">
        <v>7.61</v>
      </c>
      <c r="L7" s="579">
        <f t="shared" si="0"/>
        <v>3.3967391304347894E-2</v>
      </c>
      <c r="M7" s="360" t="s">
        <v>227</v>
      </c>
      <c r="N7" s="360" t="s">
        <v>227</v>
      </c>
      <c r="O7" s="380" t="str">
        <f>"行业水平评分"</f>
        <v>行业水平评分</v>
      </c>
      <c r="P7" s="588">
        <f>H7</f>
        <v>9</v>
      </c>
      <c r="Q7" s="458">
        <f t="shared" si="1"/>
        <v>9</v>
      </c>
      <c r="R7" s="458">
        <f t="shared" si="2"/>
        <v>2</v>
      </c>
      <c r="S7" s="458">
        <f t="shared" si="3"/>
        <v>1</v>
      </c>
      <c r="T7" s="442"/>
      <c r="U7" s="442"/>
      <c r="V7" s="442"/>
      <c r="W7" s="576"/>
      <c r="X7" s="396"/>
      <c r="Y7" s="403">
        <v>0</v>
      </c>
      <c r="Z7" s="403">
        <v>0</v>
      </c>
      <c r="AA7" s="396"/>
      <c r="AB7" s="403">
        <v>0</v>
      </c>
      <c r="AC7" s="403">
        <v>0</v>
      </c>
    </row>
    <row r="8" spans="1:29" s="374" customFormat="1" ht="40.5">
      <c r="A8" s="570" t="s">
        <v>2132</v>
      </c>
      <c r="B8" s="570" t="s">
        <v>364</v>
      </c>
      <c r="C8" s="567">
        <v>3</v>
      </c>
      <c r="D8" s="410" t="s">
        <v>1722</v>
      </c>
      <c r="E8" s="534" t="s">
        <v>208</v>
      </c>
      <c r="F8" s="592" t="s">
        <v>406</v>
      </c>
      <c r="G8" s="542" t="s">
        <v>232</v>
      </c>
      <c r="H8" s="399">
        <v>9</v>
      </c>
      <c r="I8" s="542" t="s">
        <v>646</v>
      </c>
      <c r="J8" s="402">
        <v>0</v>
      </c>
      <c r="K8" s="402">
        <v>0</v>
      </c>
      <c r="L8" s="579">
        <f t="shared" si="0"/>
        <v>0</v>
      </c>
      <c r="M8" s="1263">
        <f>IF(K8=0,9,IF(K8=1,5,IF(K8=2,1,0)))</f>
        <v>9</v>
      </c>
      <c r="N8" s="1264">
        <f>IF(J8=0,9,IF(J8=1,5,IF(J8=2,1,0)))</f>
        <v>9</v>
      </c>
      <c r="O8" s="408">
        <f>M8-N8</f>
        <v>0</v>
      </c>
      <c r="P8" s="588">
        <f>H8-M8</f>
        <v>0</v>
      </c>
      <c r="Q8" s="458">
        <f t="shared" si="1"/>
        <v>0</v>
      </c>
      <c r="R8" s="458">
        <f t="shared" si="2"/>
        <v>0</v>
      </c>
      <c r="S8" s="458">
        <f t="shared" si="3"/>
        <v>0</v>
      </c>
      <c r="T8" s="442"/>
      <c r="U8" s="442"/>
      <c r="V8" s="442"/>
      <c r="W8" s="576"/>
      <c r="X8" s="396"/>
      <c r="Y8" s="403">
        <v>0</v>
      </c>
      <c r="Z8" s="403">
        <v>0</v>
      </c>
      <c r="AA8" s="396"/>
      <c r="AB8" s="403">
        <v>0</v>
      </c>
      <c r="AC8" s="403">
        <v>0</v>
      </c>
    </row>
    <row r="9" spans="1:29" s="374" customFormat="1" ht="15.6" customHeight="1">
      <c r="A9" s="1755" t="s">
        <v>2212</v>
      </c>
      <c r="B9" s="1755" t="s">
        <v>365</v>
      </c>
      <c r="C9" s="567">
        <v>4</v>
      </c>
      <c r="D9" s="1416" t="s">
        <v>201</v>
      </c>
      <c r="E9" s="534"/>
      <c r="F9" s="587" t="s">
        <v>405</v>
      </c>
      <c r="G9" s="542" t="s">
        <v>231</v>
      </c>
      <c r="H9" s="399">
        <v>9</v>
      </c>
      <c r="I9" s="542"/>
      <c r="J9" s="22">
        <v>0.55555555555555558</v>
      </c>
      <c r="K9" s="22">
        <f>K10/K11</f>
        <v>0.75</v>
      </c>
      <c r="L9" s="579">
        <f t="shared" si="0"/>
        <v>0.34999999999999987</v>
      </c>
      <c r="M9" s="360" t="s">
        <v>227</v>
      </c>
      <c r="N9" s="360" t="s">
        <v>227</v>
      </c>
      <c r="O9" s="380" t="str">
        <f>"行业水平评分"</f>
        <v>行业水平评分</v>
      </c>
      <c r="P9" s="588">
        <f>H9</f>
        <v>9</v>
      </c>
      <c r="Q9" s="458">
        <f t="shared" si="1"/>
        <v>9</v>
      </c>
      <c r="R9" s="458">
        <f t="shared" si="2"/>
        <v>2</v>
      </c>
      <c r="S9" s="458">
        <f t="shared" si="3"/>
        <v>1</v>
      </c>
      <c r="T9" s="442"/>
      <c r="U9" s="442"/>
      <c r="V9" s="442"/>
      <c r="W9" s="576"/>
      <c r="X9" s="396"/>
      <c r="Y9" s="403">
        <v>0.5</v>
      </c>
      <c r="Z9" s="403">
        <f>H9*K9</f>
        <v>6.75</v>
      </c>
      <c r="AA9" s="396"/>
      <c r="AB9" s="403">
        <v>0.5</v>
      </c>
      <c r="AC9" s="403">
        <f>H9*J9</f>
        <v>5</v>
      </c>
    </row>
    <row r="10" spans="1:29" s="374" customFormat="1" ht="15.6" customHeight="1">
      <c r="A10" s="1755"/>
      <c r="B10" s="1755"/>
      <c r="C10" s="569">
        <v>4.0999999999999996</v>
      </c>
      <c r="D10" s="589" t="s">
        <v>161</v>
      </c>
      <c r="E10" s="534" t="s">
        <v>208</v>
      </c>
      <c r="F10" s="590"/>
      <c r="G10" s="542"/>
      <c r="H10" s="380"/>
      <c r="I10" s="542" t="s">
        <v>211</v>
      </c>
      <c r="J10" s="402">
        <v>10</v>
      </c>
      <c r="K10" s="402">
        <v>15</v>
      </c>
      <c r="L10" s="579">
        <f t="shared" si="0"/>
        <v>0.5</v>
      </c>
      <c r="M10" s="1457"/>
      <c r="N10" s="379"/>
      <c r="O10" s="1476">
        <f t="shared" ref="O10:O18" si="4">M10-N10</f>
        <v>0</v>
      </c>
      <c r="P10" s="588">
        <f>H10-N10</f>
        <v>0</v>
      </c>
      <c r="Q10" s="458">
        <f t="shared" si="1"/>
        <v>0</v>
      </c>
      <c r="R10" s="458">
        <f t="shared" si="2"/>
        <v>0</v>
      </c>
      <c r="S10" s="458">
        <f t="shared" si="3"/>
        <v>0</v>
      </c>
      <c r="T10" s="442"/>
      <c r="U10" s="442"/>
      <c r="V10" s="442"/>
      <c r="W10" s="576"/>
      <c r="X10" s="396"/>
      <c r="Y10" s="403"/>
      <c r="Z10" s="403"/>
      <c r="AA10" s="396"/>
      <c r="AB10" s="403"/>
      <c r="AC10" s="403"/>
    </row>
    <row r="11" spans="1:29" s="374" customFormat="1" ht="15.6" customHeight="1">
      <c r="A11" s="1755"/>
      <c r="B11" s="1755"/>
      <c r="C11" s="569">
        <v>4.2</v>
      </c>
      <c r="D11" s="405" t="s">
        <v>162</v>
      </c>
      <c r="E11" s="534" t="s">
        <v>208</v>
      </c>
      <c r="F11" s="591"/>
      <c r="G11" s="542"/>
      <c r="H11" s="380"/>
      <c r="I11" s="542" t="s">
        <v>211</v>
      </c>
      <c r="J11" s="402">
        <v>18</v>
      </c>
      <c r="K11" s="402">
        <v>20</v>
      </c>
      <c r="L11" s="579">
        <f t="shared" si="0"/>
        <v>0.11111111111111116</v>
      </c>
      <c r="M11" s="1457"/>
      <c r="N11" s="379"/>
      <c r="O11" s="1476">
        <f t="shared" si="4"/>
        <v>0</v>
      </c>
      <c r="P11" s="588">
        <f>H11-N11</f>
        <v>0</v>
      </c>
      <c r="Q11" s="458">
        <f t="shared" si="1"/>
        <v>0</v>
      </c>
      <c r="R11" s="458">
        <f t="shared" si="2"/>
        <v>0</v>
      </c>
      <c r="S11" s="458">
        <f t="shared" si="3"/>
        <v>0</v>
      </c>
      <c r="T11" s="442"/>
      <c r="U11" s="442"/>
      <c r="V11" s="442"/>
      <c r="W11" s="576"/>
      <c r="X11" s="396"/>
      <c r="Y11" s="403"/>
      <c r="Z11" s="403"/>
      <c r="AA11" s="396"/>
      <c r="AB11" s="403"/>
      <c r="AC11" s="403"/>
    </row>
    <row r="12" spans="1:29" s="374" customFormat="1" ht="15.6" customHeight="1">
      <c r="A12" s="566" t="s">
        <v>366</v>
      </c>
      <c r="B12" s="566" t="s">
        <v>367</v>
      </c>
      <c r="C12" s="567">
        <v>5</v>
      </c>
      <c r="D12" s="410" t="s">
        <v>163</v>
      </c>
      <c r="E12" s="534" t="s">
        <v>208</v>
      </c>
      <c r="F12" s="593" t="s">
        <v>407</v>
      </c>
      <c r="G12" s="542" t="s">
        <v>230</v>
      </c>
      <c r="H12" s="399">
        <v>8</v>
      </c>
      <c r="I12" s="542" t="s">
        <v>212</v>
      </c>
      <c r="J12" s="402">
        <v>0</v>
      </c>
      <c r="K12" s="402">
        <v>0</v>
      </c>
      <c r="L12" s="579">
        <f t="shared" si="0"/>
        <v>0</v>
      </c>
      <c r="M12" s="1457">
        <f>MAX(H12-K12*2,0)</f>
        <v>8</v>
      </c>
      <c r="N12" s="1457">
        <f>MAX(M12-J12*2,0)</f>
        <v>8</v>
      </c>
      <c r="O12" s="1476">
        <f t="shared" si="4"/>
        <v>0</v>
      </c>
      <c r="P12" s="588">
        <f>H12-N12</f>
        <v>0</v>
      </c>
      <c r="Q12" s="458">
        <f t="shared" si="1"/>
        <v>0</v>
      </c>
      <c r="R12" s="458">
        <f t="shared" si="2"/>
        <v>0</v>
      </c>
      <c r="S12" s="458">
        <f t="shared" si="3"/>
        <v>0</v>
      </c>
      <c r="T12" s="442"/>
      <c r="U12" s="442"/>
      <c r="V12" s="442"/>
      <c r="W12" s="576"/>
      <c r="X12" s="396"/>
      <c r="Y12" s="403">
        <v>1</v>
      </c>
      <c r="Z12" s="403">
        <f>M12</f>
        <v>8</v>
      </c>
      <c r="AA12" s="396"/>
      <c r="AB12" s="403">
        <v>1</v>
      </c>
      <c r="AC12" s="403">
        <f>N12</f>
        <v>8</v>
      </c>
    </row>
    <row r="13" spans="1:29" s="374" customFormat="1" ht="15.6" customHeight="1">
      <c r="A13" s="566" t="s">
        <v>368</v>
      </c>
      <c r="B13" s="566" t="s">
        <v>436</v>
      </c>
      <c r="C13" s="567">
        <v>6</v>
      </c>
      <c r="D13" s="410" t="s">
        <v>1723</v>
      </c>
      <c r="E13" s="534" t="s">
        <v>208</v>
      </c>
      <c r="F13" s="593" t="s">
        <v>407</v>
      </c>
      <c r="G13" s="1479" t="s">
        <v>230</v>
      </c>
      <c r="H13" s="1456">
        <v>8</v>
      </c>
      <c r="I13" s="1480" t="s">
        <v>212</v>
      </c>
      <c r="J13" s="402">
        <v>0</v>
      </c>
      <c r="K13" s="402">
        <v>0</v>
      </c>
      <c r="L13" s="579">
        <f t="shared" si="0"/>
        <v>0</v>
      </c>
      <c r="M13" s="1457">
        <f>8-K13*2</f>
        <v>8</v>
      </c>
      <c r="N13" s="1457">
        <f>8-J13*2</f>
        <v>8</v>
      </c>
      <c r="O13" s="1476">
        <f t="shared" si="4"/>
        <v>0</v>
      </c>
      <c r="P13" s="588">
        <f>H13-M13</f>
        <v>0</v>
      </c>
      <c r="Q13" s="458">
        <f t="shared" si="1"/>
        <v>0</v>
      </c>
      <c r="R13" s="458">
        <f t="shared" si="2"/>
        <v>0</v>
      </c>
      <c r="S13" s="458">
        <f t="shared" si="3"/>
        <v>0</v>
      </c>
      <c r="T13" s="442"/>
      <c r="U13" s="442"/>
      <c r="V13" s="442"/>
      <c r="W13" s="576"/>
      <c r="X13" s="396"/>
      <c r="Y13" s="403">
        <v>1</v>
      </c>
      <c r="Z13" s="403">
        <f t="shared" ref="Z13:Z18" si="5">M13</f>
        <v>8</v>
      </c>
      <c r="AA13" s="396"/>
      <c r="AB13" s="403">
        <v>1</v>
      </c>
      <c r="AC13" s="403">
        <f t="shared" ref="AC13:AC18" si="6">N13</f>
        <v>8</v>
      </c>
    </row>
    <row r="14" spans="1:29" s="374" customFormat="1" ht="15.6" customHeight="1">
      <c r="A14" s="566" t="s">
        <v>369</v>
      </c>
      <c r="B14" s="566" t="s">
        <v>437</v>
      </c>
      <c r="C14" s="567">
        <v>7</v>
      </c>
      <c r="D14" s="410" t="s">
        <v>484</v>
      </c>
      <c r="E14" s="534" t="s">
        <v>208</v>
      </c>
      <c r="F14" s="593" t="s">
        <v>407</v>
      </c>
      <c r="G14" s="1479" t="s">
        <v>230</v>
      </c>
      <c r="H14" s="1456">
        <v>10</v>
      </c>
      <c r="I14" s="1480" t="s">
        <v>213</v>
      </c>
      <c r="J14" s="402">
        <v>0</v>
      </c>
      <c r="K14" s="402">
        <v>0</v>
      </c>
      <c r="L14" s="579">
        <f t="shared" si="0"/>
        <v>0</v>
      </c>
      <c r="M14" s="1457">
        <f>MAX(H14-K14*3,0)</f>
        <v>10</v>
      </c>
      <c r="N14" s="1457">
        <f>MAX(M14-J14*3,0)</f>
        <v>10</v>
      </c>
      <c r="O14" s="1476">
        <f t="shared" si="4"/>
        <v>0</v>
      </c>
      <c r="P14" s="588">
        <f>H14-N14</f>
        <v>0</v>
      </c>
      <c r="Q14" s="458">
        <f t="shared" si="1"/>
        <v>0</v>
      </c>
      <c r="R14" s="458">
        <f t="shared" si="2"/>
        <v>0</v>
      </c>
      <c r="S14" s="458">
        <f t="shared" si="3"/>
        <v>0</v>
      </c>
      <c r="T14" s="442"/>
      <c r="U14" s="442"/>
      <c r="V14" s="442"/>
      <c r="W14" s="576"/>
      <c r="X14" s="396"/>
      <c r="Y14" s="403">
        <v>1</v>
      </c>
      <c r="Z14" s="403">
        <f t="shared" si="5"/>
        <v>10</v>
      </c>
      <c r="AA14" s="396"/>
      <c r="AB14" s="403">
        <v>1</v>
      </c>
      <c r="AC14" s="403">
        <f t="shared" si="6"/>
        <v>10</v>
      </c>
    </row>
    <row r="15" spans="1:29" s="374" customFormat="1" ht="15.6" customHeight="1">
      <c r="A15" s="566" t="s">
        <v>370</v>
      </c>
      <c r="B15" s="566" t="s">
        <v>437</v>
      </c>
      <c r="C15" s="567">
        <v>8</v>
      </c>
      <c r="D15" s="410" t="s">
        <v>485</v>
      </c>
      <c r="E15" s="534" t="s">
        <v>208</v>
      </c>
      <c r="F15" s="593" t="s">
        <v>407</v>
      </c>
      <c r="G15" s="1479" t="s">
        <v>230</v>
      </c>
      <c r="H15" s="1456">
        <v>10</v>
      </c>
      <c r="I15" s="1480" t="s">
        <v>214</v>
      </c>
      <c r="J15" s="402">
        <v>0</v>
      </c>
      <c r="K15" s="402">
        <v>0</v>
      </c>
      <c r="L15" s="579">
        <f t="shared" si="0"/>
        <v>0</v>
      </c>
      <c r="M15" s="1457">
        <f>MAX(H15-K15*3,0)</f>
        <v>10</v>
      </c>
      <c r="N15" s="1457">
        <f>MAX(M15-J15*3,0)</f>
        <v>10</v>
      </c>
      <c r="O15" s="1476">
        <f t="shared" si="4"/>
        <v>0</v>
      </c>
      <c r="P15" s="588">
        <f>H15-N15</f>
        <v>0</v>
      </c>
      <c r="Q15" s="458">
        <f t="shared" si="1"/>
        <v>0</v>
      </c>
      <c r="R15" s="458">
        <f t="shared" si="2"/>
        <v>0</v>
      </c>
      <c r="S15" s="458">
        <f t="shared" si="3"/>
        <v>0</v>
      </c>
      <c r="T15" s="442"/>
      <c r="U15" s="442"/>
      <c r="V15" s="442"/>
      <c r="W15" s="576"/>
      <c r="X15" s="396"/>
      <c r="Y15" s="403">
        <v>1</v>
      </c>
      <c r="Z15" s="403">
        <f t="shared" si="5"/>
        <v>10</v>
      </c>
      <c r="AA15" s="396"/>
      <c r="AB15" s="403">
        <v>1</v>
      </c>
      <c r="AC15" s="403">
        <f t="shared" si="6"/>
        <v>10</v>
      </c>
    </row>
    <row r="16" spans="1:29" s="374" customFormat="1" ht="15.6" customHeight="1">
      <c r="A16" s="566" t="s">
        <v>371</v>
      </c>
      <c r="B16" s="566" t="s">
        <v>437</v>
      </c>
      <c r="C16" s="567">
        <v>9</v>
      </c>
      <c r="D16" s="410" t="s">
        <v>486</v>
      </c>
      <c r="E16" s="534" t="s">
        <v>208</v>
      </c>
      <c r="F16" s="593" t="s">
        <v>407</v>
      </c>
      <c r="G16" s="1479" t="s">
        <v>230</v>
      </c>
      <c r="H16" s="1456">
        <v>9</v>
      </c>
      <c r="I16" s="1480" t="s">
        <v>215</v>
      </c>
      <c r="J16" s="402">
        <v>0</v>
      </c>
      <c r="K16" s="402">
        <v>0</v>
      </c>
      <c r="L16" s="579">
        <f t="shared" si="0"/>
        <v>0</v>
      </c>
      <c r="M16" s="1457">
        <f>MAX(H16-K16*3,0)</f>
        <v>9</v>
      </c>
      <c r="N16" s="1457">
        <f>MAX(M16-J16*3,0)</f>
        <v>9</v>
      </c>
      <c r="O16" s="1476">
        <f t="shared" si="4"/>
        <v>0</v>
      </c>
      <c r="P16" s="588">
        <f>H16-N16</f>
        <v>0</v>
      </c>
      <c r="Q16" s="458">
        <f t="shared" si="1"/>
        <v>0</v>
      </c>
      <c r="R16" s="458">
        <f t="shared" si="2"/>
        <v>0</v>
      </c>
      <c r="S16" s="458">
        <f t="shared" si="3"/>
        <v>0</v>
      </c>
      <c r="T16" s="442"/>
      <c r="U16" s="442"/>
      <c r="V16" s="442"/>
      <c r="W16" s="576"/>
      <c r="X16" s="396"/>
      <c r="Y16" s="403">
        <v>1</v>
      </c>
      <c r="Z16" s="403">
        <f t="shared" si="5"/>
        <v>9</v>
      </c>
      <c r="AA16" s="396"/>
      <c r="AB16" s="403">
        <v>1</v>
      </c>
      <c r="AC16" s="403">
        <f t="shared" si="6"/>
        <v>9</v>
      </c>
    </row>
    <row r="17" spans="1:29" s="374" customFormat="1" ht="15.6" customHeight="1">
      <c r="A17" s="566" t="s">
        <v>372</v>
      </c>
      <c r="B17" s="566" t="s">
        <v>367</v>
      </c>
      <c r="C17" s="567">
        <v>10</v>
      </c>
      <c r="D17" s="724" t="s">
        <v>164</v>
      </c>
      <c r="E17" s="1477" t="s">
        <v>208</v>
      </c>
      <c r="F17" s="593" t="s">
        <v>407</v>
      </c>
      <c r="G17" s="1479" t="s">
        <v>230</v>
      </c>
      <c r="H17" s="1456">
        <v>10</v>
      </c>
      <c r="I17" s="1480" t="s">
        <v>214</v>
      </c>
      <c r="J17" s="402">
        <v>0</v>
      </c>
      <c r="K17" s="402">
        <v>0</v>
      </c>
      <c r="L17" s="579">
        <f t="shared" si="0"/>
        <v>0</v>
      </c>
      <c r="M17" s="1457">
        <f>MAX(H17-K17*2,0)</f>
        <v>10</v>
      </c>
      <c r="N17" s="1457">
        <f>MAX(M17-J17*2,0)</f>
        <v>10</v>
      </c>
      <c r="O17" s="1476">
        <f t="shared" si="4"/>
        <v>0</v>
      </c>
      <c r="P17" s="588">
        <f>H17-N17</f>
        <v>0</v>
      </c>
      <c r="Q17" s="458">
        <f t="shared" si="1"/>
        <v>0</v>
      </c>
      <c r="R17" s="458">
        <f t="shared" si="2"/>
        <v>0</v>
      </c>
      <c r="S17" s="458">
        <f t="shared" si="3"/>
        <v>0</v>
      </c>
      <c r="T17" s="442"/>
      <c r="U17" s="442"/>
      <c r="V17" s="442"/>
      <c r="W17" s="576"/>
      <c r="X17" s="396"/>
      <c r="Y17" s="403">
        <v>1</v>
      </c>
      <c r="Z17" s="403">
        <f t="shared" si="5"/>
        <v>10</v>
      </c>
      <c r="AA17" s="396"/>
      <c r="AB17" s="403">
        <v>1</v>
      </c>
      <c r="AC17" s="403">
        <f t="shared" si="6"/>
        <v>10</v>
      </c>
    </row>
    <row r="18" spans="1:29" s="374" customFormat="1" ht="15.6" customHeight="1">
      <c r="A18" s="566" t="s">
        <v>373</v>
      </c>
      <c r="B18" s="566" t="s">
        <v>367</v>
      </c>
      <c r="C18" s="571">
        <v>11</v>
      </c>
      <c r="D18" s="724" t="s">
        <v>487</v>
      </c>
      <c r="E18" s="611" t="s">
        <v>208</v>
      </c>
      <c r="F18" s="1467" t="s">
        <v>407</v>
      </c>
      <c r="G18" s="613" t="s">
        <v>230</v>
      </c>
      <c r="H18" s="1456">
        <v>10</v>
      </c>
      <c r="I18" s="613"/>
      <c r="J18" s="1461">
        <v>0</v>
      </c>
      <c r="K18" s="1461">
        <v>0</v>
      </c>
      <c r="L18" s="1465">
        <f t="shared" si="0"/>
        <v>0</v>
      </c>
      <c r="M18" s="1457">
        <f>MAX(H18-K18*2,0)</f>
        <v>10</v>
      </c>
      <c r="N18" s="1457">
        <f>MAX(M18-J18*2,0)</f>
        <v>10</v>
      </c>
      <c r="O18" s="617">
        <f t="shared" si="4"/>
        <v>0</v>
      </c>
      <c r="P18" s="458">
        <f>H18-N18</f>
        <v>0</v>
      </c>
      <c r="Q18" s="458">
        <f t="shared" si="1"/>
        <v>0</v>
      </c>
      <c r="R18" s="458">
        <f t="shared" si="2"/>
        <v>0</v>
      </c>
      <c r="S18" s="458">
        <f t="shared" si="3"/>
        <v>0</v>
      </c>
      <c r="T18" s="442"/>
      <c r="U18" s="442"/>
      <c r="V18" s="442"/>
      <c r="W18" s="576"/>
      <c r="X18" s="396"/>
      <c r="Y18" s="403">
        <v>1</v>
      </c>
      <c r="Z18" s="403">
        <f t="shared" si="5"/>
        <v>10</v>
      </c>
      <c r="AA18" s="396"/>
      <c r="AB18" s="403">
        <v>1</v>
      </c>
      <c r="AC18" s="403">
        <f t="shared" si="6"/>
        <v>10</v>
      </c>
    </row>
    <row r="19" spans="1:29" s="594" customFormat="1" ht="15.6" customHeight="1">
      <c r="A19" s="572"/>
      <c r="B19" s="572"/>
      <c r="C19" s="567"/>
      <c r="D19" s="434" t="s">
        <v>225</v>
      </c>
      <c r="E19" s="1473"/>
      <c r="F19" s="463"/>
      <c r="G19" s="1473"/>
      <c r="H19" s="1492">
        <v>100</v>
      </c>
      <c r="I19" s="1473"/>
      <c r="J19" s="1474"/>
      <c r="K19" s="1474"/>
      <c r="L19" s="1475"/>
      <c r="M19" s="1493">
        <f>SUBTOTAL(9,M4:M18)</f>
        <v>74</v>
      </c>
      <c r="N19" s="1493">
        <f>SUBTOTAL(9,N4:N18)</f>
        <v>74</v>
      </c>
      <c r="O19" s="1457">
        <f>M19-N19</f>
        <v>0</v>
      </c>
      <c r="P19" s="1494">
        <f>H19-M19</f>
        <v>26</v>
      </c>
      <c r="Q19" s="574">
        <f t="shared" si="1"/>
        <v>26</v>
      </c>
      <c r="R19" s="574">
        <f t="shared" si="2"/>
        <v>5.7777777777777777</v>
      </c>
      <c r="S19" s="574">
        <f t="shared" si="3"/>
        <v>2.8888888888888888</v>
      </c>
      <c r="T19" s="1473"/>
      <c r="X19" s="595"/>
      <c r="Y19" s="595"/>
      <c r="Z19" s="596"/>
      <c r="AA19" s="595"/>
      <c r="AB19" s="595"/>
      <c r="AC19" s="596"/>
    </row>
    <row r="20" spans="1:29" s="374" customFormat="1" ht="14.25">
      <c r="C20" s="376"/>
      <c r="D20" s="575" t="s">
        <v>229</v>
      </c>
      <c r="E20" s="634"/>
      <c r="F20" s="635"/>
      <c r="G20" s="634"/>
      <c r="H20" s="1456">
        <f>H8+SUM(H12:H18)</f>
        <v>74</v>
      </c>
      <c r="I20" s="634"/>
      <c r="J20" s="455"/>
      <c r="K20" s="455"/>
      <c r="L20" s="651"/>
      <c r="M20" s="520">
        <f>M19-M22</f>
        <v>74</v>
      </c>
      <c r="N20" s="520">
        <f>N19-N22</f>
        <v>74</v>
      </c>
      <c r="O20" s="597"/>
      <c r="P20" s="573">
        <f>P8+SUM(P12:P18)</f>
        <v>0</v>
      </c>
      <c r="Q20" s="574">
        <f t="shared" si="1"/>
        <v>0</v>
      </c>
      <c r="R20" s="574">
        <f t="shared" si="2"/>
        <v>0</v>
      </c>
      <c r="S20" s="574">
        <f t="shared" si="3"/>
        <v>0</v>
      </c>
      <c r="T20" s="1478" t="s">
        <v>1571</v>
      </c>
      <c r="X20" s="396"/>
      <c r="Y20" s="396"/>
      <c r="Z20" s="403"/>
      <c r="AA20" s="396"/>
      <c r="AB20" s="396"/>
      <c r="AC20" s="403"/>
    </row>
    <row r="21" spans="1:29" s="374" customFormat="1" ht="14.25">
      <c r="C21" s="376"/>
      <c r="D21" s="575" t="s">
        <v>1570</v>
      </c>
      <c r="E21" s="634"/>
      <c r="F21" s="635"/>
      <c r="G21" s="634"/>
      <c r="H21" s="1456">
        <v>26</v>
      </c>
      <c r="I21" s="634"/>
      <c r="J21" s="455"/>
      <c r="K21" s="455"/>
      <c r="L21" s="651"/>
      <c r="M21" s="427">
        <f>M22</f>
        <v>0</v>
      </c>
      <c r="N21" s="427">
        <f>N22</f>
        <v>0</v>
      </c>
      <c r="O21" s="597"/>
      <c r="P21" s="573">
        <f>P4+P7+P9</f>
        <v>26</v>
      </c>
      <c r="Q21" s="574">
        <f t="shared" si="1"/>
        <v>26</v>
      </c>
      <c r="R21" s="574">
        <f t="shared" si="2"/>
        <v>5.7777777777777777</v>
      </c>
      <c r="S21" s="574">
        <f t="shared" si="3"/>
        <v>2.8888888888888888</v>
      </c>
      <c r="T21" s="575" t="s">
        <v>1572</v>
      </c>
      <c r="X21" s="396"/>
      <c r="Y21" s="396"/>
      <c r="Z21" s="403"/>
      <c r="AA21" s="396"/>
      <c r="AB21" s="396"/>
      <c r="AC21" s="403"/>
    </row>
    <row r="22" spans="1:29" s="374" customFormat="1" ht="14.25">
      <c r="C22" s="376"/>
      <c r="D22" s="575" t="s">
        <v>461</v>
      </c>
      <c r="E22" s="634"/>
      <c r="F22" s="635"/>
      <c r="G22" s="634"/>
      <c r="H22" s="634"/>
      <c r="I22" s="634"/>
      <c r="J22" s="455"/>
      <c r="K22" s="455"/>
      <c r="L22" s="651"/>
      <c r="M22" s="427">
        <v>0</v>
      </c>
      <c r="N22" s="427">
        <v>0</v>
      </c>
      <c r="O22" s="597"/>
      <c r="P22" s="634"/>
      <c r="Q22" s="634"/>
      <c r="R22" s="634"/>
      <c r="S22" s="634"/>
      <c r="T22" s="634"/>
      <c r="X22" s="396"/>
      <c r="Y22" s="396"/>
      <c r="Z22" s="403"/>
      <c r="AA22" s="396"/>
      <c r="AB22" s="396"/>
      <c r="AC22" s="403"/>
    </row>
    <row r="23" spans="1:29" s="374" customFormat="1" ht="14.25">
      <c r="C23" s="376"/>
      <c r="D23" s="575" t="s">
        <v>463</v>
      </c>
      <c r="E23" s="634"/>
      <c r="F23" s="635"/>
      <c r="G23" s="634"/>
      <c r="H23" s="634"/>
      <c r="I23" s="634"/>
      <c r="J23" s="455"/>
      <c r="K23" s="455"/>
      <c r="L23" s="651"/>
      <c r="M23" s="427">
        <f>26-M22</f>
        <v>26</v>
      </c>
      <c r="N23" s="427">
        <f>26-N22</f>
        <v>26</v>
      </c>
      <c r="O23" s="597"/>
      <c r="P23" s="634"/>
      <c r="Q23" s="634"/>
      <c r="R23" s="634"/>
      <c r="S23" s="634"/>
      <c r="T23" s="634"/>
      <c r="X23" s="396"/>
      <c r="Y23" s="396"/>
      <c r="Z23" s="403"/>
      <c r="AA23" s="396"/>
      <c r="AB23" s="396"/>
      <c r="AC23" s="403"/>
    </row>
    <row r="24" spans="1:29" s="374" customFormat="1" ht="14.25">
      <c r="C24" s="376"/>
      <c r="D24" s="575" t="s">
        <v>464</v>
      </c>
      <c r="E24" s="634"/>
      <c r="F24" s="635"/>
      <c r="G24" s="634"/>
      <c r="H24" s="634"/>
      <c r="I24" s="634"/>
      <c r="J24" s="455"/>
      <c r="K24" s="455"/>
      <c r="L24" s="651"/>
      <c r="M24" s="427">
        <f>100-SUM(M20:M21)</f>
        <v>26</v>
      </c>
      <c r="N24" s="427">
        <f>100-SUM(N20:N21)</f>
        <v>26</v>
      </c>
      <c r="O24" s="597"/>
      <c r="P24" s="634"/>
      <c r="Q24" s="634"/>
      <c r="R24" s="634"/>
      <c r="S24" s="634"/>
      <c r="T24" s="634"/>
      <c r="X24" s="396"/>
      <c r="Y24" s="396"/>
      <c r="Z24" s="403"/>
      <c r="AA24" s="396"/>
      <c r="AB24" s="396"/>
      <c r="AC24" s="403"/>
    </row>
    <row r="25" spans="1:29" s="374" customFormat="1" ht="14.25">
      <c r="C25" s="376"/>
      <c r="F25" s="435"/>
      <c r="J25" s="453"/>
      <c r="K25" s="453"/>
      <c r="L25" s="652"/>
      <c r="M25" s="385"/>
      <c r="N25" s="385"/>
      <c r="O25" s="385"/>
      <c r="X25" s="396"/>
      <c r="Y25" s="396"/>
      <c r="Z25" s="403"/>
      <c r="AA25" s="396"/>
      <c r="AB25" s="396"/>
      <c r="AC25" s="403"/>
    </row>
    <row r="26" spans="1:29" s="374" customFormat="1" ht="14.25">
      <c r="C26" s="376"/>
      <c r="F26" s="435"/>
      <c r="J26" s="453"/>
      <c r="K26" s="453"/>
      <c r="L26" s="652"/>
      <c r="O26" s="385"/>
      <c r="X26" s="396" t="s">
        <v>495</v>
      </c>
      <c r="Y26" s="396"/>
      <c r="Z26" s="403">
        <f>SUMPRODUCT(Y4:Y18,Z4:Z18)</f>
        <v>71.375</v>
      </c>
      <c r="AA26" s="396"/>
      <c r="AB26" s="396"/>
      <c r="AC26" s="403">
        <f>SUMPRODUCT(AB4:AB18,AC4:AC18)</f>
        <v>70.5</v>
      </c>
    </row>
    <row r="27" spans="1:29" s="374" customFormat="1" ht="14.25">
      <c r="C27" s="376"/>
      <c r="F27" s="435"/>
      <c r="J27" s="453"/>
      <c r="K27" s="453"/>
      <c r="L27" s="652"/>
      <c r="O27" s="385"/>
      <c r="X27" s="396" t="s">
        <v>1288</v>
      </c>
      <c r="Y27" s="396"/>
      <c r="Z27" s="403">
        <f>SUMPRODUCT(Y4:Y18,H4:H18)</f>
        <v>73.5</v>
      </c>
      <c r="AA27" s="396"/>
      <c r="AB27" s="396"/>
      <c r="AC27" s="403">
        <f>SUMPRODUCT(AB4:AB18,H4:H18)</f>
        <v>73.5</v>
      </c>
    </row>
    <row r="28" spans="1:29" s="374" customFormat="1" ht="14.25">
      <c r="C28" s="376"/>
      <c r="F28" s="435"/>
      <c r="J28" s="453"/>
      <c r="K28" s="453"/>
      <c r="L28" s="652"/>
      <c r="O28" s="385"/>
      <c r="X28" s="396"/>
      <c r="Y28" s="396"/>
      <c r="Z28" s="403"/>
      <c r="AA28" s="396"/>
      <c r="AB28" s="396"/>
      <c r="AC28" s="403"/>
    </row>
    <row r="29" spans="1:29" s="374" customFormat="1" ht="14.25">
      <c r="C29" s="376"/>
      <c r="F29" s="435"/>
      <c r="J29" s="453"/>
      <c r="K29" s="453"/>
      <c r="L29" s="652"/>
      <c r="O29" s="385"/>
      <c r="X29" s="396"/>
      <c r="Y29" s="396"/>
      <c r="Z29" s="403"/>
      <c r="AA29" s="396"/>
      <c r="AB29" s="396"/>
      <c r="AC29" s="403">
        <f>AC26/AC27*100</f>
        <v>95.918367346938766</v>
      </c>
    </row>
    <row r="30" spans="1:29" s="374" customFormat="1" ht="14.25">
      <c r="C30" s="376"/>
      <c r="D30" s="558" t="s">
        <v>2213</v>
      </c>
      <c r="F30" s="435"/>
      <c r="J30" s="453"/>
      <c r="K30" s="453"/>
      <c r="L30" s="652"/>
      <c r="O30" s="385"/>
      <c r="X30" s="396"/>
      <c r="Y30" s="396"/>
      <c r="Z30" s="403"/>
      <c r="AA30" s="396"/>
      <c r="AB30" s="396"/>
      <c r="AC30" s="403"/>
    </row>
    <row r="31" spans="1:29" s="374" customFormat="1" ht="14.25">
      <c r="C31" s="376"/>
      <c r="D31" s="375" t="s">
        <v>1655</v>
      </c>
      <c r="F31" s="435"/>
      <c r="J31" s="453"/>
      <c r="K31" s="453"/>
      <c r="L31" s="652"/>
      <c r="O31" s="385"/>
      <c r="X31" s="396"/>
      <c r="Y31" s="396"/>
      <c r="Z31" s="403"/>
      <c r="AA31" s="396"/>
      <c r="AB31" s="396"/>
      <c r="AC31" s="403"/>
    </row>
    <row r="32" spans="1:29" s="374" customFormat="1" ht="14.25">
      <c r="C32" s="376"/>
      <c r="F32" s="435"/>
      <c r="J32" s="453"/>
      <c r="K32" s="453"/>
      <c r="L32" s="652"/>
      <c r="O32" s="385"/>
      <c r="X32" s="396"/>
      <c r="Y32" s="396"/>
      <c r="Z32" s="403"/>
      <c r="AA32" s="396"/>
      <c r="AB32" s="396"/>
      <c r="AC32" s="403"/>
    </row>
    <row r="33" spans="3:29" s="374" customFormat="1" ht="14.25">
      <c r="C33" s="376"/>
      <c r="F33" s="435"/>
      <c r="J33" s="453"/>
      <c r="K33" s="453"/>
      <c r="L33" s="652"/>
      <c r="O33" s="385"/>
      <c r="X33" s="396"/>
      <c r="Y33" s="396"/>
      <c r="Z33" s="403"/>
      <c r="AA33" s="396"/>
      <c r="AB33" s="396"/>
      <c r="AC33" s="403"/>
    </row>
    <row r="34" spans="3:29" s="374" customFormat="1" ht="14.25">
      <c r="C34" s="376"/>
      <c r="F34" s="435"/>
      <c r="J34" s="453"/>
      <c r="K34" s="453"/>
      <c r="L34" s="652"/>
      <c r="O34" s="385"/>
      <c r="X34" s="396"/>
      <c r="Y34" s="396"/>
      <c r="Z34" s="403"/>
      <c r="AA34" s="396"/>
      <c r="AB34" s="396"/>
      <c r="AC34" s="403"/>
    </row>
    <row r="35" spans="3:29" s="374" customFormat="1" ht="14.25">
      <c r="C35" s="376"/>
      <c r="F35" s="435"/>
      <c r="J35" s="453"/>
      <c r="K35" s="453"/>
      <c r="L35" s="652"/>
      <c r="O35" s="385"/>
      <c r="X35" s="396"/>
      <c r="Y35" s="396"/>
      <c r="Z35" s="403"/>
      <c r="AA35" s="396"/>
      <c r="AB35" s="396"/>
      <c r="AC35" s="403"/>
    </row>
    <row r="36" spans="3:29" s="374" customFormat="1" ht="14.25">
      <c r="C36" s="376"/>
      <c r="F36" s="435"/>
      <c r="J36" s="453"/>
      <c r="K36" s="453"/>
      <c r="L36" s="652"/>
      <c r="O36" s="385"/>
      <c r="X36" s="396"/>
      <c r="Y36" s="396"/>
      <c r="Z36" s="403"/>
      <c r="AA36" s="396"/>
      <c r="AB36" s="396"/>
      <c r="AC36" s="403"/>
    </row>
    <row r="37" spans="3:29" s="374" customFormat="1" ht="14.25">
      <c r="C37" s="376"/>
      <c r="F37" s="435"/>
      <c r="J37" s="453"/>
      <c r="K37" s="453"/>
      <c r="L37" s="652"/>
      <c r="O37" s="385"/>
      <c r="X37" s="396"/>
      <c r="Y37" s="396"/>
      <c r="Z37" s="403"/>
      <c r="AA37" s="396"/>
      <c r="AB37" s="396"/>
      <c r="AC37" s="403"/>
    </row>
    <row r="38" spans="3:29" s="374" customFormat="1" ht="14.25">
      <c r="C38" s="376"/>
      <c r="F38" s="435"/>
      <c r="J38" s="453"/>
      <c r="K38" s="453"/>
      <c r="L38" s="652"/>
      <c r="O38" s="385"/>
      <c r="X38" s="396"/>
      <c r="Y38" s="396"/>
      <c r="Z38" s="403"/>
      <c r="AA38" s="396"/>
      <c r="AB38" s="396"/>
      <c r="AC38" s="403"/>
    </row>
    <row r="39" spans="3:29" s="374" customFormat="1" ht="14.25">
      <c r="C39" s="376"/>
      <c r="F39" s="435"/>
      <c r="J39" s="453"/>
      <c r="K39" s="453"/>
      <c r="L39" s="652"/>
      <c r="O39" s="385"/>
      <c r="X39" s="396"/>
      <c r="Y39" s="396"/>
      <c r="Z39" s="403"/>
      <c r="AA39" s="396"/>
      <c r="AB39" s="396"/>
      <c r="AC39" s="403"/>
    </row>
    <row r="40" spans="3:29" s="374" customFormat="1" ht="14.25">
      <c r="C40" s="376"/>
      <c r="F40" s="435"/>
      <c r="J40" s="453"/>
      <c r="K40" s="453"/>
      <c r="L40" s="652"/>
      <c r="O40" s="385"/>
      <c r="X40" s="396"/>
      <c r="Y40" s="396"/>
      <c r="Z40" s="403"/>
      <c r="AA40" s="396"/>
      <c r="AB40" s="396"/>
      <c r="AC40" s="403"/>
    </row>
    <row r="41" spans="3:29" s="374" customFormat="1" ht="14.25">
      <c r="C41" s="376"/>
      <c r="F41" s="435"/>
      <c r="J41" s="453"/>
      <c r="K41" s="453"/>
      <c r="L41" s="652"/>
      <c r="O41" s="385"/>
      <c r="X41" s="396"/>
      <c r="Y41" s="396"/>
      <c r="Z41" s="403"/>
      <c r="AA41" s="396"/>
      <c r="AB41" s="396"/>
      <c r="AC41" s="403"/>
    </row>
    <row r="42" spans="3:29" s="374" customFormat="1" ht="14.25">
      <c r="C42" s="376"/>
      <c r="F42" s="435"/>
      <c r="J42" s="453"/>
      <c r="K42" s="453"/>
      <c r="L42" s="652"/>
      <c r="O42" s="385"/>
      <c r="X42" s="396"/>
      <c r="Y42" s="396"/>
      <c r="Z42" s="403"/>
      <c r="AA42" s="396"/>
      <c r="AB42" s="396"/>
      <c r="AC42" s="403"/>
    </row>
    <row r="43" spans="3:29" s="374" customFormat="1" ht="14.25">
      <c r="C43" s="376"/>
      <c r="F43" s="435"/>
      <c r="J43" s="453"/>
      <c r="K43" s="453"/>
      <c r="L43" s="652"/>
      <c r="O43" s="385"/>
      <c r="X43" s="396"/>
      <c r="Y43" s="396"/>
      <c r="Z43" s="403"/>
      <c r="AA43" s="396"/>
      <c r="AB43" s="396"/>
      <c r="AC43" s="403"/>
    </row>
    <row r="44" spans="3:29" s="374" customFormat="1" ht="14.25">
      <c r="C44" s="376"/>
      <c r="F44" s="435"/>
      <c r="J44" s="453"/>
      <c r="K44" s="453"/>
      <c r="L44" s="652"/>
      <c r="O44" s="385"/>
      <c r="X44" s="396"/>
      <c r="Y44" s="396"/>
      <c r="Z44" s="403"/>
      <c r="AA44" s="396"/>
      <c r="AB44" s="396"/>
      <c r="AC44" s="403"/>
    </row>
    <row r="45" spans="3:29" s="374" customFormat="1" ht="14.25">
      <c r="C45" s="376"/>
      <c r="F45" s="435"/>
      <c r="J45" s="453"/>
      <c r="K45" s="453"/>
      <c r="L45" s="652"/>
      <c r="O45" s="385"/>
      <c r="X45" s="396"/>
      <c r="Y45" s="396"/>
      <c r="Z45" s="403"/>
      <c r="AA45" s="396"/>
      <c r="AB45" s="396"/>
      <c r="AC45" s="403"/>
    </row>
    <row r="46" spans="3:29" s="374" customFormat="1" ht="14.25">
      <c r="C46" s="376"/>
      <c r="F46" s="435"/>
      <c r="J46" s="453"/>
      <c r="K46" s="453"/>
      <c r="L46" s="652"/>
      <c r="O46" s="385"/>
      <c r="X46" s="396"/>
      <c r="Y46" s="396"/>
      <c r="Z46" s="403"/>
      <c r="AA46" s="396"/>
      <c r="AB46" s="396"/>
      <c r="AC46" s="403"/>
    </row>
    <row r="47" spans="3:29" s="374" customFormat="1" ht="14.25">
      <c r="C47" s="376"/>
      <c r="F47" s="435"/>
      <c r="J47" s="453"/>
      <c r="K47" s="453"/>
      <c r="L47" s="652"/>
      <c r="O47" s="385"/>
      <c r="X47" s="396"/>
      <c r="Y47" s="396"/>
      <c r="Z47" s="403"/>
      <c r="AA47" s="396"/>
      <c r="AB47" s="396"/>
      <c r="AC47" s="403"/>
    </row>
    <row r="48" spans="3:29" s="374" customFormat="1" ht="14.25">
      <c r="C48" s="376"/>
      <c r="F48" s="435"/>
      <c r="J48" s="453"/>
      <c r="K48" s="453"/>
      <c r="L48" s="652"/>
      <c r="O48" s="385"/>
      <c r="X48" s="396"/>
      <c r="Y48" s="396"/>
      <c r="Z48" s="403"/>
      <c r="AA48" s="396"/>
      <c r="AB48" s="396"/>
      <c r="AC48" s="403"/>
    </row>
    <row r="49" spans="3:29" s="374" customFormat="1" ht="14.25">
      <c r="C49" s="376"/>
      <c r="F49" s="435"/>
      <c r="J49" s="453"/>
      <c r="K49" s="453"/>
      <c r="L49" s="652"/>
      <c r="O49" s="385"/>
      <c r="X49" s="396"/>
      <c r="Y49" s="396"/>
      <c r="Z49" s="403"/>
      <c r="AA49" s="396"/>
      <c r="AB49" s="396"/>
      <c r="AC49" s="403"/>
    </row>
    <row r="50" spans="3:29" s="374" customFormat="1" ht="14.25">
      <c r="C50" s="376"/>
      <c r="F50" s="435"/>
      <c r="J50" s="453"/>
      <c r="K50" s="453"/>
      <c r="L50" s="652"/>
      <c r="O50" s="385"/>
      <c r="X50" s="396"/>
      <c r="Y50" s="396"/>
      <c r="Z50" s="403"/>
      <c r="AA50" s="396"/>
      <c r="AB50" s="396"/>
      <c r="AC50" s="403"/>
    </row>
    <row r="51" spans="3:29" s="374" customFormat="1" ht="14.25">
      <c r="C51" s="376"/>
      <c r="F51" s="435"/>
      <c r="J51" s="453"/>
      <c r="K51" s="453"/>
      <c r="L51" s="652"/>
      <c r="O51" s="385"/>
      <c r="X51" s="396"/>
      <c r="Y51" s="396"/>
      <c r="Z51" s="403"/>
      <c r="AA51" s="396"/>
      <c r="AB51" s="396"/>
      <c r="AC51" s="403"/>
    </row>
    <row r="52" spans="3:29" s="374" customFormat="1" ht="14.25">
      <c r="C52" s="376"/>
      <c r="F52" s="435"/>
      <c r="J52" s="453"/>
      <c r="K52" s="453"/>
      <c r="L52" s="652"/>
      <c r="O52" s="385"/>
      <c r="X52" s="396"/>
      <c r="Y52" s="396"/>
      <c r="Z52" s="403"/>
      <c r="AA52" s="396"/>
      <c r="AB52" s="396"/>
      <c r="AC52" s="403"/>
    </row>
    <row r="53" spans="3:29" s="374" customFormat="1" ht="14.25">
      <c r="C53" s="376"/>
      <c r="F53" s="435"/>
      <c r="J53" s="453"/>
      <c r="K53" s="453"/>
      <c r="L53" s="652"/>
      <c r="O53" s="385"/>
      <c r="X53" s="396"/>
      <c r="Y53" s="396"/>
      <c r="Z53" s="403"/>
      <c r="AA53" s="396"/>
      <c r="AB53" s="396"/>
      <c r="AC53" s="403"/>
    </row>
    <row r="54" spans="3:29" s="374" customFormat="1" ht="14.25">
      <c r="C54" s="376"/>
      <c r="F54" s="435"/>
      <c r="J54" s="453"/>
      <c r="K54" s="453"/>
      <c r="L54" s="652"/>
      <c r="O54" s="385"/>
      <c r="X54" s="396"/>
      <c r="Y54" s="396"/>
      <c r="Z54" s="403"/>
      <c r="AA54" s="396"/>
      <c r="AB54" s="396"/>
      <c r="AC54" s="403"/>
    </row>
    <row r="55" spans="3:29" s="374" customFormat="1" ht="14.25">
      <c r="C55" s="376"/>
      <c r="F55" s="435"/>
      <c r="J55" s="453"/>
      <c r="K55" s="453"/>
      <c r="L55" s="652"/>
      <c r="O55" s="385"/>
      <c r="X55" s="396"/>
      <c r="Y55" s="396"/>
      <c r="Z55" s="403"/>
      <c r="AA55" s="396"/>
      <c r="AB55" s="396"/>
      <c r="AC55" s="403"/>
    </row>
    <row r="56" spans="3:29" s="374" customFormat="1" ht="14.25">
      <c r="C56" s="376"/>
      <c r="F56" s="435"/>
      <c r="J56" s="453"/>
      <c r="K56" s="453"/>
      <c r="L56" s="652"/>
      <c r="O56" s="385"/>
      <c r="X56" s="396"/>
      <c r="Y56" s="396"/>
      <c r="Z56" s="403"/>
      <c r="AA56" s="396"/>
      <c r="AB56" s="396"/>
      <c r="AC56" s="403"/>
    </row>
    <row r="57" spans="3:29" s="374" customFormat="1" ht="14.25">
      <c r="C57" s="376"/>
      <c r="F57" s="435"/>
      <c r="J57" s="453"/>
      <c r="K57" s="453"/>
      <c r="L57" s="652"/>
      <c r="O57" s="385"/>
      <c r="X57" s="396"/>
      <c r="Y57" s="396"/>
      <c r="Z57" s="403"/>
      <c r="AA57" s="396"/>
      <c r="AB57" s="396"/>
      <c r="AC57" s="403"/>
    </row>
    <row r="58" spans="3:29" s="374" customFormat="1" ht="14.25">
      <c r="C58" s="376"/>
      <c r="F58" s="435"/>
      <c r="J58" s="453"/>
      <c r="K58" s="453"/>
      <c r="L58" s="652"/>
      <c r="O58" s="385"/>
      <c r="X58" s="396"/>
      <c r="Y58" s="396"/>
      <c r="Z58" s="403"/>
      <c r="AA58" s="396"/>
      <c r="AB58" s="396"/>
      <c r="AC58" s="403"/>
    </row>
    <row r="59" spans="3:29" s="374" customFormat="1" ht="14.25">
      <c r="C59" s="376"/>
      <c r="F59" s="435"/>
      <c r="J59" s="453"/>
      <c r="K59" s="453"/>
      <c r="L59" s="652"/>
      <c r="O59" s="385"/>
      <c r="X59" s="396"/>
      <c r="Y59" s="396"/>
      <c r="Z59" s="403"/>
      <c r="AA59" s="396"/>
      <c r="AB59" s="396"/>
      <c r="AC59" s="403"/>
    </row>
    <row r="60" spans="3:29" s="374" customFormat="1" ht="14.25">
      <c r="C60" s="376"/>
      <c r="F60" s="435"/>
      <c r="J60" s="453"/>
      <c r="K60" s="453"/>
      <c r="L60" s="652"/>
      <c r="O60" s="385"/>
      <c r="X60" s="396"/>
      <c r="Y60" s="396"/>
      <c r="Z60" s="403"/>
      <c r="AA60" s="396"/>
      <c r="AB60" s="396"/>
      <c r="AC60" s="403"/>
    </row>
    <row r="61" spans="3:29" s="374" customFormat="1" ht="14.25">
      <c r="C61" s="376"/>
      <c r="F61" s="435"/>
      <c r="J61" s="453"/>
      <c r="K61" s="453"/>
      <c r="L61" s="652"/>
      <c r="O61" s="385"/>
      <c r="X61" s="396"/>
      <c r="Y61" s="396"/>
      <c r="Z61" s="403"/>
      <c r="AA61" s="396"/>
      <c r="AB61" s="396"/>
      <c r="AC61" s="403"/>
    </row>
    <row r="62" spans="3:29" s="374" customFormat="1" ht="14.25">
      <c r="C62" s="376"/>
      <c r="F62" s="435"/>
      <c r="J62" s="453"/>
      <c r="K62" s="453"/>
      <c r="L62" s="652"/>
      <c r="O62" s="385"/>
      <c r="X62" s="396"/>
      <c r="Y62" s="396"/>
      <c r="Z62" s="403"/>
      <c r="AA62" s="396"/>
      <c r="AB62" s="396"/>
      <c r="AC62" s="403"/>
    </row>
    <row r="63" spans="3:29" s="374" customFormat="1" ht="14.25">
      <c r="C63" s="376"/>
      <c r="F63" s="435"/>
      <c r="J63" s="453"/>
      <c r="K63" s="453"/>
      <c r="L63" s="652"/>
      <c r="O63" s="385"/>
      <c r="X63" s="396"/>
      <c r="Y63" s="396"/>
      <c r="Z63" s="403"/>
      <c r="AA63" s="396"/>
      <c r="AB63" s="396"/>
      <c r="AC63" s="403"/>
    </row>
    <row r="64" spans="3:29" s="374" customFormat="1" ht="14.25">
      <c r="C64" s="376"/>
      <c r="F64" s="435"/>
      <c r="J64" s="453"/>
      <c r="K64" s="453"/>
      <c r="L64" s="652"/>
      <c r="O64" s="385"/>
      <c r="X64" s="396"/>
      <c r="Y64" s="396"/>
      <c r="Z64" s="403"/>
      <c r="AA64" s="396"/>
      <c r="AB64" s="396"/>
      <c r="AC64" s="403"/>
    </row>
    <row r="65" spans="3:29" s="374" customFormat="1" ht="14.25">
      <c r="C65" s="376"/>
      <c r="F65" s="435"/>
      <c r="J65" s="453"/>
      <c r="K65" s="453"/>
      <c r="L65" s="652"/>
      <c r="O65" s="385"/>
      <c r="X65" s="396"/>
      <c r="Y65" s="396"/>
      <c r="Z65" s="403"/>
      <c r="AA65" s="396"/>
      <c r="AB65" s="396"/>
      <c r="AC65" s="403"/>
    </row>
    <row r="66" spans="3:29" s="374" customFormat="1" ht="14.25">
      <c r="C66" s="376"/>
      <c r="F66" s="435"/>
      <c r="J66" s="453"/>
      <c r="K66" s="453"/>
      <c r="L66" s="652"/>
      <c r="O66" s="385"/>
      <c r="X66" s="396"/>
      <c r="Y66" s="396"/>
      <c r="Z66" s="403"/>
      <c r="AA66" s="396"/>
      <c r="AB66" s="396"/>
      <c r="AC66" s="403"/>
    </row>
    <row r="67" spans="3:29" s="374" customFormat="1" ht="14.25">
      <c r="C67" s="376"/>
      <c r="F67" s="435"/>
      <c r="J67" s="453"/>
      <c r="K67" s="453"/>
      <c r="L67" s="652"/>
      <c r="O67" s="385"/>
      <c r="X67" s="396"/>
      <c r="Y67" s="396"/>
      <c r="Z67" s="403"/>
      <c r="AA67" s="396"/>
      <c r="AB67" s="396"/>
      <c r="AC67" s="403"/>
    </row>
    <row r="68" spans="3:29" s="374" customFormat="1" ht="14.25">
      <c r="C68" s="376"/>
      <c r="F68" s="435"/>
      <c r="J68" s="453"/>
      <c r="K68" s="453"/>
      <c r="L68" s="652"/>
      <c r="O68" s="385"/>
      <c r="X68" s="396"/>
      <c r="Y68" s="396"/>
      <c r="Z68" s="403"/>
      <c r="AA68" s="396"/>
      <c r="AB68" s="396"/>
      <c r="AC68" s="403"/>
    </row>
    <row r="69" spans="3:29" s="374" customFormat="1" ht="14.25">
      <c r="C69" s="376"/>
      <c r="F69" s="435"/>
      <c r="J69" s="453"/>
      <c r="K69" s="453"/>
      <c r="L69" s="652"/>
      <c r="O69" s="385"/>
      <c r="X69" s="396"/>
      <c r="Y69" s="396"/>
      <c r="Z69" s="403"/>
      <c r="AA69" s="396"/>
      <c r="AB69" s="396"/>
      <c r="AC69" s="403"/>
    </row>
    <row r="70" spans="3:29" s="374" customFormat="1" ht="14.25">
      <c r="C70" s="376"/>
      <c r="F70" s="435"/>
      <c r="J70" s="453"/>
      <c r="K70" s="453"/>
      <c r="L70" s="652"/>
      <c r="O70" s="385"/>
      <c r="X70" s="396"/>
      <c r="Y70" s="396"/>
      <c r="Z70" s="403"/>
      <c r="AA70" s="396"/>
      <c r="AB70" s="396"/>
      <c r="AC70" s="403"/>
    </row>
    <row r="71" spans="3:29" s="374" customFormat="1" ht="14.25">
      <c r="C71" s="376"/>
      <c r="F71" s="435"/>
      <c r="J71" s="453"/>
      <c r="K71" s="453"/>
      <c r="L71" s="652"/>
      <c r="O71" s="385"/>
      <c r="X71" s="396"/>
      <c r="Y71" s="396"/>
      <c r="Z71" s="403"/>
      <c r="AA71" s="396"/>
      <c r="AB71" s="396"/>
      <c r="AC71" s="403"/>
    </row>
    <row r="72" spans="3:29" s="374" customFormat="1" ht="14.25">
      <c r="C72" s="376"/>
      <c r="F72" s="435"/>
      <c r="J72" s="453"/>
      <c r="K72" s="453"/>
      <c r="L72" s="652"/>
      <c r="O72" s="385"/>
      <c r="X72" s="396"/>
      <c r="Y72" s="396"/>
      <c r="Z72" s="403"/>
      <c r="AA72" s="396"/>
      <c r="AB72" s="396"/>
      <c r="AC72" s="403"/>
    </row>
    <row r="73" spans="3:29" s="374" customFormat="1" ht="14.25">
      <c r="C73" s="376"/>
      <c r="F73" s="435"/>
      <c r="J73" s="453"/>
      <c r="K73" s="453"/>
      <c r="L73" s="652"/>
      <c r="O73" s="385"/>
      <c r="X73" s="396"/>
      <c r="Y73" s="396"/>
      <c r="Z73" s="403"/>
      <c r="AA73" s="396"/>
      <c r="AB73" s="396"/>
      <c r="AC73" s="403"/>
    </row>
    <row r="74" spans="3:29" s="374" customFormat="1" ht="14.25">
      <c r="C74" s="376"/>
      <c r="F74" s="435"/>
      <c r="J74" s="453"/>
      <c r="K74" s="453"/>
      <c r="L74" s="652"/>
      <c r="O74" s="385"/>
      <c r="X74" s="396"/>
      <c r="Y74" s="396"/>
      <c r="Z74" s="403"/>
      <c r="AA74" s="396"/>
      <c r="AB74" s="396"/>
      <c r="AC74" s="403"/>
    </row>
    <row r="75" spans="3:29" s="374" customFormat="1" ht="14.25">
      <c r="C75" s="376"/>
      <c r="F75" s="435"/>
      <c r="J75" s="453"/>
      <c r="K75" s="453"/>
      <c r="L75" s="652"/>
      <c r="O75" s="385"/>
      <c r="X75" s="396"/>
      <c r="Y75" s="396"/>
      <c r="Z75" s="403"/>
      <c r="AA75" s="396"/>
      <c r="AB75" s="396"/>
      <c r="AC75" s="403"/>
    </row>
    <row r="76" spans="3:29" s="374" customFormat="1" ht="14.25">
      <c r="C76" s="376"/>
      <c r="F76" s="435"/>
      <c r="J76" s="453"/>
      <c r="K76" s="453"/>
      <c r="L76" s="652"/>
      <c r="O76" s="385"/>
      <c r="X76" s="396"/>
      <c r="Y76" s="396"/>
      <c r="Z76" s="403"/>
      <c r="AA76" s="396"/>
      <c r="AB76" s="396"/>
      <c r="AC76" s="403"/>
    </row>
    <row r="77" spans="3:29" s="374" customFormat="1" ht="14.25">
      <c r="C77" s="376"/>
      <c r="F77" s="435"/>
      <c r="J77" s="453"/>
      <c r="K77" s="453"/>
      <c r="L77" s="652"/>
      <c r="O77" s="385"/>
      <c r="X77" s="396"/>
      <c r="Y77" s="396"/>
      <c r="Z77" s="403"/>
      <c r="AA77" s="396"/>
      <c r="AB77" s="396"/>
      <c r="AC77" s="403"/>
    </row>
    <row r="78" spans="3:29" s="374" customFormat="1" ht="14.25">
      <c r="C78" s="376"/>
      <c r="F78" s="435"/>
      <c r="J78" s="453"/>
      <c r="K78" s="453"/>
      <c r="L78" s="652"/>
      <c r="O78" s="385"/>
      <c r="X78" s="396"/>
      <c r="Y78" s="396"/>
      <c r="Z78" s="403"/>
      <c r="AA78" s="396"/>
      <c r="AB78" s="396"/>
      <c r="AC78" s="403"/>
    </row>
    <row r="79" spans="3:29" s="374" customFormat="1" ht="14.25">
      <c r="C79" s="376"/>
      <c r="F79" s="435"/>
      <c r="J79" s="453"/>
      <c r="K79" s="453"/>
      <c r="L79" s="652"/>
      <c r="O79" s="385"/>
      <c r="X79" s="396"/>
      <c r="Y79" s="396"/>
      <c r="Z79" s="403"/>
      <c r="AA79" s="396"/>
      <c r="AB79" s="396"/>
      <c r="AC79" s="403"/>
    </row>
    <row r="80" spans="3:29" s="374" customFormat="1" ht="14.25">
      <c r="C80" s="376"/>
      <c r="F80" s="435"/>
      <c r="J80" s="453"/>
      <c r="K80" s="453"/>
      <c r="L80" s="652"/>
      <c r="O80" s="385"/>
      <c r="X80" s="396"/>
      <c r="Y80" s="396"/>
      <c r="Z80" s="403"/>
      <c r="AA80" s="396"/>
      <c r="AB80" s="396"/>
      <c r="AC80" s="403"/>
    </row>
    <row r="81" spans="3:29" s="374" customFormat="1" ht="14.25">
      <c r="C81" s="376"/>
      <c r="F81" s="435"/>
      <c r="J81" s="453"/>
      <c r="K81" s="453"/>
      <c r="L81" s="652"/>
      <c r="O81" s="385"/>
      <c r="X81" s="396"/>
      <c r="Y81" s="396"/>
      <c r="Z81" s="403"/>
      <c r="AA81" s="396"/>
      <c r="AB81" s="396"/>
      <c r="AC81" s="403"/>
    </row>
    <row r="82" spans="3:29" s="374" customFormat="1" ht="14.25">
      <c r="C82" s="376"/>
      <c r="F82" s="435"/>
      <c r="J82" s="453"/>
      <c r="K82" s="453"/>
      <c r="L82" s="652"/>
      <c r="O82" s="385"/>
      <c r="X82" s="396"/>
      <c r="Y82" s="396"/>
      <c r="Z82" s="403"/>
      <c r="AA82" s="396"/>
      <c r="AB82" s="396"/>
      <c r="AC82" s="403"/>
    </row>
    <row r="83" spans="3:29" s="374" customFormat="1" ht="14.25">
      <c r="C83" s="376"/>
      <c r="F83" s="435"/>
      <c r="J83" s="453"/>
      <c r="K83" s="453"/>
      <c r="L83" s="652"/>
      <c r="O83" s="385"/>
      <c r="X83" s="396"/>
      <c r="Y83" s="396"/>
      <c r="Z83" s="403"/>
      <c r="AA83" s="396"/>
      <c r="AB83" s="396"/>
      <c r="AC83" s="403"/>
    </row>
    <row r="84" spans="3:29" s="374" customFormat="1" ht="14.25">
      <c r="C84" s="376"/>
      <c r="F84" s="435"/>
      <c r="J84" s="453"/>
      <c r="K84" s="453"/>
      <c r="L84" s="652"/>
      <c r="O84" s="385"/>
      <c r="X84" s="396"/>
      <c r="Y84" s="396"/>
      <c r="Z84" s="403"/>
      <c r="AA84" s="396"/>
      <c r="AB84" s="396"/>
      <c r="AC84" s="403"/>
    </row>
    <row r="85" spans="3:29" s="374" customFormat="1" ht="14.25">
      <c r="C85" s="376"/>
      <c r="F85" s="435"/>
      <c r="J85" s="453"/>
      <c r="K85" s="453"/>
      <c r="L85" s="652"/>
      <c r="O85" s="385"/>
      <c r="X85" s="396"/>
      <c r="Y85" s="396"/>
      <c r="Z85" s="403"/>
      <c r="AA85" s="396"/>
      <c r="AB85" s="396"/>
      <c r="AC85" s="403"/>
    </row>
    <row r="86" spans="3:29" s="374" customFormat="1" ht="14.25">
      <c r="C86" s="376"/>
      <c r="F86" s="435"/>
      <c r="J86" s="453"/>
      <c r="K86" s="453"/>
      <c r="L86" s="652"/>
      <c r="O86" s="385"/>
      <c r="X86" s="396"/>
      <c r="Y86" s="396"/>
      <c r="Z86" s="403"/>
      <c r="AA86" s="396"/>
      <c r="AB86" s="396"/>
      <c r="AC86" s="403"/>
    </row>
    <row r="87" spans="3:29" s="374" customFormat="1" ht="14.25">
      <c r="C87" s="376"/>
      <c r="F87" s="435"/>
      <c r="J87" s="453"/>
      <c r="K87" s="453"/>
      <c r="L87" s="652"/>
      <c r="O87" s="385"/>
      <c r="X87" s="396"/>
      <c r="Y87" s="396"/>
      <c r="Z87" s="403"/>
      <c r="AA87" s="396"/>
      <c r="AB87" s="396"/>
      <c r="AC87" s="403"/>
    </row>
    <row r="88" spans="3:29" s="374" customFormat="1" ht="14.25">
      <c r="C88" s="376"/>
      <c r="F88" s="435"/>
      <c r="J88" s="453"/>
      <c r="K88" s="453"/>
      <c r="L88" s="652"/>
      <c r="O88" s="385"/>
      <c r="X88" s="396"/>
      <c r="Y88" s="396"/>
      <c r="Z88" s="403"/>
      <c r="AA88" s="396"/>
      <c r="AB88" s="396"/>
      <c r="AC88" s="403"/>
    </row>
    <row r="89" spans="3:29" s="374" customFormat="1" ht="14.25">
      <c r="C89" s="376"/>
      <c r="F89" s="435"/>
      <c r="J89" s="453"/>
      <c r="K89" s="453"/>
      <c r="L89" s="652"/>
      <c r="O89" s="385"/>
      <c r="X89" s="396"/>
      <c r="Y89" s="396"/>
      <c r="Z89" s="403"/>
      <c r="AA89" s="396"/>
      <c r="AB89" s="396"/>
      <c r="AC89" s="403"/>
    </row>
    <row r="90" spans="3:29" s="374" customFormat="1" ht="14.25">
      <c r="C90" s="376"/>
      <c r="F90" s="435"/>
      <c r="J90" s="453"/>
      <c r="K90" s="453"/>
      <c r="L90" s="652"/>
      <c r="O90" s="385"/>
      <c r="X90" s="396"/>
      <c r="Y90" s="396"/>
      <c r="Z90" s="403"/>
      <c r="AA90" s="396"/>
      <c r="AB90" s="396"/>
      <c r="AC90" s="403"/>
    </row>
    <row r="91" spans="3:29" s="374" customFormat="1" ht="14.25">
      <c r="C91" s="376"/>
      <c r="F91" s="435"/>
      <c r="J91" s="453"/>
      <c r="K91" s="453"/>
      <c r="L91" s="652"/>
      <c r="O91" s="385"/>
      <c r="X91" s="396"/>
      <c r="Y91" s="396"/>
      <c r="Z91" s="403"/>
      <c r="AA91" s="396"/>
      <c r="AB91" s="396"/>
      <c r="AC91" s="403"/>
    </row>
    <row r="92" spans="3:29" s="374" customFormat="1" ht="14.25">
      <c r="C92" s="376"/>
      <c r="F92" s="435"/>
      <c r="J92" s="453"/>
      <c r="K92" s="453"/>
      <c r="L92" s="652"/>
      <c r="O92" s="385"/>
      <c r="X92" s="396"/>
      <c r="Y92" s="396"/>
      <c r="Z92" s="403"/>
      <c r="AA92" s="396"/>
      <c r="AB92" s="396"/>
      <c r="AC92" s="403"/>
    </row>
    <row r="93" spans="3:29" s="374" customFormat="1" ht="14.25">
      <c r="C93" s="376"/>
      <c r="F93" s="435"/>
      <c r="J93" s="453"/>
      <c r="K93" s="453"/>
      <c r="L93" s="652"/>
      <c r="O93" s="385"/>
      <c r="X93" s="396"/>
      <c r="Y93" s="396"/>
      <c r="Z93" s="403"/>
      <c r="AA93" s="396"/>
      <c r="AB93" s="396"/>
      <c r="AC93" s="403"/>
    </row>
    <row r="94" spans="3:29" s="374" customFormat="1" ht="14.25">
      <c r="C94" s="376"/>
      <c r="F94" s="435"/>
      <c r="J94" s="453"/>
      <c r="K94" s="453"/>
      <c r="L94" s="652"/>
      <c r="O94" s="385"/>
      <c r="X94" s="396"/>
      <c r="Y94" s="396"/>
      <c r="Z94" s="403"/>
      <c r="AA94" s="396"/>
      <c r="AB94" s="396"/>
      <c r="AC94" s="403"/>
    </row>
    <row r="95" spans="3:29" s="374" customFormat="1" ht="14.25">
      <c r="C95" s="376"/>
      <c r="F95" s="435"/>
      <c r="J95" s="453"/>
      <c r="K95" s="453"/>
      <c r="L95" s="652"/>
      <c r="O95" s="385"/>
      <c r="X95" s="396"/>
      <c r="Y95" s="396"/>
      <c r="Z95" s="403"/>
      <c r="AA95" s="396"/>
      <c r="AB95" s="396"/>
      <c r="AC95" s="403"/>
    </row>
    <row r="96" spans="3:29" s="374" customFormat="1" ht="14.25">
      <c r="C96" s="376"/>
      <c r="F96" s="435"/>
      <c r="J96" s="453"/>
      <c r="K96" s="453"/>
      <c r="L96" s="652"/>
      <c r="O96" s="385"/>
      <c r="X96" s="396"/>
      <c r="Y96" s="396"/>
      <c r="Z96" s="403"/>
      <c r="AA96" s="396"/>
      <c r="AB96" s="396"/>
      <c r="AC96" s="403"/>
    </row>
    <row r="97" spans="3:29" s="374" customFormat="1" ht="14.25">
      <c r="C97" s="376"/>
      <c r="F97" s="435"/>
      <c r="J97" s="453"/>
      <c r="K97" s="453"/>
      <c r="L97" s="652"/>
      <c r="O97" s="385"/>
      <c r="X97" s="396"/>
      <c r="Y97" s="396"/>
      <c r="Z97" s="403"/>
      <c r="AA97" s="396"/>
      <c r="AB97" s="396"/>
      <c r="AC97" s="403"/>
    </row>
    <row r="98" spans="3:29" s="374" customFormat="1" ht="14.25">
      <c r="C98" s="376"/>
      <c r="F98" s="435"/>
      <c r="J98" s="453"/>
      <c r="K98" s="453"/>
      <c r="L98" s="652"/>
      <c r="O98" s="385"/>
      <c r="X98" s="396"/>
      <c r="Y98" s="396"/>
      <c r="Z98" s="403"/>
      <c r="AA98" s="396"/>
      <c r="AB98" s="396"/>
      <c r="AC98" s="403"/>
    </row>
    <row r="99" spans="3:29" s="374" customFormat="1" ht="14.25">
      <c r="C99" s="376"/>
      <c r="F99" s="435"/>
      <c r="J99" s="453"/>
      <c r="K99" s="453"/>
      <c r="L99" s="652"/>
      <c r="O99" s="385"/>
      <c r="X99" s="396"/>
      <c r="Y99" s="396"/>
      <c r="Z99" s="403"/>
      <c r="AA99" s="396"/>
      <c r="AB99" s="396"/>
      <c r="AC99" s="403"/>
    </row>
    <row r="100" spans="3:29" s="374" customFormat="1" ht="14.25">
      <c r="C100" s="376"/>
      <c r="F100" s="435"/>
      <c r="J100" s="453"/>
      <c r="K100" s="453"/>
      <c r="L100" s="652"/>
      <c r="O100" s="385"/>
      <c r="X100" s="396"/>
      <c r="Y100" s="396"/>
      <c r="Z100" s="403"/>
      <c r="AA100" s="396"/>
      <c r="AB100" s="396"/>
      <c r="AC100" s="403"/>
    </row>
    <row r="101" spans="3:29" s="374" customFormat="1" ht="14.25">
      <c r="C101" s="376"/>
      <c r="F101" s="435"/>
      <c r="J101" s="453"/>
      <c r="K101" s="453"/>
      <c r="L101" s="652"/>
      <c r="O101" s="385"/>
      <c r="X101" s="396"/>
      <c r="Y101" s="396"/>
      <c r="Z101" s="403"/>
      <c r="AA101" s="396"/>
      <c r="AB101" s="396"/>
      <c r="AC101" s="403"/>
    </row>
    <row r="102" spans="3:29" s="374" customFormat="1" ht="14.25">
      <c r="C102" s="376"/>
      <c r="F102" s="435"/>
      <c r="J102" s="453"/>
      <c r="K102" s="453"/>
      <c r="L102" s="652"/>
      <c r="O102" s="385"/>
      <c r="X102" s="396"/>
      <c r="Y102" s="396"/>
      <c r="Z102" s="403"/>
      <c r="AA102" s="396"/>
      <c r="AB102" s="396"/>
      <c r="AC102" s="403"/>
    </row>
    <row r="103" spans="3:29" s="374" customFormat="1" ht="14.25">
      <c r="C103" s="376"/>
      <c r="F103" s="435"/>
      <c r="J103" s="453"/>
      <c r="K103" s="453"/>
      <c r="L103" s="652"/>
      <c r="O103" s="385"/>
      <c r="X103" s="396"/>
      <c r="Y103" s="396"/>
      <c r="Z103" s="403"/>
      <c r="AA103" s="396"/>
      <c r="AB103" s="396"/>
      <c r="AC103" s="403"/>
    </row>
    <row r="104" spans="3:29" s="374" customFormat="1" ht="14.25">
      <c r="C104" s="376"/>
      <c r="F104" s="435"/>
      <c r="J104" s="453"/>
      <c r="K104" s="453"/>
      <c r="L104" s="652"/>
      <c r="O104" s="385"/>
      <c r="X104" s="396"/>
      <c r="Y104" s="396"/>
      <c r="Z104" s="403"/>
      <c r="AA104" s="396"/>
      <c r="AB104" s="396"/>
      <c r="AC104" s="403"/>
    </row>
    <row r="105" spans="3:29" s="374" customFormat="1" ht="14.25">
      <c r="C105" s="376"/>
      <c r="F105" s="435"/>
      <c r="J105" s="453"/>
      <c r="K105" s="453"/>
      <c r="L105" s="652"/>
      <c r="O105" s="385"/>
      <c r="X105" s="396"/>
      <c r="Y105" s="396"/>
      <c r="Z105" s="403"/>
      <c r="AA105" s="396"/>
      <c r="AB105" s="396"/>
      <c r="AC105" s="403"/>
    </row>
    <row r="106" spans="3:29" s="374" customFormat="1" ht="14.25">
      <c r="C106" s="376"/>
      <c r="F106" s="435"/>
      <c r="J106" s="453"/>
      <c r="K106" s="453"/>
      <c r="L106" s="652"/>
      <c r="O106" s="385"/>
      <c r="X106" s="396"/>
      <c r="Y106" s="396"/>
      <c r="Z106" s="403"/>
      <c r="AA106" s="396"/>
      <c r="AB106" s="396"/>
      <c r="AC106" s="403"/>
    </row>
    <row r="107" spans="3:29" s="374" customFormat="1" ht="14.25">
      <c r="C107" s="376"/>
      <c r="F107" s="435"/>
      <c r="J107" s="453"/>
      <c r="K107" s="453"/>
      <c r="L107" s="652"/>
      <c r="O107" s="385"/>
      <c r="X107" s="396"/>
      <c r="Y107" s="396"/>
      <c r="Z107" s="403"/>
      <c r="AA107" s="396"/>
      <c r="AB107" s="396"/>
      <c r="AC107" s="403"/>
    </row>
    <row r="108" spans="3:29" s="374" customFormat="1" ht="14.25">
      <c r="C108" s="376"/>
      <c r="F108" s="435"/>
      <c r="J108" s="453"/>
      <c r="K108" s="453"/>
      <c r="L108" s="652"/>
      <c r="O108" s="385"/>
      <c r="X108" s="396"/>
      <c r="Y108" s="396"/>
      <c r="Z108" s="403"/>
      <c r="AA108" s="396"/>
      <c r="AB108" s="396"/>
      <c r="AC108" s="403"/>
    </row>
    <row r="109" spans="3:29" s="374" customFormat="1" ht="14.25">
      <c r="C109" s="376"/>
      <c r="F109" s="435"/>
      <c r="J109" s="453"/>
      <c r="K109" s="453"/>
      <c r="L109" s="652"/>
      <c r="O109" s="385"/>
      <c r="X109" s="396"/>
      <c r="Y109" s="396"/>
      <c r="Z109" s="403"/>
      <c r="AA109" s="396"/>
      <c r="AB109" s="396"/>
      <c r="AC109" s="403"/>
    </row>
    <row r="110" spans="3:29" s="374" customFormat="1" ht="14.25">
      <c r="C110" s="376"/>
      <c r="F110" s="435"/>
      <c r="J110" s="453"/>
      <c r="K110" s="453"/>
      <c r="L110" s="652"/>
      <c r="O110" s="385"/>
      <c r="X110" s="396"/>
      <c r="Y110" s="396"/>
      <c r="Z110" s="403"/>
      <c r="AA110" s="396"/>
      <c r="AB110" s="396"/>
      <c r="AC110" s="403"/>
    </row>
    <row r="111" spans="3:29" s="374" customFormat="1" ht="14.25">
      <c r="C111" s="376"/>
      <c r="F111" s="435"/>
      <c r="J111" s="453"/>
      <c r="K111" s="453"/>
      <c r="L111" s="652"/>
      <c r="O111" s="385"/>
      <c r="X111" s="396"/>
      <c r="Y111" s="396"/>
      <c r="Z111" s="403"/>
      <c r="AA111" s="396"/>
      <c r="AB111" s="396"/>
      <c r="AC111" s="403"/>
    </row>
    <row r="112" spans="3:29" s="374" customFormat="1" ht="14.25">
      <c r="C112" s="376"/>
      <c r="F112" s="435"/>
      <c r="J112" s="453"/>
      <c r="K112" s="453"/>
      <c r="L112" s="652"/>
      <c r="O112" s="385"/>
      <c r="X112" s="396"/>
      <c r="Y112" s="396"/>
      <c r="Z112" s="403"/>
      <c r="AA112" s="396"/>
      <c r="AB112" s="396"/>
      <c r="AC112" s="403"/>
    </row>
    <row r="113" spans="3:29" s="374" customFormat="1" ht="14.25">
      <c r="C113" s="376"/>
      <c r="F113" s="435"/>
      <c r="J113" s="453"/>
      <c r="K113" s="453"/>
      <c r="L113" s="652"/>
      <c r="O113" s="385"/>
      <c r="X113" s="396"/>
      <c r="Y113" s="396"/>
      <c r="Z113" s="403"/>
      <c r="AA113" s="396"/>
      <c r="AB113" s="396"/>
      <c r="AC113" s="403"/>
    </row>
    <row r="114" spans="3:29" s="374" customFormat="1" ht="14.25">
      <c r="C114" s="376"/>
      <c r="F114" s="435"/>
      <c r="J114" s="453"/>
      <c r="K114" s="453"/>
      <c r="L114" s="652"/>
      <c r="O114" s="385"/>
      <c r="X114" s="396"/>
      <c r="Y114" s="396"/>
      <c r="Z114" s="403"/>
      <c r="AA114" s="396"/>
      <c r="AB114" s="396"/>
      <c r="AC114" s="403"/>
    </row>
    <row r="115" spans="3:29" s="374" customFormat="1" ht="14.25">
      <c r="C115" s="376"/>
      <c r="F115" s="435"/>
      <c r="J115" s="453"/>
      <c r="K115" s="453"/>
      <c r="L115" s="652"/>
      <c r="O115" s="385"/>
      <c r="X115" s="396"/>
      <c r="Y115" s="396"/>
      <c r="Z115" s="403"/>
      <c r="AA115" s="396"/>
      <c r="AB115" s="396"/>
      <c r="AC115" s="403"/>
    </row>
    <row r="116" spans="3:29" s="374" customFormat="1" ht="14.25">
      <c r="C116" s="376"/>
      <c r="F116" s="435"/>
      <c r="J116" s="453"/>
      <c r="K116" s="453"/>
      <c r="L116" s="652"/>
      <c r="O116" s="385"/>
      <c r="X116" s="396"/>
      <c r="Y116" s="396"/>
      <c r="Z116" s="403"/>
      <c r="AA116" s="396"/>
      <c r="AB116" s="396"/>
      <c r="AC116" s="403"/>
    </row>
    <row r="117" spans="3:29" s="374" customFormat="1" ht="14.25">
      <c r="C117" s="376"/>
      <c r="F117" s="435"/>
      <c r="J117" s="453"/>
      <c r="K117" s="453"/>
      <c r="L117" s="652"/>
      <c r="O117" s="385"/>
      <c r="X117" s="396"/>
      <c r="Y117" s="396"/>
      <c r="Z117" s="403"/>
      <c r="AA117" s="396"/>
      <c r="AB117" s="396"/>
      <c r="AC117" s="403"/>
    </row>
    <row r="118" spans="3:29" s="374" customFormat="1" ht="14.25">
      <c r="C118" s="376"/>
      <c r="F118" s="435"/>
      <c r="J118" s="453"/>
      <c r="K118" s="453"/>
      <c r="L118" s="652"/>
      <c r="O118" s="385"/>
      <c r="X118" s="396"/>
      <c r="Y118" s="396"/>
      <c r="Z118" s="403"/>
      <c r="AA118" s="396"/>
      <c r="AB118" s="396"/>
      <c r="AC118" s="403"/>
    </row>
    <row r="119" spans="3:29" s="374" customFormat="1" ht="14.25">
      <c r="C119" s="376"/>
      <c r="F119" s="435"/>
      <c r="J119" s="453"/>
      <c r="K119" s="453"/>
      <c r="L119" s="652"/>
      <c r="O119" s="385"/>
      <c r="X119" s="396"/>
      <c r="Y119" s="396"/>
      <c r="Z119" s="403"/>
      <c r="AA119" s="396"/>
      <c r="AB119" s="396"/>
      <c r="AC119" s="403"/>
    </row>
    <row r="120" spans="3:29" s="374" customFormat="1" ht="14.25">
      <c r="C120" s="376"/>
      <c r="F120" s="435"/>
      <c r="J120" s="453"/>
      <c r="K120" s="453"/>
      <c r="L120" s="652"/>
      <c r="O120" s="385"/>
      <c r="X120" s="396"/>
      <c r="Y120" s="396"/>
      <c r="Z120" s="403"/>
      <c r="AA120" s="396"/>
      <c r="AB120" s="396"/>
      <c r="AC120" s="403"/>
    </row>
    <row r="121" spans="3:29" s="374" customFormat="1" ht="14.25">
      <c r="C121" s="376"/>
      <c r="F121" s="435"/>
      <c r="J121" s="453"/>
      <c r="K121" s="453"/>
      <c r="L121" s="652"/>
      <c r="O121" s="385"/>
      <c r="X121" s="396"/>
      <c r="Y121" s="396"/>
      <c r="Z121" s="403"/>
      <c r="AA121" s="396"/>
      <c r="AB121" s="396"/>
      <c r="AC121" s="403"/>
    </row>
    <row r="122" spans="3:29" s="374" customFormat="1" ht="14.25">
      <c r="C122" s="376"/>
      <c r="F122" s="435"/>
      <c r="J122" s="453"/>
      <c r="K122" s="453"/>
      <c r="L122" s="652"/>
      <c r="O122" s="385"/>
      <c r="X122" s="396"/>
      <c r="Y122" s="396"/>
      <c r="Z122" s="403"/>
      <c r="AA122" s="396"/>
      <c r="AB122" s="396"/>
      <c r="AC122" s="403"/>
    </row>
    <row r="123" spans="3:29" s="374" customFormat="1" ht="14.25">
      <c r="C123" s="376"/>
      <c r="F123" s="435"/>
      <c r="J123" s="453"/>
      <c r="K123" s="453"/>
      <c r="L123" s="652"/>
      <c r="O123" s="385"/>
      <c r="X123" s="396"/>
      <c r="Y123" s="396"/>
      <c r="Z123" s="403"/>
      <c r="AA123" s="396"/>
      <c r="AB123" s="396"/>
      <c r="AC123" s="403"/>
    </row>
    <row r="124" spans="3:29" s="374" customFormat="1" ht="14.25">
      <c r="C124" s="376"/>
      <c r="F124" s="435"/>
      <c r="J124" s="453"/>
      <c r="K124" s="453"/>
      <c r="L124" s="652"/>
      <c r="O124" s="385"/>
      <c r="X124" s="396"/>
      <c r="Y124" s="396"/>
      <c r="Z124" s="403"/>
      <c r="AA124" s="396"/>
      <c r="AB124" s="396"/>
      <c r="AC124" s="403"/>
    </row>
    <row r="125" spans="3:29" s="374" customFormat="1" ht="14.25">
      <c r="C125" s="376"/>
      <c r="F125" s="435"/>
      <c r="J125" s="453"/>
      <c r="K125" s="453"/>
      <c r="L125" s="652"/>
      <c r="O125" s="385"/>
      <c r="X125" s="396"/>
      <c r="Y125" s="396"/>
      <c r="Z125" s="403"/>
      <c r="AA125" s="396"/>
      <c r="AB125" s="396"/>
      <c r="AC125" s="403"/>
    </row>
    <row r="126" spans="3:29" s="374" customFormat="1" ht="14.25">
      <c r="C126" s="376"/>
      <c r="F126" s="435"/>
      <c r="J126" s="453"/>
      <c r="K126" s="453"/>
      <c r="L126" s="652"/>
      <c r="O126" s="385"/>
      <c r="X126" s="396"/>
      <c r="Y126" s="396"/>
      <c r="Z126" s="403"/>
      <c r="AA126" s="396"/>
      <c r="AB126" s="396"/>
      <c r="AC126" s="403"/>
    </row>
    <row r="127" spans="3:29" s="374" customFormat="1" ht="14.25">
      <c r="C127" s="376"/>
      <c r="F127" s="435"/>
      <c r="J127" s="453"/>
      <c r="K127" s="453"/>
      <c r="L127" s="652"/>
      <c r="O127" s="385"/>
      <c r="X127" s="396"/>
      <c r="Y127" s="396"/>
      <c r="Z127" s="403"/>
      <c r="AA127" s="396"/>
      <c r="AB127" s="396"/>
      <c r="AC127" s="403"/>
    </row>
    <row r="128" spans="3:29" s="374" customFormat="1" ht="14.25">
      <c r="C128" s="376"/>
      <c r="F128" s="435"/>
      <c r="J128" s="453"/>
      <c r="K128" s="453"/>
      <c r="L128" s="652"/>
      <c r="O128" s="385"/>
      <c r="X128" s="396"/>
      <c r="Y128" s="396"/>
      <c r="Z128" s="403"/>
      <c r="AA128" s="396"/>
      <c r="AB128" s="396"/>
      <c r="AC128" s="403"/>
    </row>
    <row r="129" spans="3:29" s="374" customFormat="1" ht="14.25">
      <c r="C129" s="376"/>
      <c r="F129" s="435"/>
      <c r="J129" s="453"/>
      <c r="K129" s="453"/>
      <c r="L129" s="652"/>
      <c r="O129" s="385"/>
      <c r="X129" s="396"/>
      <c r="Y129" s="396"/>
      <c r="Z129" s="403"/>
      <c r="AA129" s="396"/>
      <c r="AB129" s="396"/>
      <c r="AC129" s="403"/>
    </row>
    <row r="130" spans="3:29" s="374" customFormat="1" ht="14.25">
      <c r="C130" s="376"/>
      <c r="F130" s="435"/>
      <c r="J130" s="453"/>
      <c r="K130" s="453"/>
      <c r="L130" s="652"/>
      <c r="O130" s="385"/>
      <c r="X130" s="396"/>
      <c r="Y130" s="396"/>
      <c r="Z130" s="403"/>
      <c r="AA130" s="396"/>
      <c r="AB130" s="396"/>
      <c r="AC130" s="403"/>
    </row>
    <row r="131" spans="3:29" s="374" customFormat="1" ht="14.25">
      <c r="C131" s="376"/>
      <c r="F131" s="435"/>
      <c r="J131" s="453"/>
      <c r="K131" s="453"/>
      <c r="L131" s="652"/>
      <c r="O131" s="385"/>
      <c r="X131" s="396"/>
      <c r="Y131" s="396"/>
      <c r="Z131" s="403"/>
      <c r="AA131" s="396"/>
      <c r="AB131" s="396"/>
      <c r="AC131" s="403"/>
    </row>
    <row r="132" spans="3:29" s="374" customFormat="1" ht="14.25">
      <c r="C132" s="376"/>
      <c r="F132" s="435"/>
      <c r="J132" s="453"/>
      <c r="K132" s="453"/>
      <c r="L132" s="652"/>
      <c r="O132" s="385"/>
      <c r="X132" s="396"/>
      <c r="Y132" s="396"/>
      <c r="Z132" s="403"/>
      <c r="AA132" s="396"/>
      <c r="AB132" s="396"/>
      <c r="AC132" s="403"/>
    </row>
    <row r="133" spans="3:29" s="374" customFormat="1" ht="14.25">
      <c r="C133" s="376"/>
      <c r="F133" s="435"/>
      <c r="J133" s="453"/>
      <c r="K133" s="453"/>
      <c r="L133" s="652"/>
      <c r="O133" s="385"/>
      <c r="X133" s="396"/>
      <c r="Y133" s="396"/>
      <c r="Z133" s="403"/>
      <c r="AA133" s="396"/>
      <c r="AB133" s="396"/>
      <c r="AC133" s="403"/>
    </row>
    <row r="134" spans="3:29" s="374" customFormat="1" ht="14.25">
      <c r="C134" s="376"/>
      <c r="F134" s="435"/>
      <c r="J134" s="453"/>
      <c r="K134" s="453"/>
      <c r="L134" s="652"/>
      <c r="O134" s="385"/>
      <c r="X134" s="396"/>
      <c r="Y134" s="396"/>
      <c r="Z134" s="403"/>
      <c r="AA134" s="396"/>
      <c r="AB134" s="396"/>
      <c r="AC134" s="403"/>
    </row>
    <row r="135" spans="3:29" s="374" customFormat="1" ht="14.25">
      <c r="C135" s="376"/>
      <c r="F135" s="435"/>
      <c r="J135" s="453"/>
      <c r="K135" s="453"/>
      <c r="L135" s="652"/>
      <c r="O135" s="385"/>
      <c r="X135" s="396"/>
      <c r="Y135" s="396"/>
      <c r="Z135" s="403"/>
      <c r="AA135" s="396"/>
      <c r="AB135" s="396"/>
      <c r="AC135" s="403"/>
    </row>
    <row r="136" spans="3:29" s="374" customFormat="1" ht="14.25">
      <c r="C136" s="376"/>
      <c r="F136" s="435"/>
      <c r="J136" s="453"/>
      <c r="K136" s="453"/>
      <c r="L136" s="652"/>
      <c r="O136" s="385"/>
      <c r="X136" s="396"/>
      <c r="Y136" s="396"/>
      <c r="Z136" s="403"/>
      <c r="AA136" s="396"/>
      <c r="AB136" s="396"/>
      <c r="AC136" s="403"/>
    </row>
    <row r="137" spans="3:29" s="374" customFormat="1" ht="14.25">
      <c r="C137" s="376"/>
      <c r="F137" s="435"/>
      <c r="J137" s="453"/>
      <c r="K137" s="453"/>
      <c r="L137" s="652"/>
      <c r="O137" s="385"/>
      <c r="X137" s="396"/>
      <c r="Y137" s="396"/>
      <c r="Z137" s="403"/>
      <c r="AA137" s="396"/>
      <c r="AB137" s="396"/>
      <c r="AC137" s="403"/>
    </row>
    <row r="138" spans="3:29" s="374" customFormat="1" ht="14.25">
      <c r="C138" s="376"/>
      <c r="F138" s="435"/>
      <c r="J138" s="453"/>
      <c r="K138" s="453"/>
      <c r="L138" s="652"/>
      <c r="O138" s="385"/>
      <c r="X138" s="396"/>
      <c r="Y138" s="396"/>
      <c r="Z138" s="403"/>
      <c r="AA138" s="396"/>
      <c r="AB138" s="396"/>
      <c r="AC138" s="403"/>
    </row>
    <row r="139" spans="3:29" s="374" customFormat="1" ht="14.25">
      <c r="C139" s="376"/>
      <c r="F139" s="435"/>
      <c r="J139" s="453"/>
      <c r="K139" s="453"/>
      <c r="L139" s="652"/>
      <c r="O139" s="385"/>
      <c r="X139" s="396"/>
      <c r="Y139" s="396"/>
      <c r="Z139" s="403"/>
      <c r="AA139" s="396"/>
      <c r="AB139" s="396"/>
      <c r="AC139" s="403"/>
    </row>
    <row r="140" spans="3:29" s="374" customFormat="1" ht="14.25">
      <c r="C140" s="376"/>
      <c r="F140" s="435"/>
      <c r="J140" s="453"/>
      <c r="K140" s="453"/>
      <c r="L140" s="652"/>
      <c r="O140" s="385"/>
      <c r="X140" s="396"/>
      <c r="Y140" s="396"/>
      <c r="Z140" s="403"/>
      <c r="AA140" s="396"/>
      <c r="AB140" s="396"/>
      <c r="AC140" s="403"/>
    </row>
    <row r="141" spans="3:29" s="374" customFormat="1" ht="14.25">
      <c r="C141" s="376"/>
      <c r="F141" s="435"/>
      <c r="J141" s="453"/>
      <c r="K141" s="453"/>
      <c r="L141" s="652"/>
      <c r="O141" s="385"/>
      <c r="X141" s="396"/>
      <c r="Y141" s="396"/>
      <c r="Z141" s="403"/>
      <c r="AA141" s="396"/>
      <c r="AB141" s="396"/>
      <c r="AC141" s="403"/>
    </row>
    <row r="142" spans="3:29" s="374" customFormat="1" ht="14.25">
      <c r="C142" s="376"/>
      <c r="F142" s="435"/>
      <c r="J142" s="453"/>
      <c r="K142" s="453"/>
      <c r="L142" s="652"/>
      <c r="O142" s="385"/>
      <c r="X142" s="396"/>
      <c r="Y142" s="396"/>
      <c r="Z142" s="403"/>
      <c r="AA142" s="396"/>
      <c r="AB142" s="396"/>
      <c r="AC142" s="403"/>
    </row>
    <row r="143" spans="3:29" s="374" customFormat="1" ht="14.25">
      <c r="C143" s="376"/>
      <c r="F143" s="435"/>
      <c r="J143" s="453"/>
      <c r="K143" s="453"/>
      <c r="L143" s="652"/>
      <c r="O143" s="385"/>
      <c r="X143" s="396"/>
      <c r="Y143" s="396"/>
      <c r="Z143" s="403"/>
      <c r="AA143" s="396"/>
      <c r="AB143" s="396"/>
      <c r="AC143" s="403"/>
    </row>
    <row r="144" spans="3:29" s="374" customFormat="1" ht="14.25">
      <c r="C144" s="376"/>
      <c r="F144" s="435"/>
      <c r="J144" s="453"/>
      <c r="K144" s="453"/>
      <c r="L144" s="652"/>
      <c r="O144" s="385"/>
      <c r="X144" s="396"/>
      <c r="Y144" s="396"/>
      <c r="Z144" s="403"/>
      <c r="AA144" s="396"/>
      <c r="AB144" s="396"/>
      <c r="AC144" s="403"/>
    </row>
    <row r="145" spans="3:29" s="374" customFormat="1" ht="14.25">
      <c r="C145" s="376"/>
      <c r="F145" s="435"/>
      <c r="J145" s="453"/>
      <c r="K145" s="453"/>
      <c r="L145" s="652"/>
      <c r="O145" s="385"/>
      <c r="X145" s="396"/>
      <c r="Y145" s="396"/>
      <c r="Z145" s="403"/>
      <c r="AA145" s="396"/>
      <c r="AB145" s="396"/>
      <c r="AC145" s="403"/>
    </row>
    <row r="146" spans="3:29" s="374" customFormat="1" ht="14.25">
      <c r="C146" s="376"/>
      <c r="F146" s="435"/>
      <c r="J146" s="453"/>
      <c r="K146" s="453"/>
      <c r="L146" s="652"/>
      <c r="O146" s="385"/>
      <c r="X146" s="396"/>
      <c r="Y146" s="396"/>
      <c r="Z146" s="403"/>
      <c r="AA146" s="396"/>
      <c r="AB146" s="396"/>
      <c r="AC146" s="403"/>
    </row>
    <row r="147" spans="3:29" s="374" customFormat="1" ht="14.25">
      <c r="C147" s="376"/>
      <c r="F147" s="435"/>
      <c r="J147" s="453"/>
      <c r="K147" s="453"/>
      <c r="L147" s="652"/>
      <c r="O147" s="385"/>
      <c r="X147" s="396"/>
      <c r="Y147" s="396"/>
      <c r="Z147" s="403"/>
      <c r="AA147" s="396"/>
      <c r="AB147" s="396"/>
      <c r="AC147" s="403"/>
    </row>
    <row r="148" spans="3:29" s="374" customFormat="1" ht="14.25">
      <c r="C148" s="376"/>
      <c r="F148" s="435"/>
      <c r="J148" s="453"/>
      <c r="K148" s="453"/>
      <c r="L148" s="652"/>
      <c r="O148" s="385"/>
      <c r="X148" s="396"/>
      <c r="Y148" s="396"/>
      <c r="Z148" s="403"/>
      <c r="AA148" s="396"/>
      <c r="AB148" s="396"/>
      <c r="AC148" s="403"/>
    </row>
    <row r="149" spans="3:29" s="374" customFormat="1" ht="14.25">
      <c r="C149" s="376"/>
      <c r="F149" s="435"/>
      <c r="J149" s="453"/>
      <c r="K149" s="453"/>
      <c r="L149" s="652"/>
      <c r="O149" s="385"/>
      <c r="X149" s="396"/>
      <c r="Y149" s="396"/>
      <c r="Z149" s="403"/>
      <c r="AA149" s="396"/>
      <c r="AB149" s="396"/>
      <c r="AC149" s="403"/>
    </row>
    <row r="150" spans="3:29" s="374" customFormat="1" ht="14.25">
      <c r="C150" s="376"/>
      <c r="F150" s="435"/>
      <c r="J150" s="453"/>
      <c r="K150" s="453"/>
      <c r="L150" s="652"/>
      <c r="O150" s="385"/>
      <c r="X150" s="396"/>
      <c r="Y150" s="396"/>
      <c r="Z150" s="403"/>
      <c r="AA150" s="396"/>
      <c r="AB150" s="396"/>
      <c r="AC150" s="403"/>
    </row>
    <row r="151" spans="3:29" s="374" customFormat="1" ht="14.25">
      <c r="C151" s="376"/>
      <c r="F151" s="435"/>
      <c r="J151" s="453"/>
      <c r="K151" s="453"/>
      <c r="L151" s="652"/>
      <c r="O151" s="385"/>
      <c r="X151" s="396"/>
      <c r="Y151" s="396"/>
      <c r="Z151" s="403"/>
      <c r="AA151" s="396"/>
      <c r="AB151" s="396"/>
      <c r="AC151" s="403"/>
    </row>
    <row r="152" spans="3:29" s="374" customFormat="1" ht="14.25">
      <c r="C152" s="376"/>
      <c r="F152" s="435"/>
      <c r="J152" s="453"/>
      <c r="K152" s="453"/>
      <c r="L152" s="652"/>
      <c r="O152" s="385"/>
      <c r="X152" s="396"/>
      <c r="Y152" s="396"/>
      <c r="Z152" s="403"/>
      <c r="AA152" s="396"/>
      <c r="AB152" s="396"/>
      <c r="AC152" s="403"/>
    </row>
    <row r="153" spans="3:29" s="374" customFormat="1" ht="14.25">
      <c r="C153" s="376"/>
      <c r="F153" s="435"/>
      <c r="J153" s="453"/>
      <c r="K153" s="453"/>
      <c r="L153" s="652"/>
      <c r="O153" s="385"/>
      <c r="X153" s="396"/>
      <c r="Y153" s="396"/>
      <c r="Z153" s="403"/>
      <c r="AA153" s="396"/>
      <c r="AB153" s="396"/>
      <c r="AC153" s="403"/>
    </row>
    <row r="154" spans="3:29" s="374" customFormat="1" ht="14.25">
      <c r="C154" s="376"/>
      <c r="F154" s="435"/>
      <c r="J154" s="453"/>
      <c r="K154" s="453"/>
      <c r="L154" s="652"/>
      <c r="O154" s="385"/>
      <c r="X154" s="396"/>
      <c r="Y154" s="396"/>
      <c r="Z154" s="403"/>
      <c r="AA154" s="396"/>
      <c r="AB154" s="396"/>
      <c r="AC154" s="403"/>
    </row>
    <row r="155" spans="3:29" s="374" customFormat="1" ht="14.25">
      <c r="C155" s="376"/>
      <c r="F155" s="435"/>
      <c r="J155" s="453"/>
      <c r="K155" s="453"/>
      <c r="L155" s="652"/>
      <c r="O155" s="385"/>
      <c r="X155" s="396"/>
      <c r="Y155" s="396"/>
      <c r="Z155" s="403"/>
      <c r="AA155" s="396"/>
      <c r="AB155" s="396"/>
      <c r="AC155" s="403"/>
    </row>
    <row r="156" spans="3:29" s="374" customFormat="1" ht="14.25">
      <c r="C156" s="376"/>
      <c r="F156" s="435"/>
      <c r="J156" s="453"/>
      <c r="K156" s="453"/>
      <c r="L156" s="652"/>
      <c r="O156" s="385"/>
      <c r="X156" s="396"/>
      <c r="Y156" s="396"/>
      <c r="Z156" s="403"/>
      <c r="AA156" s="396"/>
      <c r="AB156" s="396"/>
      <c r="AC156" s="403"/>
    </row>
    <row r="157" spans="3:29" s="374" customFormat="1" ht="14.25">
      <c r="C157" s="376"/>
      <c r="F157" s="435"/>
      <c r="J157" s="453"/>
      <c r="K157" s="453"/>
      <c r="L157" s="652"/>
      <c r="O157" s="385"/>
      <c r="X157" s="396"/>
      <c r="Y157" s="396"/>
      <c r="Z157" s="403"/>
      <c r="AA157" s="396"/>
      <c r="AB157" s="396"/>
      <c r="AC157" s="403"/>
    </row>
    <row r="158" spans="3:29" s="374" customFormat="1" ht="14.25">
      <c r="C158" s="376"/>
      <c r="F158" s="435"/>
      <c r="J158" s="453"/>
      <c r="K158" s="453"/>
      <c r="L158" s="652"/>
      <c r="O158" s="385"/>
      <c r="X158" s="396"/>
      <c r="Y158" s="396"/>
      <c r="Z158" s="403"/>
      <c r="AA158" s="396"/>
      <c r="AB158" s="396"/>
      <c r="AC158" s="403"/>
    </row>
    <row r="159" spans="3:29" s="374" customFormat="1" ht="14.25">
      <c r="C159" s="376"/>
      <c r="F159" s="435"/>
      <c r="J159" s="453"/>
      <c r="K159" s="453"/>
      <c r="L159" s="652"/>
      <c r="O159" s="385"/>
      <c r="X159" s="396"/>
      <c r="Y159" s="396"/>
      <c r="Z159" s="403"/>
      <c r="AA159" s="396"/>
      <c r="AB159" s="396"/>
      <c r="AC159" s="403"/>
    </row>
    <row r="160" spans="3:29" s="374" customFormat="1" ht="14.25">
      <c r="C160" s="376"/>
      <c r="F160" s="435"/>
      <c r="J160" s="453"/>
      <c r="K160" s="453"/>
      <c r="L160" s="652"/>
      <c r="O160" s="385"/>
      <c r="X160" s="396"/>
      <c r="Y160" s="396"/>
      <c r="Z160" s="403"/>
      <c r="AA160" s="396"/>
      <c r="AB160" s="396"/>
      <c r="AC160" s="403"/>
    </row>
    <row r="161" spans="1:29" s="374" customFormat="1" ht="14.25">
      <c r="C161" s="376"/>
      <c r="F161" s="435"/>
      <c r="J161" s="453"/>
      <c r="K161" s="453"/>
      <c r="L161" s="652"/>
      <c r="O161" s="385"/>
      <c r="X161" s="396"/>
      <c r="Y161" s="396"/>
      <c r="Z161" s="403"/>
      <c r="AA161" s="396"/>
      <c r="AB161" s="396"/>
      <c r="AC161" s="403"/>
    </row>
    <row r="162" spans="1:29" s="374" customFormat="1" ht="14.25">
      <c r="C162" s="376"/>
      <c r="F162" s="435"/>
      <c r="J162" s="453"/>
      <c r="K162" s="453"/>
      <c r="L162" s="652"/>
      <c r="O162" s="385"/>
      <c r="X162" s="396"/>
      <c r="Y162" s="396"/>
      <c r="Z162" s="403"/>
      <c r="AA162" s="396"/>
      <c r="AB162" s="396"/>
      <c r="AC162" s="403"/>
    </row>
    <row r="163" spans="1:29" s="374" customFormat="1" ht="14.25">
      <c r="C163" s="376"/>
      <c r="F163" s="435"/>
      <c r="J163" s="453"/>
      <c r="K163" s="453"/>
      <c r="L163" s="652"/>
      <c r="O163" s="385"/>
      <c r="X163" s="396"/>
      <c r="Y163" s="396"/>
      <c r="Z163" s="403"/>
      <c r="AA163" s="396"/>
      <c r="AB163" s="396"/>
      <c r="AC163" s="403"/>
    </row>
    <row r="164" spans="1:29" s="374" customFormat="1" ht="14.25">
      <c r="C164" s="376"/>
      <c r="F164" s="435"/>
      <c r="J164" s="453"/>
      <c r="K164" s="453"/>
      <c r="L164" s="652"/>
      <c r="O164" s="385"/>
      <c r="X164" s="396"/>
      <c r="Y164" s="396"/>
      <c r="Z164" s="403"/>
      <c r="AA164" s="396"/>
      <c r="AB164" s="396"/>
      <c r="AC164" s="403"/>
    </row>
    <row r="165" spans="1:29" s="374" customFormat="1" ht="14.25">
      <c r="C165" s="376"/>
      <c r="F165" s="435"/>
      <c r="J165" s="453"/>
      <c r="K165" s="453"/>
      <c r="L165" s="652"/>
      <c r="O165" s="385"/>
      <c r="X165" s="396"/>
      <c r="Y165" s="396"/>
      <c r="Z165" s="403"/>
      <c r="AA165" s="396"/>
      <c r="AB165" s="396"/>
      <c r="AC165" s="403"/>
    </row>
    <row r="166" spans="1:29" s="374" customFormat="1" ht="14.25">
      <c r="C166" s="376"/>
      <c r="F166" s="435"/>
      <c r="J166" s="453"/>
      <c r="K166" s="453"/>
      <c r="L166" s="652"/>
      <c r="O166" s="385"/>
      <c r="X166" s="396"/>
      <c r="Y166" s="396"/>
      <c r="Z166" s="403"/>
      <c r="AA166" s="396"/>
      <c r="AB166" s="396"/>
      <c r="AC166" s="403"/>
    </row>
    <row r="167" spans="1:29" s="374" customFormat="1" ht="14.25">
      <c r="C167" s="376"/>
      <c r="F167" s="435"/>
      <c r="J167" s="453"/>
      <c r="K167" s="453"/>
      <c r="L167" s="652"/>
      <c r="O167" s="385"/>
      <c r="X167" s="396"/>
      <c r="Y167" s="396"/>
      <c r="Z167" s="403"/>
      <c r="AA167" s="396"/>
      <c r="AB167" s="396"/>
      <c r="AC167" s="403"/>
    </row>
    <row r="168" spans="1:29" s="374" customFormat="1" ht="14.25">
      <c r="C168" s="376"/>
      <c r="F168" s="435"/>
      <c r="J168" s="453"/>
      <c r="K168" s="453"/>
      <c r="L168" s="652"/>
      <c r="O168" s="385"/>
      <c r="X168" s="396"/>
      <c r="Y168" s="396"/>
      <c r="Z168" s="403"/>
      <c r="AA168" s="396"/>
      <c r="AB168" s="396"/>
      <c r="AC168" s="403"/>
    </row>
    <row r="169" spans="1:29">
      <c r="A169" s="374"/>
      <c r="B169" s="374"/>
      <c r="C169" s="376"/>
      <c r="D169" s="374"/>
      <c r="F169" s="435"/>
      <c r="J169" s="453"/>
      <c r="K169" s="453"/>
      <c r="L169" s="652"/>
    </row>
  </sheetData>
  <mergeCells count="4">
    <mergeCell ref="A4:A6"/>
    <mergeCell ref="B4:B6"/>
    <mergeCell ref="A9:A11"/>
    <mergeCell ref="B9:B11"/>
  </mergeCells>
  <phoneticPr fontId="3" type="noConversion"/>
  <conditionalFormatting sqref="L4:L18">
    <cfRule type="cellIs" dxfId="102" priority="45" stopIfTrue="1" operator="lessThanOrEqual">
      <formula>-0.3</formula>
    </cfRule>
    <cfRule type="cellIs" dxfId="101" priority="46" stopIfTrue="1" operator="greaterThanOrEqual">
      <formula>0.3</formula>
    </cfRule>
  </conditionalFormatting>
  <conditionalFormatting sqref="P4:S18">
    <cfRule type="expression" dxfId="100" priority="43">
      <formula>P4&lt;&gt;0</formula>
    </cfRule>
  </conditionalFormatting>
  <conditionalFormatting sqref="P5:S5">
    <cfRule type="expression" dxfId="99" priority="41">
      <formula>$P$5&lt;〉0</formula>
    </cfRule>
  </conditionalFormatting>
  <conditionalFormatting sqref="O5:O6 O10:O18 O8">
    <cfRule type="expression" dxfId="98" priority="39">
      <formula>O5&lt;0</formula>
    </cfRule>
  </conditionalFormatting>
  <conditionalFormatting sqref="O5:O6 O10:O18 O8">
    <cfRule type="cellIs" dxfId="97" priority="37" stopIfTrue="1" operator="lessThan">
      <formula>0</formula>
    </cfRule>
    <cfRule type="cellIs" dxfId="96" priority="38" operator="greaterThan">
      <formula>0</formula>
    </cfRule>
  </conditionalFormatting>
  <hyperlinks>
    <hyperlink ref="D30" location="权重!A1" display="权重!A1"/>
    <hyperlink ref="D31" location="目录!A1" display="目录!A1"/>
  </hyperlinks>
  <pageMargins left="0.7" right="0.7" top="0.75" bottom="0.75" header="0.3" footer="0.3"/>
  <pageSetup paperSize="9" orientation="portrait" r:id="rId1"/>
  <legacyDrawing r:id="rId2"/>
</worksheet>
</file>

<file path=xl/worksheets/sheet22.xml><?xml version="1.0" encoding="utf-8"?>
<worksheet xmlns="http://schemas.openxmlformats.org/spreadsheetml/2006/main" xmlns:r="http://schemas.openxmlformats.org/officeDocument/2006/relationships">
  <sheetPr codeName="Sheet7">
    <tabColor theme="6"/>
  </sheetPr>
  <dimension ref="A1:U162"/>
  <sheetViews>
    <sheetView workbookViewId="0">
      <pane xSplit="8" ySplit="3" topLeftCell="I4" activePane="bottomRight" state="frozenSplit"/>
      <selection activeCell="C1" sqref="C1"/>
      <selection pane="topRight" activeCell="F1" sqref="F1"/>
      <selection pane="bottomLeft" activeCell="C17" sqref="C17"/>
      <selection pane="bottomRight" activeCell="D30" sqref="D30"/>
    </sheetView>
  </sheetViews>
  <sheetFormatPr defaultColWidth="8.875" defaultRowHeight="15" outlineLevelRow="1" outlineLevelCol="2"/>
  <cols>
    <col min="1" max="1" width="20.75" style="600" hidden="1" customWidth="1" outlineLevel="1"/>
    <col min="2" max="2" width="38.25" style="600" hidden="1" customWidth="1" outlineLevel="1"/>
    <col min="3" max="3" width="6.875" style="646" customWidth="1" collapsed="1"/>
    <col min="4" max="4" width="28.375" style="600" customWidth="1"/>
    <col min="5" max="5" width="12.75" style="600" hidden="1" customWidth="1" outlineLevel="1"/>
    <col min="6" max="6" width="11.5" style="601" hidden="1" customWidth="1" outlineLevel="2"/>
    <col min="7" max="7" width="9" style="600" hidden="1" customWidth="1" outlineLevel="1" collapsed="1"/>
    <col min="8" max="8" width="8.875" style="601" customWidth="1" collapsed="1"/>
    <col min="9" max="9" width="17.5" style="600" customWidth="1" collapsed="1"/>
    <col min="10" max="10" width="17.5" style="600" customWidth="1"/>
    <col min="11" max="11" width="8.625" style="600" hidden="1" customWidth="1"/>
    <col min="12" max="12" width="31.875" style="600" hidden="1" customWidth="1"/>
    <col min="13" max="13" width="33.625" style="600" hidden="1" customWidth="1"/>
    <col min="14" max="14" width="8.875" style="647" customWidth="1"/>
    <col min="15" max="19" width="8.875" style="600" customWidth="1"/>
    <col min="20" max="21" width="11.25" style="600" bestFit="1" customWidth="1"/>
    <col min="22" max="16384" width="8.875" style="600"/>
  </cols>
  <sheetData>
    <row r="1" spans="1:21">
      <c r="A1" s="598"/>
      <c r="B1" s="598"/>
      <c r="C1" s="598" t="s">
        <v>196</v>
      </c>
      <c r="D1" s="598"/>
      <c r="E1" s="599"/>
      <c r="F1" s="599"/>
      <c r="I1" s="599"/>
      <c r="J1" s="599"/>
    </row>
    <row r="2" spans="1:21">
      <c r="A2" s="602"/>
      <c r="B2" s="602"/>
      <c r="C2" s="602"/>
      <c r="D2" s="602"/>
      <c r="E2" s="602"/>
      <c r="F2" s="602"/>
      <c r="I2" s="602"/>
      <c r="J2" s="602"/>
      <c r="K2" s="599"/>
      <c r="P2" s="603" t="s">
        <v>1656</v>
      </c>
    </row>
    <row r="3" spans="1:21">
      <c r="A3" s="604" t="s">
        <v>1574</v>
      </c>
      <c r="B3" s="604" t="s">
        <v>1575</v>
      </c>
      <c r="C3" s="604" t="s">
        <v>184</v>
      </c>
      <c r="D3" s="605" t="s">
        <v>197</v>
      </c>
      <c r="E3" s="605" t="s">
        <v>1485</v>
      </c>
      <c r="F3" s="605" t="s">
        <v>394</v>
      </c>
      <c r="G3" s="605" t="s">
        <v>1486</v>
      </c>
      <c r="H3" s="605" t="s">
        <v>1556</v>
      </c>
      <c r="I3" s="605" t="s">
        <v>2269</v>
      </c>
      <c r="J3" s="606" t="s">
        <v>2255</v>
      </c>
      <c r="K3" s="605" t="s">
        <v>1525</v>
      </c>
      <c r="L3" s="605"/>
      <c r="M3" s="605"/>
      <c r="N3" s="578" t="s">
        <v>1573</v>
      </c>
      <c r="O3" s="606" t="s">
        <v>2256</v>
      </c>
      <c r="P3" s="605" t="s">
        <v>2156</v>
      </c>
      <c r="Q3" s="607" t="s">
        <v>1576</v>
      </c>
      <c r="R3" s="607" t="s">
        <v>465</v>
      </c>
      <c r="S3" s="607" t="s">
        <v>1606</v>
      </c>
      <c r="T3" s="607" t="s">
        <v>1607</v>
      </c>
      <c r="U3" s="607" t="s">
        <v>2468</v>
      </c>
    </row>
    <row r="4" spans="1:21" s="618" customFormat="1" ht="15.6" customHeight="1">
      <c r="A4" s="608" t="s">
        <v>390</v>
      </c>
      <c r="B4" s="608" t="s">
        <v>374</v>
      </c>
      <c r="C4" s="609">
        <v>1</v>
      </c>
      <c r="D4" s="610" t="s">
        <v>165</v>
      </c>
      <c r="E4" s="611" t="s">
        <v>204</v>
      </c>
      <c r="F4" s="612" t="s">
        <v>408</v>
      </c>
      <c r="G4" s="613" t="s">
        <v>232</v>
      </c>
      <c r="H4" s="614">
        <v>5</v>
      </c>
      <c r="I4" s="615" t="s">
        <v>166</v>
      </c>
      <c r="J4" s="615" t="s">
        <v>166</v>
      </c>
      <c r="K4" s="616"/>
      <c r="L4" s="613" t="s">
        <v>166</v>
      </c>
      <c r="M4" s="613" t="s">
        <v>167</v>
      </c>
      <c r="N4" s="648">
        <f t="shared" ref="N4:N22" si="0">IF((J4=I4)=TRUE,0,1)</f>
        <v>0</v>
      </c>
      <c r="O4" s="188">
        <v>5</v>
      </c>
      <c r="P4" s="188">
        <v>5</v>
      </c>
      <c r="Q4" s="617">
        <f>O4-P4</f>
        <v>0</v>
      </c>
      <c r="R4" s="188">
        <f t="shared" ref="R4:R21" si="1">H4-O4</f>
        <v>0</v>
      </c>
      <c r="S4" s="188">
        <f>R4*100%</f>
        <v>0</v>
      </c>
      <c r="T4" s="188">
        <f>S4/9</f>
        <v>0</v>
      </c>
      <c r="U4" s="188">
        <f>T4/2</f>
        <v>0</v>
      </c>
    </row>
    <row r="5" spans="1:21" s="618" customFormat="1" ht="15.6" customHeight="1">
      <c r="A5" s="1755" t="s">
        <v>391</v>
      </c>
      <c r="B5" s="1756" t="s">
        <v>375</v>
      </c>
      <c r="C5" s="609">
        <v>2</v>
      </c>
      <c r="D5" s="610" t="s">
        <v>168</v>
      </c>
      <c r="E5" s="611" t="s">
        <v>204</v>
      </c>
      <c r="F5" s="619" t="s">
        <v>404</v>
      </c>
      <c r="G5" s="613" t="s">
        <v>232</v>
      </c>
      <c r="H5" s="614">
        <v>10</v>
      </c>
      <c r="I5" s="615" t="s">
        <v>169</v>
      </c>
      <c r="J5" s="615" t="s">
        <v>169</v>
      </c>
      <c r="K5" s="616"/>
      <c r="L5" s="613" t="s">
        <v>169</v>
      </c>
      <c r="M5" s="613" t="s">
        <v>170</v>
      </c>
      <c r="N5" s="648">
        <f t="shared" si="0"/>
        <v>0</v>
      </c>
      <c r="O5" s="188">
        <v>10</v>
      </c>
      <c r="P5" s="188">
        <v>10</v>
      </c>
      <c r="Q5" s="617">
        <f t="shared" ref="Q5:Q21" si="2">O5-P5</f>
        <v>0</v>
      </c>
      <c r="R5" s="188">
        <f t="shared" si="1"/>
        <v>0</v>
      </c>
      <c r="S5" s="188">
        <f t="shared" ref="S5:S26" si="3">R5*100%</f>
        <v>0</v>
      </c>
      <c r="T5" s="188">
        <f t="shared" ref="T5:T26" si="4">S5/9</f>
        <v>0</v>
      </c>
      <c r="U5" s="188">
        <f t="shared" ref="U5:U26" si="5">T5/2</f>
        <v>0</v>
      </c>
    </row>
    <row r="6" spans="1:21" s="618" customFormat="1" ht="15.6" customHeight="1">
      <c r="A6" s="1755"/>
      <c r="B6" s="1756"/>
      <c r="C6" s="609">
        <v>3</v>
      </c>
      <c r="D6" s="610" t="s">
        <v>171</v>
      </c>
      <c r="E6" s="611" t="s">
        <v>204</v>
      </c>
      <c r="F6" s="619" t="s">
        <v>404</v>
      </c>
      <c r="G6" s="613" t="s">
        <v>232</v>
      </c>
      <c r="H6" s="614">
        <v>5</v>
      </c>
      <c r="I6" s="615" t="s">
        <v>172</v>
      </c>
      <c r="J6" s="615" t="s">
        <v>172</v>
      </c>
      <c r="K6" s="616"/>
      <c r="L6" s="613" t="s">
        <v>172</v>
      </c>
      <c r="M6" s="613" t="s">
        <v>173</v>
      </c>
      <c r="N6" s="648">
        <f t="shared" si="0"/>
        <v>0</v>
      </c>
      <c r="O6" s="188">
        <v>5</v>
      </c>
      <c r="P6" s="188">
        <v>5</v>
      </c>
      <c r="Q6" s="617">
        <f t="shared" si="2"/>
        <v>0</v>
      </c>
      <c r="R6" s="188">
        <f t="shared" si="1"/>
        <v>0</v>
      </c>
      <c r="S6" s="188">
        <f t="shared" si="3"/>
        <v>0</v>
      </c>
      <c r="T6" s="188">
        <f t="shared" si="4"/>
        <v>0</v>
      </c>
      <c r="U6" s="188">
        <f t="shared" si="5"/>
        <v>0</v>
      </c>
    </row>
    <row r="7" spans="1:21" s="618" customFormat="1" ht="15.6" customHeight="1">
      <c r="A7" s="1755"/>
      <c r="B7" s="1756"/>
      <c r="C7" s="609">
        <v>4</v>
      </c>
      <c r="D7" s="610" t="s">
        <v>174</v>
      </c>
      <c r="E7" s="611" t="s">
        <v>204</v>
      </c>
      <c r="F7" s="619" t="s">
        <v>404</v>
      </c>
      <c r="G7" s="613" t="s">
        <v>232</v>
      </c>
      <c r="H7" s="614">
        <v>5</v>
      </c>
      <c r="I7" s="615" t="s">
        <v>175</v>
      </c>
      <c r="J7" s="615" t="s">
        <v>175</v>
      </c>
      <c r="K7" s="616"/>
      <c r="L7" s="613" t="s">
        <v>175</v>
      </c>
      <c r="M7" s="613" t="s">
        <v>176</v>
      </c>
      <c r="N7" s="648">
        <f t="shared" si="0"/>
        <v>0</v>
      </c>
      <c r="O7" s="188">
        <v>5</v>
      </c>
      <c r="P7" s="188">
        <v>5</v>
      </c>
      <c r="Q7" s="617">
        <f t="shared" si="2"/>
        <v>0</v>
      </c>
      <c r="R7" s="188">
        <f t="shared" si="1"/>
        <v>0</v>
      </c>
      <c r="S7" s="188">
        <f t="shared" si="3"/>
        <v>0</v>
      </c>
      <c r="T7" s="188">
        <f t="shared" si="4"/>
        <v>0</v>
      </c>
      <c r="U7" s="188">
        <f t="shared" si="5"/>
        <v>0</v>
      </c>
    </row>
    <row r="8" spans="1:21" s="618" customFormat="1" ht="15.6" customHeight="1">
      <c r="A8" s="1755"/>
      <c r="B8" s="1756"/>
      <c r="C8" s="609">
        <v>5</v>
      </c>
      <c r="D8" s="610" t="s">
        <v>177</v>
      </c>
      <c r="E8" s="611" t="s">
        <v>204</v>
      </c>
      <c r="F8" s="619" t="s">
        <v>404</v>
      </c>
      <c r="G8" s="613" t="s">
        <v>232</v>
      </c>
      <c r="H8" s="614">
        <v>5</v>
      </c>
      <c r="I8" s="615" t="s">
        <v>178</v>
      </c>
      <c r="J8" s="615" t="s">
        <v>178</v>
      </c>
      <c r="K8" s="616"/>
      <c r="L8" s="613" t="s">
        <v>178</v>
      </c>
      <c r="M8" s="613" t="s">
        <v>179</v>
      </c>
      <c r="N8" s="648">
        <f t="shared" si="0"/>
        <v>0</v>
      </c>
      <c r="O8" s="188">
        <v>5</v>
      </c>
      <c r="P8" s="188">
        <v>5</v>
      </c>
      <c r="Q8" s="617">
        <f t="shared" si="2"/>
        <v>0</v>
      </c>
      <c r="R8" s="188">
        <f t="shared" si="1"/>
        <v>0</v>
      </c>
      <c r="S8" s="188">
        <f t="shared" si="3"/>
        <v>0</v>
      </c>
      <c r="T8" s="188">
        <f t="shared" si="4"/>
        <v>0</v>
      </c>
      <c r="U8" s="188">
        <f t="shared" si="5"/>
        <v>0</v>
      </c>
    </row>
    <row r="9" spans="1:21" s="618" customFormat="1" ht="15.6" customHeight="1">
      <c r="A9" s="1755"/>
      <c r="B9" s="1756"/>
      <c r="C9" s="609">
        <v>6</v>
      </c>
      <c r="D9" s="610" t="s">
        <v>180</v>
      </c>
      <c r="E9" s="611" t="s">
        <v>204</v>
      </c>
      <c r="F9" s="619" t="s">
        <v>404</v>
      </c>
      <c r="G9" s="613" t="s">
        <v>232</v>
      </c>
      <c r="H9" s="614">
        <v>5</v>
      </c>
      <c r="I9" s="615" t="s">
        <v>181</v>
      </c>
      <c r="J9" s="615" t="s">
        <v>181</v>
      </c>
      <c r="K9" s="613"/>
      <c r="L9" s="613" t="s">
        <v>181</v>
      </c>
      <c r="M9" s="613" t="s">
        <v>182</v>
      </c>
      <c r="N9" s="648">
        <f t="shared" si="0"/>
        <v>0</v>
      </c>
      <c r="O9" s="188">
        <v>5</v>
      </c>
      <c r="P9" s="188">
        <v>5</v>
      </c>
      <c r="Q9" s="617">
        <f t="shared" si="2"/>
        <v>0</v>
      </c>
      <c r="R9" s="188">
        <f t="shared" si="1"/>
        <v>0</v>
      </c>
      <c r="S9" s="188">
        <f t="shared" si="3"/>
        <v>0</v>
      </c>
      <c r="T9" s="188">
        <f t="shared" si="4"/>
        <v>0</v>
      </c>
      <c r="U9" s="188">
        <f t="shared" si="5"/>
        <v>0</v>
      </c>
    </row>
    <row r="10" spans="1:21" s="618" customFormat="1" ht="15.6" customHeight="1">
      <c r="A10" s="1671" t="s">
        <v>385</v>
      </c>
      <c r="B10" s="1674" t="s">
        <v>2152</v>
      </c>
      <c r="C10" s="609">
        <v>7</v>
      </c>
      <c r="D10" s="610" t="s">
        <v>383</v>
      </c>
      <c r="E10" s="611"/>
      <c r="F10" s="619" t="s">
        <v>409</v>
      </c>
      <c r="G10" s="620" t="s">
        <v>232</v>
      </c>
      <c r="H10" s="614">
        <v>20</v>
      </c>
      <c r="I10" s="615"/>
      <c r="J10" s="615"/>
      <c r="K10" s="615"/>
      <c r="L10" s="613"/>
      <c r="M10" s="613"/>
      <c r="N10" s="648">
        <f t="shared" si="0"/>
        <v>0</v>
      </c>
      <c r="O10" s="188">
        <v>20</v>
      </c>
      <c r="P10" s="188">
        <v>20</v>
      </c>
      <c r="Q10" s="617">
        <f t="shared" si="2"/>
        <v>0</v>
      </c>
      <c r="R10" s="188">
        <f t="shared" si="1"/>
        <v>0</v>
      </c>
      <c r="S10" s="188">
        <f t="shared" si="3"/>
        <v>0</v>
      </c>
      <c r="T10" s="188">
        <f t="shared" si="4"/>
        <v>0</v>
      </c>
      <c r="U10" s="188">
        <f t="shared" si="5"/>
        <v>0</v>
      </c>
    </row>
    <row r="11" spans="1:21" s="618" customFormat="1" ht="15.6" customHeight="1" outlineLevel="1">
      <c r="A11" s="1672"/>
      <c r="B11" s="1675"/>
      <c r="C11" s="621">
        <v>7.1</v>
      </c>
      <c r="D11" s="613" t="s">
        <v>376</v>
      </c>
      <c r="E11" s="611" t="s">
        <v>204</v>
      </c>
      <c r="F11" s="619"/>
      <c r="G11" s="613"/>
      <c r="H11" s="622"/>
      <c r="I11" s="613">
        <v>0</v>
      </c>
      <c r="J11" s="613">
        <v>0</v>
      </c>
      <c r="K11" s="616"/>
      <c r="L11" s="613"/>
      <c r="M11" s="613"/>
      <c r="N11" s="648">
        <f t="shared" si="0"/>
        <v>0</v>
      </c>
      <c r="O11" s="613"/>
      <c r="P11" s="613"/>
      <c r="Q11" s="617">
        <f t="shared" si="2"/>
        <v>0</v>
      </c>
      <c r="R11" s="188">
        <f t="shared" si="1"/>
        <v>0</v>
      </c>
      <c r="S11" s="188">
        <f t="shared" si="3"/>
        <v>0</v>
      </c>
      <c r="T11" s="188">
        <f t="shared" si="4"/>
        <v>0</v>
      </c>
      <c r="U11" s="188">
        <f t="shared" si="5"/>
        <v>0</v>
      </c>
    </row>
    <row r="12" spans="1:21" s="618" customFormat="1" ht="15.6" customHeight="1" outlineLevel="1">
      <c r="A12" s="1672"/>
      <c r="B12" s="1675"/>
      <c r="C12" s="621">
        <v>7.2</v>
      </c>
      <c r="D12" s="613" t="s">
        <v>377</v>
      </c>
      <c r="E12" s="611" t="s">
        <v>204</v>
      </c>
      <c r="F12" s="619"/>
      <c r="G12" s="613"/>
      <c r="H12" s="622"/>
      <c r="I12" s="613">
        <v>0</v>
      </c>
      <c r="J12" s="613">
        <v>0</v>
      </c>
      <c r="K12" s="616"/>
      <c r="L12" s="613"/>
      <c r="M12" s="613"/>
      <c r="N12" s="648">
        <f t="shared" si="0"/>
        <v>0</v>
      </c>
      <c r="O12" s="613"/>
      <c r="P12" s="613"/>
      <c r="Q12" s="617">
        <f t="shared" si="2"/>
        <v>0</v>
      </c>
      <c r="R12" s="188">
        <f t="shared" si="1"/>
        <v>0</v>
      </c>
      <c r="S12" s="188">
        <f t="shared" si="3"/>
        <v>0</v>
      </c>
      <c r="T12" s="188">
        <f t="shared" si="4"/>
        <v>0</v>
      </c>
      <c r="U12" s="188">
        <f t="shared" si="5"/>
        <v>0</v>
      </c>
    </row>
    <row r="13" spans="1:21" s="618" customFormat="1" ht="15.6" customHeight="1" outlineLevel="1">
      <c r="A13" s="1672"/>
      <c r="B13" s="1675"/>
      <c r="C13" s="621">
        <v>7.3</v>
      </c>
      <c r="D13" s="615" t="s">
        <v>378</v>
      </c>
      <c r="E13" s="611" t="s">
        <v>204</v>
      </c>
      <c r="F13" s="619"/>
      <c r="G13" s="613"/>
      <c r="H13" s="622"/>
      <c r="I13" s="613">
        <v>0</v>
      </c>
      <c r="J13" s="613">
        <v>0</v>
      </c>
      <c r="K13" s="616"/>
      <c r="L13" s="613"/>
      <c r="M13" s="613"/>
      <c r="N13" s="648">
        <f t="shared" si="0"/>
        <v>0</v>
      </c>
      <c r="O13" s="613"/>
      <c r="P13" s="613"/>
      <c r="Q13" s="617">
        <f t="shared" si="2"/>
        <v>0</v>
      </c>
      <c r="R13" s="188">
        <f t="shared" si="1"/>
        <v>0</v>
      </c>
      <c r="S13" s="188">
        <f t="shared" si="3"/>
        <v>0</v>
      </c>
      <c r="T13" s="188">
        <f t="shared" si="4"/>
        <v>0</v>
      </c>
      <c r="U13" s="188">
        <f t="shared" si="5"/>
        <v>0</v>
      </c>
    </row>
    <row r="14" spans="1:21" s="618" customFormat="1" ht="15.6" customHeight="1" outlineLevel="1">
      <c r="A14" s="1672"/>
      <c r="B14" s="1675"/>
      <c r="C14" s="621">
        <v>7.4</v>
      </c>
      <c r="D14" s="613" t="s">
        <v>379</v>
      </c>
      <c r="E14" s="611" t="s">
        <v>204</v>
      </c>
      <c r="F14" s="619"/>
      <c r="G14" s="613"/>
      <c r="H14" s="622"/>
      <c r="I14" s="613">
        <v>0</v>
      </c>
      <c r="J14" s="613">
        <v>0</v>
      </c>
      <c r="K14" s="616"/>
      <c r="L14" s="613"/>
      <c r="M14" s="613"/>
      <c r="N14" s="648">
        <f t="shared" si="0"/>
        <v>0</v>
      </c>
      <c r="O14" s="613"/>
      <c r="P14" s="613"/>
      <c r="Q14" s="617">
        <f t="shared" si="2"/>
        <v>0</v>
      </c>
      <c r="R14" s="188">
        <f t="shared" si="1"/>
        <v>0</v>
      </c>
      <c r="S14" s="188">
        <f t="shared" si="3"/>
        <v>0</v>
      </c>
      <c r="T14" s="188">
        <f t="shared" si="4"/>
        <v>0</v>
      </c>
      <c r="U14" s="188">
        <f t="shared" si="5"/>
        <v>0</v>
      </c>
    </row>
    <row r="15" spans="1:21" s="618" customFormat="1" ht="15" customHeight="1" outlineLevel="1">
      <c r="A15" s="1673"/>
      <c r="B15" s="1676"/>
      <c r="C15" s="621">
        <v>7.5</v>
      </c>
      <c r="D15" s="623" t="s">
        <v>380</v>
      </c>
      <c r="E15" s="611" t="s">
        <v>204</v>
      </c>
      <c r="F15" s="619"/>
      <c r="G15" s="613"/>
      <c r="H15" s="622"/>
      <c r="I15" s="613">
        <v>0</v>
      </c>
      <c r="J15" s="613">
        <v>0</v>
      </c>
      <c r="K15" s="616"/>
      <c r="L15" s="613"/>
      <c r="M15" s="613"/>
      <c r="N15" s="648">
        <f t="shared" si="0"/>
        <v>0</v>
      </c>
      <c r="O15" s="613"/>
      <c r="P15" s="613"/>
      <c r="Q15" s="617">
        <f t="shared" si="2"/>
        <v>0</v>
      </c>
      <c r="R15" s="188">
        <f t="shared" si="1"/>
        <v>0</v>
      </c>
      <c r="S15" s="188">
        <f t="shared" si="3"/>
        <v>0</v>
      </c>
      <c r="T15" s="188">
        <f t="shared" si="4"/>
        <v>0</v>
      </c>
      <c r="U15" s="188">
        <f t="shared" si="5"/>
        <v>0</v>
      </c>
    </row>
    <row r="16" spans="1:21" s="618" customFormat="1" ht="21.75" customHeight="1">
      <c r="A16" s="624" t="s">
        <v>440</v>
      </c>
      <c r="B16" s="625" t="s">
        <v>386</v>
      </c>
      <c r="C16" s="609">
        <v>8</v>
      </c>
      <c r="D16" s="626" t="s">
        <v>387</v>
      </c>
      <c r="E16" s="611" t="s">
        <v>204</v>
      </c>
      <c r="F16" s="619" t="s">
        <v>410</v>
      </c>
      <c r="G16" s="613" t="s">
        <v>232</v>
      </c>
      <c r="H16" s="614">
        <v>5</v>
      </c>
      <c r="I16" s="615" t="s">
        <v>166</v>
      </c>
      <c r="J16" s="623" t="s">
        <v>166</v>
      </c>
      <c r="K16" s="616"/>
      <c r="L16" s="613" t="s">
        <v>166</v>
      </c>
      <c r="M16" s="613" t="s">
        <v>167</v>
      </c>
      <c r="N16" s="648">
        <f t="shared" si="0"/>
        <v>0</v>
      </c>
      <c r="O16" s="622">
        <v>5</v>
      </c>
      <c r="P16" s="622">
        <v>5</v>
      </c>
      <c r="Q16" s="617">
        <f t="shared" si="2"/>
        <v>0</v>
      </c>
      <c r="R16" s="188">
        <f t="shared" si="1"/>
        <v>0</v>
      </c>
      <c r="S16" s="188">
        <f t="shared" si="3"/>
        <v>0</v>
      </c>
      <c r="T16" s="188">
        <f t="shared" si="4"/>
        <v>0</v>
      </c>
      <c r="U16" s="188">
        <f t="shared" si="5"/>
        <v>0</v>
      </c>
    </row>
    <row r="17" spans="1:21" s="618" customFormat="1" ht="18" customHeight="1">
      <c r="A17" s="1671" t="s">
        <v>2113</v>
      </c>
      <c r="B17" s="1674" t="s">
        <v>2112</v>
      </c>
      <c r="C17" s="663">
        <v>9</v>
      </c>
      <c r="D17" s="610" t="s">
        <v>381</v>
      </c>
      <c r="E17" s="611"/>
      <c r="F17" s="1467" t="s">
        <v>409</v>
      </c>
      <c r="G17" s="613" t="s">
        <v>232</v>
      </c>
      <c r="H17" s="1456">
        <v>15</v>
      </c>
      <c r="I17" s="1480">
        <v>0</v>
      </c>
      <c r="J17" s="613">
        <v>0</v>
      </c>
      <c r="K17" s="627">
        <f>IF((J17=I17)=TRUE,0,1)</f>
        <v>0</v>
      </c>
      <c r="L17" s="628" t="s">
        <v>2110</v>
      </c>
      <c r="M17" s="613"/>
      <c r="N17" s="648">
        <f t="shared" si="0"/>
        <v>0</v>
      </c>
      <c r="O17" s="188">
        <v>15</v>
      </c>
      <c r="P17" s="1264">
        <v>15</v>
      </c>
      <c r="Q17" s="617">
        <f t="shared" si="2"/>
        <v>0</v>
      </c>
      <c r="R17" s="188">
        <f t="shared" si="1"/>
        <v>0</v>
      </c>
      <c r="S17" s="188">
        <f t="shared" si="3"/>
        <v>0</v>
      </c>
      <c r="T17" s="188">
        <f t="shared" si="4"/>
        <v>0</v>
      </c>
      <c r="U17" s="188">
        <f t="shared" si="5"/>
        <v>0</v>
      </c>
    </row>
    <row r="18" spans="1:21" s="618" customFormat="1" ht="18.75" outlineLevel="1">
      <c r="A18" s="1672"/>
      <c r="B18" s="1675"/>
      <c r="C18" s="632">
        <v>9.1</v>
      </c>
      <c r="D18" s="613" t="s">
        <v>382</v>
      </c>
      <c r="E18" s="611" t="s">
        <v>204</v>
      </c>
      <c r="F18" s="1467"/>
      <c r="G18" s="613"/>
      <c r="H18" s="1460"/>
      <c r="I18" s="1480">
        <v>0</v>
      </c>
      <c r="J18" s="613">
        <v>0</v>
      </c>
      <c r="K18" s="627">
        <f>IF((J18=I18)=TRUE,0,1)</f>
        <v>0</v>
      </c>
      <c r="L18" s="629" t="s">
        <v>2111</v>
      </c>
      <c r="M18" s="613"/>
      <c r="N18" s="648">
        <f t="shared" si="0"/>
        <v>0</v>
      </c>
      <c r="O18" s="613"/>
      <c r="P18" s="613"/>
      <c r="Q18" s="617">
        <f t="shared" si="2"/>
        <v>0</v>
      </c>
      <c r="R18" s="188">
        <f t="shared" si="1"/>
        <v>0</v>
      </c>
      <c r="S18" s="188">
        <f t="shared" si="3"/>
        <v>0</v>
      </c>
      <c r="T18" s="188">
        <f t="shared" si="4"/>
        <v>0</v>
      </c>
      <c r="U18" s="188">
        <f t="shared" si="5"/>
        <v>0</v>
      </c>
    </row>
    <row r="19" spans="1:21" s="618" customFormat="1" ht="18.75" outlineLevel="1">
      <c r="A19" s="1673"/>
      <c r="B19" s="1676"/>
      <c r="C19" s="632">
        <v>9.1999999999999993</v>
      </c>
      <c r="D19" s="613" t="s">
        <v>384</v>
      </c>
      <c r="E19" s="611" t="s">
        <v>204</v>
      </c>
      <c r="F19" s="1467"/>
      <c r="G19" s="613"/>
      <c r="H19" s="1460"/>
      <c r="I19" s="1480">
        <v>0</v>
      </c>
      <c r="J19" s="613">
        <v>0</v>
      </c>
      <c r="K19" s="627">
        <f>IF((J19=I19)=TRUE,0,1)</f>
        <v>0</v>
      </c>
      <c r="L19" s="629" t="s">
        <v>2111</v>
      </c>
      <c r="M19" s="613"/>
      <c r="N19" s="648">
        <f t="shared" si="0"/>
        <v>0</v>
      </c>
      <c r="O19" s="613"/>
      <c r="P19" s="613"/>
      <c r="Q19" s="617">
        <f t="shared" si="2"/>
        <v>0</v>
      </c>
      <c r="R19" s="188">
        <f t="shared" si="1"/>
        <v>0</v>
      </c>
      <c r="S19" s="188">
        <f t="shared" si="3"/>
        <v>0</v>
      </c>
      <c r="T19" s="188">
        <f t="shared" si="4"/>
        <v>0</v>
      </c>
      <c r="U19" s="188">
        <f t="shared" si="5"/>
        <v>0</v>
      </c>
    </row>
    <row r="20" spans="1:21" s="618" customFormat="1" ht="15.6" customHeight="1">
      <c r="A20" s="1671" t="s">
        <v>2011</v>
      </c>
      <c r="B20" s="1674" t="s">
        <v>2010</v>
      </c>
      <c r="C20" s="663">
        <v>10</v>
      </c>
      <c r="D20" s="610" t="s">
        <v>2008</v>
      </c>
      <c r="E20" s="611"/>
      <c r="F20" s="1467" t="s">
        <v>409</v>
      </c>
      <c r="G20" s="613" t="s">
        <v>232</v>
      </c>
      <c r="H20" s="1456">
        <v>15</v>
      </c>
      <c r="I20" s="613">
        <v>0</v>
      </c>
      <c r="J20" s="613">
        <v>0</v>
      </c>
      <c r="K20" s="616"/>
      <c r="L20" s="613"/>
      <c r="M20" s="613"/>
      <c r="N20" s="1465">
        <f t="shared" si="0"/>
        <v>0</v>
      </c>
      <c r="O20" s="1460">
        <v>15</v>
      </c>
      <c r="P20" s="1460">
        <v>15</v>
      </c>
      <c r="Q20" s="617">
        <f t="shared" si="2"/>
        <v>0</v>
      </c>
      <c r="R20" s="1457">
        <f t="shared" si="1"/>
        <v>0</v>
      </c>
      <c r="S20" s="1457">
        <f t="shared" si="3"/>
        <v>0</v>
      </c>
      <c r="T20" s="1457">
        <f t="shared" si="4"/>
        <v>0</v>
      </c>
      <c r="U20" s="1457">
        <f t="shared" si="5"/>
        <v>0</v>
      </c>
    </row>
    <row r="21" spans="1:21" s="618" customFormat="1" ht="15.6" customHeight="1" outlineLevel="1">
      <c r="A21" s="1673"/>
      <c r="B21" s="1676"/>
      <c r="C21" s="632">
        <v>10.1</v>
      </c>
      <c r="D21" s="613" t="s">
        <v>2009</v>
      </c>
      <c r="E21" s="611" t="s">
        <v>204</v>
      </c>
      <c r="F21" s="1467"/>
      <c r="G21" s="613"/>
      <c r="H21" s="1460"/>
      <c r="I21" s="613">
        <v>0</v>
      </c>
      <c r="J21" s="613">
        <v>0</v>
      </c>
      <c r="K21" s="616"/>
      <c r="L21" s="613"/>
      <c r="M21" s="613"/>
      <c r="N21" s="579">
        <f t="shared" si="0"/>
        <v>0</v>
      </c>
      <c r="O21" s="613"/>
      <c r="P21" s="613"/>
      <c r="Q21" s="1476">
        <f t="shared" si="2"/>
        <v>0</v>
      </c>
      <c r="R21" s="493">
        <f t="shared" si="1"/>
        <v>0</v>
      </c>
      <c r="S21" s="1457">
        <f t="shared" si="3"/>
        <v>0</v>
      </c>
      <c r="T21" s="1457">
        <f t="shared" si="4"/>
        <v>0</v>
      </c>
      <c r="U21" s="1457">
        <f t="shared" si="5"/>
        <v>0</v>
      </c>
    </row>
    <row r="22" spans="1:21" s="618" customFormat="1" ht="15.6" customHeight="1">
      <c r="A22" s="630" t="s">
        <v>392</v>
      </c>
      <c r="B22" s="631" t="s">
        <v>393</v>
      </c>
      <c r="C22" s="663">
        <v>11</v>
      </c>
      <c r="D22" s="610" t="s">
        <v>388</v>
      </c>
      <c r="E22" s="611" t="s">
        <v>204</v>
      </c>
      <c r="F22" s="1467" t="s">
        <v>409</v>
      </c>
      <c r="G22" s="613" t="s">
        <v>465</v>
      </c>
      <c r="H22" s="1456" t="s">
        <v>389</v>
      </c>
      <c r="I22" s="613">
        <v>0</v>
      </c>
      <c r="J22" s="613">
        <v>0</v>
      </c>
      <c r="K22" s="616"/>
      <c r="L22" s="613"/>
      <c r="M22" s="613"/>
      <c r="N22" s="579">
        <f t="shared" si="0"/>
        <v>0</v>
      </c>
      <c r="O22" s="1460" t="s">
        <v>1078</v>
      </c>
      <c r="P22" s="1460" t="s">
        <v>1078</v>
      </c>
      <c r="Q22" s="1476">
        <f>0</f>
        <v>0</v>
      </c>
      <c r="R22" s="493">
        <f>0</f>
        <v>0</v>
      </c>
      <c r="S22" s="1457">
        <f t="shared" si="3"/>
        <v>0</v>
      </c>
      <c r="T22" s="1457">
        <f t="shared" si="4"/>
        <v>0</v>
      </c>
      <c r="U22" s="1457">
        <f t="shared" si="5"/>
        <v>0</v>
      </c>
    </row>
    <row r="23" spans="1:21" s="618" customFormat="1" ht="16.5">
      <c r="A23" s="613"/>
      <c r="B23" s="632"/>
      <c r="C23" s="632"/>
      <c r="D23" s="610" t="s">
        <v>225</v>
      </c>
      <c r="E23" s="1481"/>
      <c r="F23" s="1460"/>
      <c r="G23" s="613"/>
      <c r="H23" s="1456">
        <f>SUM(H4:H22)</f>
        <v>90</v>
      </c>
      <c r="I23" s="634"/>
      <c r="J23" s="634"/>
      <c r="K23" s="583"/>
      <c r="L23" s="634"/>
      <c r="M23" s="634"/>
      <c r="N23" s="649"/>
      <c r="O23" s="639">
        <f>SUM(O4:O22)</f>
        <v>90</v>
      </c>
      <c r="P23" s="639">
        <f>SUM(P4:P22)</f>
        <v>90</v>
      </c>
      <c r="Q23" s="617">
        <f>SUM(Q4:Q22)</f>
        <v>0</v>
      </c>
      <c r="R23" s="474">
        <f>SUM(R4:R22)</f>
        <v>0</v>
      </c>
      <c r="S23" s="639">
        <f t="shared" si="3"/>
        <v>0</v>
      </c>
      <c r="T23" s="639">
        <f t="shared" si="4"/>
        <v>0</v>
      </c>
      <c r="U23" s="639">
        <f t="shared" si="5"/>
        <v>0</v>
      </c>
    </row>
    <row r="24" spans="1:21" s="618" customFormat="1" ht="14.25">
      <c r="C24" s="633"/>
      <c r="D24" s="379" t="s">
        <v>229</v>
      </c>
      <c r="E24" s="613"/>
      <c r="F24" s="1460"/>
      <c r="G24" s="613"/>
      <c r="H24" s="636">
        <v>90</v>
      </c>
      <c r="I24" s="634"/>
      <c r="J24" s="634"/>
      <c r="K24" s="634"/>
      <c r="L24" s="634"/>
      <c r="M24" s="634"/>
      <c r="N24" s="649"/>
      <c r="O24" s="637">
        <f>O23</f>
        <v>90</v>
      </c>
      <c r="P24" s="637">
        <f>P23</f>
        <v>90</v>
      </c>
      <c r="Q24" s="638"/>
      <c r="R24" s="638"/>
      <c r="S24" s="639">
        <f t="shared" si="3"/>
        <v>0</v>
      </c>
      <c r="T24" s="639">
        <f t="shared" si="4"/>
        <v>0</v>
      </c>
      <c r="U24" s="639">
        <f t="shared" si="5"/>
        <v>0</v>
      </c>
    </row>
    <row r="25" spans="1:21" s="618" customFormat="1" ht="14.25">
      <c r="C25" s="633"/>
      <c r="D25" s="379" t="s">
        <v>462</v>
      </c>
      <c r="E25" s="613"/>
      <c r="F25" s="1460"/>
      <c r="G25" s="613"/>
      <c r="H25" s="636">
        <v>10</v>
      </c>
      <c r="I25" s="634"/>
      <c r="J25" s="634"/>
      <c r="K25" s="634"/>
      <c r="L25" s="634"/>
      <c r="M25" s="634"/>
      <c r="N25" s="649"/>
      <c r="O25" s="637">
        <v>10</v>
      </c>
      <c r="P25" s="637">
        <v>10</v>
      </c>
      <c r="Q25" s="638"/>
      <c r="R25" s="638"/>
      <c r="S25" s="639">
        <f t="shared" si="3"/>
        <v>0</v>
      </c>
      <c r="T25" s="639">
        <f t="shared" si="4"/>
        <v>0</v>
      </c>
      <c r="U25" s="639">
        <f t="shared" si="5"/>
        <v>0</v>
      </c>
    </row>
    <row r="26" spans="1:21" s="618" customFormat="1" ht="14.25">
      <c r="C26" s="633"/>
      <c r="D26" s="379" t="s">
        <v>464</v>
      </c>
      <c r="E26" s="613"/>
      <c r="F26" s="1460"/>
      <c r="G26" s="613"/>
      <c r="H26" s="636">
        <f>100-SUM(H24:H25)</f>
        <v>0</v>
      </c>
      <c r="I26" s="634"/>
      <c r="J26" s="634"/>
      <c r="K26" s="634"/>
      <c r="L26" s="634"/>
      <c r="M26" s="634"/>
      <c r="N26" s="649"/>
      <c r="O26" s="637">
        <f>100-SUM(O24:O25)</f>
        <v>0</v>
      </c>
      <c r="P26" s="637">
        <f>100-SUM(P24:P25)</f>
        <v>0</v>
      </c>
      <c r="Q26" s="638"/>
      <c r="R26" s="638"/>
      <c r="S26" s="639">
        <f t="shared" si="3"/>
        <v>0</v>
      </c>
      <c r="T26" s="639">
        <f t="shared" si="4"/>
        <v>0</v>
      </c>
      <c r="U26" s="639">
        <f t="shared" si="5"/>
        <v>0</v>
      </c>
    </row>
    <row r="27" spans="1:21" s="618" customFormat="1" ht="14.25">
      <c r="C27" s="633"/>
      <c r="F27" s="640"/>
      <c r="H27" s="640"/>
      <c r="N27" s="26"/>
    </row>
    <row r="28" spans="1:21" s="618" customFormat="1" ht="14.25">
      <c r="C28" s="633"/>
      <c r="F28" s="640"/>
      <c r="H28" s="640"/>
      <c r="N28" s="26"/>
    </row>
    <row r="29" spans="1:21" s="618" customFormat="1" ht="14.25">
      <c r="C29" s="633"/>
      <c r="F29" s="640"/>
      <c r="H29" s="640"/>
      <c r="N29" s="26"/>
    </row>
    <row r="30" spans="1:21" s="618" customFormat="1" ht="14.25">
      <c r="C30" s="633"/>
      <c r="D30" s="641" t="s">
        <v>1611</v>
      </c>
      <c r="F30" s="640"/>
      <c r="H30" s="640"/>
      <c r="N30" s="26"/>
    </row>
    <row r="31" spans="1:21" s="618" customFormat="1" ht="14.25">
      <c r="C31" s="633"/>
      <c r="D31" s="642" t="s">
        <v>1655</v>
      </c>
      <c r="F31" s="640"/>
      <c r="H31" s="640"/>
      <c r="N31" s="26"/>
    </row>
    <row r="32" spans="1:21" s="618" customFormat="1" ht="14.25">
      <c r="C32" s="633"/>
      <c r="F32" s="640"/>
      <c r="H32" s="640"/>
      <c r="N32" s="26"/>
    </row>
    <row r="33" spans="3:14" s="618" customFormat="1" ht="14.25">
      <c r="C33" s="633"/>
      <c r="F33" s="640"/>
      <c r="H33" s="640"/>
      <c r="N33" s="26"/>
    </row>
    <row r="34" spans="3:14" s="618" customFormat="1" ht="14.25">
      <c r="C34" s="633"/>
      <c r="F34" s="640"/>
      <c r="H34" s="640"/>
      <c r="N34" s="26"/>
    </row>
    <row r="35" spans="3:14" s="618" customFormat="1" ht="14.25">
      <c r="C35" s="633"/>
      <c r="F35" s="640"/>
      <c r="H35" s="640"/>
      <c r="N35" s="26"/>
    </row>
    <row r="36" spans="3:14" s="618" customFormat="1" ht="14.25">
      <c r="C36" s="633"/>
      <c r="F36" s="640"/>
      <c r="H36" s="640"/>
      <c r="N36" s="26"/>
    </row>
    <row r="37" spans="3:14" s="618" customFormat="1" ht="14.25">
      <c r="C37" s="633"/>
      <c r="F37" s="640"/>
      <c r="H37" s="640"/>
      <c r="N37" s="26"/>
    </row>
    <row r="38" spans="3:14" s="618" customFormat="1" ht="14.25">
      <c r="C38" s="633"/>
      <c r="F38" s="640"/>
      <c r="H38" s="640"/>
      <c r="N38" s="26"/>
    </row>
    <row r="39" spans="3:14" s="618" customFormat="1" ht="14.25">
      <c r="C39" s="633"/>
      <c r="F39" s="640"/>
      <c r="H39" s="640"/>
      <c r="N39" s="26"/>
    </row>
    <row r="40" spans="3:14" s="618" customFormat="1" ht="14.25">
      <c r="C40" s="633"/>
      <c r="F40" s="640"/>
      <c r="H40" s="640"/>
      <c r="N40" s="26"/>
    </row>
    <row r="41" spans="3:14" s="618" customFormat="1" ht="14.25">
      <c r="C41" s="633"/>
      <c r="F41" s="640"/>
      <c r="H41" s="640"/>
      <c r="N41" s="26"/>
    </row>
    <row r="42" spans="3:14" s="618" customFormat="1" ht="14.25">
      <c r="C42" s="633"/>
      <c r="F42" s="640"/>
      <c r="H42" s="640"/>
      <c r="N42" s="26"/>
    </row>
    <row r="43" spans="3:14" s="618" customFormat="1" ht="14.25">
      <c r="C43" s="633"/>
      <c r="F43" s="640"/>
      <c r="H43" s="640"/>
      <c r="N43" s="26"/>
    </row>
    <row r="44" spans="3:14" s="618" customFormat="1" ht="14.25">
      <c r="C44" s="633"/>
      <c r="F44" s="640"/>
      <c r="H44" s="640"/>
      <c r="N44" s="26"/>
    </row>
    <row r="45" spans="3:14" s="618" customFormat="1" ht="14.25">
      <c r="C45" s="633"/>
      <c r="F45" s="640"/>
      <c r="H45" s="640"/>
      <c r="N45" s="26"/>
    </row>
    <row r="46" spans="3:14" s="618" customFormat="1" ht="14.25">
      <c r="C46" s="633"/>
      <c r="F46" s="640"/>
      <c r="H46" s="640"/>
      <c r="N46" s="26"/>
    </row>
    <row r="47" spans="3:14" s="618" customFormat="1" ht="14.25">
      <c r="C47" s="633"/>
      <c r="F47" s="640"/>
      <c r="H47" s="640"/>
      <c r="N47" s="26"/>
    </row>
    <row r="48" spans="3:14" s="618" customFormat="1" ht="14.25">
      <c r="C48" s="633"/>
      <c r="F48" s="640"/>
      <c r="H48" s="640"/>
      <c r="N48" s="26"/>
    </row>
    <row r="49" spans="3:14" s="618" customFormat="1" ht="14.25">
      <c r="C49" s="633"/>
      <c r="F49" s="640"/>
      <c r="H49" s="640"/>
      <c r="N49" s="26"/>
    </row>
    <row r="50" spans="3:14" s="618" customFormat="1" ht="14.25">
      <c r="C50" s="633"/>
      <c r="F50" s="640"/>
      <c r="H50" s="640"/>
      <c r="N50" s="26"/>
    </row>
    <row r="51" spans="3:14" s="618" customFormat="1" ht="14.25">
      <c r="C51" s="633"/>
      <c r="F51" s="640"/>
      <c r="H51" s="640"/>
      <c r="N51" s="26"/>
    </row>
    <row r="52" spans="3:14" s="618" customFormat="1" ht="14.25">
      <c r="C52" s="633"/>
      <c r="F52" s="640"/>
      <c r="H52" s="640"/>
      <c r="N52" s="26"/>
    </row>
    <row r="53" spans="3:14" s="618" customFormat="1" ht="14.25">
      <c r="C53" s="633"/>
      <c r="F53" s="640"/>
      <c r="H53" s="640"/>
      <c r="N53" s="26"/>
    </row>
    <row r="54" spans="3:14" s="618" customFormat="1" ht="14.25">
      <c r="C54" s="633"/>
      <c r="F54" s="640"/>
      <c r="H54" s="640"/>
      <c r="N54" s="26"/>
    </row>
    <row r="55" spans="3:14" s="618" customFormat="1" ht="14.25">
      <c r="C55" s="633"/>
      <c r="F55" s="640"/>
      <c r="H55" s="640"/>
      <c r="N55" s="26"/>
    </row>
    <row r="56" spans="3:14" s="618" customFormat="1" ht="14.25">
      <c r="C56" s="633"/>
      <c r="F56" s="640"/>
      <c r="H56" s="640"/>
      <c r="N56" s="26"/>
    </row>
    <row r="57" spans="3:14" s="618" customFormat="1" ht="14.25">
      <c r="C57" s="633"/>
      <c r="F57" s="640"/>
      <c r="H57" s="640"/>
      <c r="N57" s="26"/>
    </row>
    <row r="58" spans="3:14" s="618" customFormat="1" ht="14.25">
      <c r="C58" s="633"/>
      <c r="F58" s="640"/>
      <c r="H58" s="640"/>
      <c r="N58" s="26"/>
    </row>
    <row r="59" spans="3:14" s="618" customFormat="1" ht="14.25">
      <c r="C59" s="633"/>
      <c r="F59" s="640"/>
      <c r="H59" s="640"/>
      <c r="N59" s="26"/>
    </row>
    <row r="60" spans="3:14" s="618" customFormat="1" ht="14.25">
      <c r="C60" s="633"/>
      <c r="F60" s="640"/>
      <c r="H60" s="640"/>
      <c r="N60" s="26"/>
    </row>
    <row r="61" spans="3:14" s="618" customFormat="1" ht="14.25">
      <c r="C61" s="633"/>
      <c r="F61" s="640"/>
      <c r="H61" s="640"/>
      <c r="N61" s="26"/>
    </row>
    <row r="62" spans="3:14" s="618" customFormat="1" ht="14.25">
      <c r="C62" s="633"/>
      <c r="F62" s="640"/>
      <c r="H62" s="640"/>
      <c r="N62" s="26"/>
    </row>
    <row r="63" spans="3:14" s="618" customFormat="1" ht="14.25">
      <c r="C63" s="633"/>
      <c r="F63" s="640"/>
      <c r="H63" s="640"/>
      <c r="N63" s="26"/>
    </row>
    <row r="64" spans="3:14" s="618" customFormat="1" ht="14.25">
      <c r="C64" s="633"/>
      <c r="F64" s="640"/>
      <c r="H64" s="640"/>
      <c r="N64" s="26"/>
    </row>
    <row r="65" spans="3:14" s="618" customFormat="1" ht="14.25">
      <c r="C65" s="633"/>
      <c r="F65" s="640"/>
      <c r="H65" s="640"/>
      <c r="N65" s="26"/>
    </row>
    <row r="66" spans="3:14" s="618" customFormat="1" ht="14.25">
      <c r="C66" s="633"/>
      <c r="F66" s="640"/>
      <c r="H66" s="640"/>
      <c r="N66" s="26"/>
    </row>
    <row r="67" spans="3:14" s="618" customFormat="1" ht="14.25">
      <c r="C67" s="633"/>
      <c r="F67" s="640"/>
      <c r="H67" s="640"/>
      <c r="N67" s="26"/>
    </row>
    <row r="68" spans="3:14" s="618" customFormat="1" ht="14.25">
      <c r="C68" s="633"/>
      <c r="F68" s="640"/>
      <c r="H68" s="640"/>
      <c r="N68" s="26"/>
    </row>
    <row r="69" spans="3:14" s="618" customFormat="1" ht="14.25">
      <c r="C69" s="633"/>
      <c r="F69" s="640"/>
      <c r="H69" s="640"/>
      <c r="N69" s="26"/>
    </row>
    <row r="70" spans="3:14" s="618" customFormat="1" ht="14.25">
      <c r="C70" s="633"/>
      <c r="F70" s="640"/>
      <c r="H70" s="640"/>
      <c r="N70" s="26"/>
    </row>
    <row r="71" spans="3:14" s="618" customFormat="1" ht="14.25">
      <c r="C71" s="633"/>
      <c r="F71" s="640"/>
      <c r="H71" s="640"/>
      <c r="N71" s="26"/>
    </row>
    <row r="72" spans="3:14" s="618" customFormat="1" ht="14.25">
      <c r="C72" s="633"/>
      <c r="F72" s="640"/>
      <c r="H72" s="640"/>
      <c r="N72" s="26"/>
    </row>
    <row r="73" spans="3:14" s="618" customFormat="1" ht="14.25">
      <c r="C73" s="633"/>
      <c r="F73" s="640"/>
      <c r="H73" s="640"/>
      <c r="N73" s="26"/>
    </row>
    <row r="74" spans="3:14" s="618" customFormat="1" ht="14.25">
      <c r="C74" s="633"/>
      <c r="F74" s="640"/>
      <c r="H74" s="640"/>
      <c r="N74" s="26"/>
    </row>
    <row r="75" spans="3:14" s="618" customFormat="1" ht="14.25">
      <c r="C75" s="633"/>
      <c r="F75" s="640"/>
      <c r="H75" s="640"/>
      <c r="N75" s="26"/>
    </row>
    <row r="76" spans="3:14" s="618" customFormat="1" ht="14.25">
      <c r="C76" s="633"/>
      <c r="F76" s="640"/>
      <c r="H76" s="640"/>
      <c r="N76" s="26"/>
    </row>
    <row r="77" spans="3:14" s="618" customFormat="1" ht="14.25">
      <c r="C77" s="633"/>
      <c r="F77" s="640"/>
      <c r="H77" s="640"/>
      <c r="N77" s="26"/>
    </row>
    <row r="78" spans="3:14" s="618" customFormat="1" ht="14.25">
      <c r="C78" s="633"/>
      <c r="F78" s="640"/>
      <c r="H78" s="640"/>
      <c r="N78" s="26"/>
    </row>
    <row r="79" spans="3:14" s="618" customFormat="1" ht="14.25">
      <c r="C79" s="633"/>
      <c r="F79" s="640"/>
      <c r="H79" s="640"/>
      <c r="N79" s="26"/>
    </row>
    <row r="80" spans="3:14" s="618" customFormat="1" ht="14.25">
      <c r="C80" s="633"/>
      <c r="F80" s="640"/>
      <c r="H80" s="640"/>
      <c r="N80" s="26"/>
    </row>
    <row r="81" spans="3:14" s="618" customFormat="1" ht="14.25">
      <c r="C81" s="633"/>
      <c r="F81" s="640"/>
      <c r="H81" s="640"/>
      <c r="N81" s="26"/>
    </row>
    <row r="82" spans="3:14" s="618" customFormat="1" ht="14.25">
      <c r="C82" s="633"/>
      <c r="F82" s="640"/>
      <c r="H82" s="640"/>
      <c r="N82" s="26"/>
    </row>
    <row r="83" spans="3:14" s="618" customFormat="1" ht="14.25">
      <c r="C83" s="633"/>
      <c r="F83" s="640"/>
      <c r="H83" s="640"/>
      <c r="N83" s="26"/>
    </row>
    <row r="84" spans="3:14" s="618" customFormat="1" ht="14.25">
      <c r="C84" s="633"/>
      <c r="F84" s="640"/>
      <c r="H84" s="640"/>
      <c r="N84" s="26"/>
    </row>
    <row r="85" spans="3:14" s="618" customFormat="1" ht="14.25">
      <c r="C85" s="633"/>
      <c r="F85" s="640"/>
      <c r="H85" s="640"/>
      <c r="N85" s="26"/>
    </row>
    <row r="86" spans="3:14" s="618" customFormat="1" ht="14.25">
      <c r="C86" s="633"/>
      <c r="F86" s="640"/>
      <c r="H86" s="640"/>
      <c r="N86" s="26"/>
    </row>
    <row r="87" spans="3:14" s="618" customFormat="1" ht="14.25">
      <c r="C87" s="633"/>
      <c r="F87" s="640"/>
      <c r="H87" s="640"/>
      <c r="N87" s="26"/>
    </row>
    <row r="88" spans="3:14" s="618" customFormat="1" ht="14.25">
      <c r="C88" s="633"/>
      <c r="F88" s="640"/>
      <c r="H88" s="640"/>
      <c r="N88" s="26"/>
    </row>
    <row r="89" spans="3:14" s="618" customFormat="1" ht="14.25">
      <c r="C89" s="633"/>
      <c r="F89" s="640"/>
      <c r="H89" s="640"/>
      <c r="N89" s="26"/>
    </row>
    <row r="90" spans="3:14" s="618" customFormat="1" ht="14.25">
      <c r="C90" s="633"/>
      <c r="F90" s="640"/>
      <c r="H90" s="640"/>
      <c r="N90" s="26"/>
    </row>
    <row r="91" spans="3:14" s="618" customFormat="1" ht="14.25">
      <c r="C91" s="633"/>
      <c r="F91" s="640"/>
      <c r="H91" s="640"/>
      <c r="N91" s="26"/>
    </row>
    <row r="92" spans="3:14" s="618" customFormat="1" ht="14.25">
      <c r="C92" s="633"/>
      <c r="F92" s="640"/>
      <c r="H92" s="640"/>
      <c r="N92" s="26"/>
    </row>
    <row r="93" spans="3:14" s="618" customFormat="1" ht="14.25">
      <c r="C93" s="633"/>
      <c r="F93" s="640"/>
      <c r="H93" s="640"/>
      <c r="N93" s="26"/>
    </row>
    <row r="94" spans="3:14" s="618" customFormat="1" ht="14.25">
      <c r="C94" s="633"/>
      <c r="F94" s="640"/>
      <c r="H94" s="640"/>
      <c r="N94" s="26"/>
    </row>
    <row r="95" spans="3:14" s="618" customFormat="1" ht="14.25">
      <c r="C95" s="633"/>
      <c r="F95" s="640"/>
      <c r="H95" s="640"/>
      <c r="N95" s="26"/>
    </row>
    <row r="96" spans="3:14" s="618" customFormat="1" ht="14.25">
      <c r="C96" s="633"/>
      <c r="F96" s="640"/>
      <c r="H96" s="640"/>
      <c r="N96" s="26"/>
    </row>
    <row r="97" spans="3:14" s="618" customFormat="1" ht="14.25">
      <c r="C97" s="633"/>
      <c r="F97" s="640"/>
      <c r="H97" s="640"/>
      <c r="N97" s="26"/>
    </row>
    <row r="98" spans="3:14" s="618" customFormat="1" ht="14.25">
      <c r="C98" s="633"/>
      <c r="F98" s="640"/>
      <c r="H98" s="640"/>
      <c r="N98" s="26"/>
    </row>
    <row r="99" spans="3:14" s="618" customFormat="1" ht="14.25">
      <c r="C99" s="633"/>
      <c r="F99" s="640"/>
      <c r="H99" s="640"/>
      <c r="N99" s="26"/>
    </row>
    <row r="100" spans="3:14" s="618" customFormat="1" ht="14.25">
      <c r="C100" s="633"/>
      <c r="F100" s="640"/>
      <c r="H100" s="640"/>
      <c r="N100" s="26"/>
    </row>
    <row r="101" spans="3:14" s="618" customFormat="1" ht="14.25">
      <c r="C101" s="633"/>
      <c r="F101" s="640"/>
      <c r="H101" s="640"/>
      <c r="N101" s="26"/>
    </row>
    <row r="102" spans="3:14" s="618" customFormat="1" ht="14.25">
      <c r="C102" s="633"/>
      <c r="F102" s="640"/>
      <c r="H102" s="640"/>
      <c r="N102" s="26"/>
    </row>
    <row r="103" spans="3:14" s="618" customFormat="1" ht="14.25">
      <c r="C103" s="633"/>
      <c r="F103" s="640"/>
      <c r="H103" s="640"/>
      <c r="N103" s="26"/>
    </row>
    <row r="104" spans="3:14" s="618" customFormat="1" ht="14.25">
      <c r="C104" s="633"/>
      <c r="F104" s="640"/>
      <c r="H104" s="640"/>
      <c r="N104" s="26"/>
    </row>
    <row r="105" spans="3:14" s="618" customFormat="1" ht="14.25">
      <c r="C105" s="633"/>
      <c r="F105" s="640"/>
      <c r="H105" s="640"/>
      <c r="N105" s="26"/>
    </row>
    <row r="106" spans="3:14" s="618" customFormat="1" ht="14.25">
      <c r="C106" s="633"/>
      <c r="F106" s="640"/>
      <c r="H106" s="640"/>
      <c r="N106" s="26"/>
    </row>
    <row r="107" spans="3:14" s="618" customFormat="1" ht="14.25">
      <c r="C107" s="633"/>
      <c r="F107" s="640"/>
      <c r="H107" s="640"/>
      <c r="N107" s="26"/>
    </row>
    <row r="108" spans="3:14" s="618" customFormat="1" ht="14.25">
      <c r="C108" s="633"/>
      <c r="F108" s="640"/>
      <c r="H108" s="640"/>
      <c r="N108" s="26"/>
    </row>
    <row r="109" spans="3:14" s="618" customFormat="1" ht="14.25">
      <c r="C109" s="633"/>
      <c r="F109" s="640"/>
      <c r="H109" s="640"/>
      <c r="N109" s="26"/>
    </row>
    <row r="110" spans="3:14" s="618" customFormat="1" ht="14.25">
      <c r="C110" s="633"/>
      <c r="F110" s="640"/>
      <c r="H110" s="640"/>
      <c r="N110" s="26"/>
    </row>
    <row r="111" spans="3:14" s="618" customFormat="1" ht="14.25">
      <c r="C111" s="633"/>
      <c r="F111" s="640"/>
      <c r="H111" s="640"/>
      <c r="N111" s="26"/>
    </row>
    <row r="112" spans="3:14" s="618" customFormat="1" ht="14.25">
      <c r="C112" s="633"/>
      <c r="F112" s="640"/>
      <c r="H112" s="640"/>
      <c r="N112" s="26"/>
    </row>
    <row r="113" spans="3:14" s="644" customFormat="1" ht="14.25">
      <c r="C113" s="643"/>
      <c r="F113" s="645"/>
      <c r="H113" s="645"/>
      <c r="N113" s="650"/>
    </row>
    <row r="114" spans="3:14" s="644" customFormat="1" ht="14.25">
      <c r="C114" s="643"/>
      <c r="F114" s="645"/>
      <c r="H114" s="645"/>
      <c r="N114" s="650"/>
    </row>
    <row r="115" spans="3:14" s="644" customFormat="1" ht="14.25">
      <c r="C115" s="643"/>
      <c r="F115" s="645"/>
      <c r="H115" s="645"/>
      <c r="N115" s="650"/>
    </row>
    <row r="116" spans="3:14" s="644" customFormat="1" ht="14.25">
      <c r="C116" s="643"/>
      <c r="F116" s="645"/>
      <c r="H116" s="645"/>
      <c r="N116" s="650"/>
    </row>
    <row r="117" spans="3:14" s="644" customFormat="1" ht="14.25">
      <c r="C117" s="643"/>
      <c r="F117" s="645"/>
      <c r="H117" s="645"/>
      <c r="N117" s="650"/>
    </row>
    <row r="118" spans="3:14" s="644" customFormat="1" ht="14.25">
      <c r="C118" s="643"/>
      <c r="F118" s="645"/>
      <c r="H118" s="645"/>
      <c r="N118" s="650"/>
    </row>
    <row r="119" spans="3:14" s="644" customFormat="1" ht="14.25">
      <c r="C119" s="643"/>
      <c r="F119" s="645"/>
      <c r="H119" s="645"/>
      <c r="N119" s="650"/>
    </row>
    <row r="120" spans="3:14" s="644" customFormat="1" ht="14.25">
      <c r="C120" s="643"/>
      <c r="F120" s="645"/>
      <c r="H120" s="645"/>
      <c r="N120" s="650"/>
    </row>
    <row r="121" spans="3:14" s="644" customFormat="1" ht="14.25">
      <c r="C121" s="643"/>
      <c r="F121" s="645"/>
      <c r="H121" s="645"/>
      <c r="N121" s="650"/>
    </row>
    <row r="122" spans="3:14" s="644" customFormat="1" ht="14.25">
      <c r="C122" s="643"/>
      <c r="F122" s="645"/>
      <c r="H122" s="645"/>
      <c r="N122" s="650"/>
    </row>
    <row r="123" spans="3:14" s="644" customFormat="1" ht="14.25">
      <c r="C123" s="643"/>
      <c r="F123" s="645"/>
      <c r="H123" s="645"/>
      <c r="N123" s="650"/>
    </row>
    <row r="124" spans="3:14" s="644" customFormat="1" ht="14.25">
      <c r="C124" s="643"/>
      <c r="F124" s="645"/>
      <c r="H124" s="645"/>
      <c r="N124" s="650"/>
    </row>
    <row r="125" spans="3:14" s="644" customFormat="1" ht="14.25">
      <c r="C125" s="643"/>
      <c r="F125" s="645"/>
      <c r="H125" s="645"/>
      <c r="N125" s="650"/>
    </row>
    <row r="126" spans="3:14" s="644" customFormat="1" ht="14.25">
      <c r="C126" s="643"/>
      <c r="F126" s="645"/>
      <c r="H126" s="645"/>
      <c r="N126" s="650"/>
    </row>
    <row r="127" spans="3:14" s="644" customFormat="1" ht="14.25">
      <c r="C127" s="643"/>
      <c r="F127" s="645"/>
      <c r="H127" s="645"/>
      <c r="N127" s="650"/>
    </row>
    <row r="128" spans="3:14" s="644" customFormat="1" ht="14.25">
      <c r="C128" s="643"/>
      <c r="F128" s="645"/>
      <c r="H128" s="645"/>
      <c r="N128" s="650"/>
    </row>
    <row r="129" spans="3:14" s="644" customFormat="1" ht="14.25">
      <c r="C129" s="643"/>
      <c r="F129" s="645"/>
      <c r="H129" s="645"/>
      <c r="N129" s="650"/>
    </row>
    <row r="130" spans="3:14" s="644" customFormat="1" ht="14.25">
      <c r="C130" s="643"/>
      <c r="F130" s="645"/>
      <c r="H130" s="645"/>
      <c r="N130" s="650"/>
    </row>
    <row r="131" spans="3:14" s="644" customFormat="1" ht="14.25">
      <c r="C131" s="643"/>
      <c r="F131" s="645"/>
      <c r="H131" s="645"/>
      <c r="N131" s="650"/>
    </row>
    <row r="132" spans="3:14" s="644" customFormat="1" ht="14.25">
      <c r="C132" s="643"/>
      <c r="F132" s="645"/>
      <c r="H132" s="645"/>
      <c r="N132" s="650"/>
    </row>
    <row r="133" spans="3:14" s="644" customFormat="1" ht="14.25">
      <c r="C133" s="643"/>
      <c r="F133" s="645"/>
      <c r="H133" s="645"/>
      <c r="N133" s="650"/>
    </row>
    <row r="134" spans="3:14" s="644" customFormat="1" ht="14.25">
      <c r="C134" s="643"/>
      <c r="F134" s="645"/>
      <c r="H134" s="645"/>
      <c r="N134" s="650"/>
    </row>
    <row r="135" spans="3:14" s="644" customFormat="1" ht="14.25">
      <c r="C135" s="643"/>
      <c r="F135" s="645"/>
      <c r="H135" s="645"/>
      <c r="N135" s="650"/>
    </row>
    <row r="136" spans="3:14" s="644" customFormat="1" ht="14.25">
      <c r="C136" s="643"/>
      <c r="F136" s="645"/>
      <c r="H136" s="645"/>
      <c r="N136" s="650"/>
    </row>
    <row r="137" spans="3:14" s="644" customFormat="1" ht="14.25">
      <c r="C137" s="643"/>
      <c r="F137" s="645"/>
      <c r="H137" s="645"/>
      <c r="N137" s="650"/>
    </row>
    <row r="138" spans="3:14" s="644" customFormat="1" ht="14.25">
      <c r="C138" s="643"/>
      <c r="F138" s="645"/>
      <c r="H138" s="645"/>
      <c r="N138" s="650"/>
    </row>
    <row r="139" spans="3:14" s="644" customFormat="1" ht="14.25">
      <c r="C139" s="643"/>
      <c r="F139" s="645"/>
      <c r="H139" s="645"/>
      <c r="N139" s="650"/>
    </row>
    <row r="140" spans="3:14" s="644" customFormat="1" ht="14.25">
      <c r="C140" s="643"/>
      <c r="F140" s="645"/>
      <c r="H140" s="645"/>
      <c r="N140" s="650"/>
    </row>
    <row r="141" spans="3:14" s="644" customFormat="1" ht="14.25">
      <c r="C141" s="643"/>
      <c r="F141" s="645"/>
      <c r="H141" s="645"/>
      <c r="N141" s="650"/>
    </row>
    <row r="142" spans="3:14" s="644" customFormat="1" ht="14.25">
      <c r="C142" s="643"/>
      <c r="F142" s="645"/>
      <c r="H142" s="645"/>
      <c r="N142" s="650"/>
    </row>
    <row r="143" spans="3:14" s="644" customFormat="1" ht="14.25">
      <c r="C143" s="643"/>
      <c r="F143" s="645"/>
      <c r="H143" s="645"/>
      <c r="N143" s="650"/>
    </row>
    <row r="144" spans="3:14" s="644" customFormat="1" ht="14.25">
      <c r="C144" s="643"/>
      <c r="F144" s="645"/>
      <c r="H144" s="645"/>
      <c r="N144" s="650"/>
    </row>
    <row r="145" spans="3:14" s="644" customFormat="1" ht="14.25">
      <c r="C145" s="643"/>
      <c r="F145" s="645"/>
      <c r="H145" s="645"/>
      <c r="N145" s="650"/>
    </row>
    <row r="146" spans="3:14" s="644" customFormat="1" ht="14.25">
      <c r="C146" s="643"/>
      <c r="F146" s="645"/>
      <c r="H146" s="645"/>
      <c r="N146" s="650"/>
    </row>
    <row r="147" spans="3:14" s="644" customFormat="1" ht="14.25">
      <c r="C147" s="643"/>
      <c r="F147" s="645"/>
      <c r="H147" s="645"/>
      <c r="N147" s="650"/>
    </row>
    <row r="148" spans="3:14" s="644" customFormat="1" ht="14.25">
      <c r="C148" s="643"/>
      <c r="F148" s="645"/>
      <c r="H148" s="645"/>
      <c r="N148" s="650"/>
    </row>
    <row r="149" spans="3:14" s="644" customFormat="1" ht="14.25">
      <c r="C149" s="643"/>
      <c r="F149" s="645"/>
      <c r="H149" s="645"/>
      <c r="N149" s="650"/>
    </row>
    <row r="150" spans="3:14" s="644" customFormat="1" ht="14.25">
      <c r="C150" s="643"/>
      <c r="F150" s="645"/>
      <c r="H150" s="645"/>
      <c r="N150" s="650"/>
    </row>
    <row r="151" spans="3:14" s="644" customFormat="1" ht="14.25">
      <c r="C151" s="643"/>
      <c r="F151" s="645"/>
      <c r="H151" s="645"/>
      <c r="N151" s="650"/>
    </row>
    <row r="152" spans="3:14" s="644" customFormat="1" ht="14.25">
      <c r="C152" s="643"/>
      <c r="F152" s="645"/>
      <c r="H152" s="645"/>
      <c r="N152" s="650"/>
    </row>
    <row r="153" spans="3:14" s="644" customFormat="1" ht="14.25">
      <c r="C153" s="643"/>
      <c r="F153" s="645"/>
      <c r="H153" s="645"/>
      <c r="N153" s="650"/>
    </row>
    <row r="154" spans="3:14" s="644" customFormat="1" ht="14.25">
      <c r="C154" s="643"/>
      <c r="F154" s="645"/>
      <c r="H154" s="645"/>
      <c r="N154" s="650"/>
    </row>
    <row r="155" spans="3:14" s="644" customFormat="1" ht="14.25">
      <c r="C155" s="643"/>
      <c r="F155" s="645"/>
      <c r="H155" s="645"/>
      <c r="N155" s="650"/>
    </row>
    <row r="156" spans="3:14" s="644" customFormat="1" ht="14.25">
      <c r="C156" s="643"/>
      <c r="F156" s="645"/>
      <c r="H156" s="645"/>
      <c r="N156" s="650"/>
    </row>
    <row r="157" spans="3:14" s="644" customFormat="1" ht="14.25">
      <c r="C157" s="643"/>
      <c r="F157" s="645"/>
      <c r="H157" s="645"/>
      <c r="N157" s="650"/>
    </row>
    <row r="158" spans="3:14" s="644" customFormat="1" ht="14.25">
      <c r="C158" s="643"/>
      <c r="F158" s="645"/>
      <c r="H158" s="645"/>
      <c r="N158" s="650"/>
    </row>
    <row r="159" spans="3:14" s="644" customFormat="1" ht="14.25">
      <c r="C159" s="643"/>
      <c r="F159" s="645"/>
      <c r="H159" s="645"/>
      <c r="N159" s="650"/>
    </row>
    <row r="160" spans="3:14" s="644" customFormat="1" ht="14.25">
      <c r="C160" s="643"/>
      <c r="F160" s="645"/>
      <c r="H160" s="645"/>
      <c r="N160" s="650"/>
    </row>
    <row r="161" spans="3:14" s="644" customFormat="1" ht="14.25">
      <c r="C161" s="643"/>
      <c r="F161" s="645"/>
      <c r="H161" s="645"/>
      <c r="N161" s="650"/>
    </row>
    <row r="162" spans="3:14" s="644" customFormat="1" ht="14.25">
      <c r="C162" s="643"/>
      <c r="F162" s="645"/>
      <c r="H162" s="645"/>
      <c r="N162" s="650"/>
    </row>
  </sheetData>
  <mergeCells count="8">
    <mergeCell ref="A20:A21"/>
    <mergeCell ref="B20:B21"/>
    <mergeCell ref="A10:A15"/>
    <mergeCell ref="B10:B15"/>
    <mergeCell ref="B5:B9"/>
    <mergeCell ref="A5:A9"/>
    <mergeCell ref="A17:A19"/>
    <mergeCell ref="B17:B19"/>
  </mergeCells>
  <phoneticPr fontId="3" type="noConversion"/>
  <conditionalFormatting sqref="N4:N22">
    <cfRule type="cellIs" dxfId="95" priority="52" stopIfTrue="1" operator="lessThanOrEqual">
      <formula>-0.3</formula>
    </cfRule>
    <cfRule type="cellIs" dxfId="94" priority="53" stopIfTrue="1" operator="greaterThanOrEqual">
      <formula>0.3</formula>
    </cfRule>
  </conditionalFormatting>
  <conditionalFormatting sqref="Q4:Q23">
    <cfRule type="expression" dxfId="93" priority="33">
      <formula>Q4&lt;0</formula>
    </cfRule>
  </conditionalFormatting>
  <conditionalFormatting sqref="Q4:Q23">
    <cfRule type="cellIs" dxfId="92" priority="31" stopIfTrue="1" operator="lessThan">
      <formula>0</formula>
    </cfRule>
    <cfRule type="cellIs" dxfId="91" priority="32" operator="greaterThan">
      <formula>0</formula>
    </cfRule>
  </conditionalFormatting>
  <conditionalFormatting sqref="K17:K19">
    <cfRule type="cellIs" dxfId="90" priority="19" stopIfTrue="1" operator="lessThanOrEqual">
      <formula>-0.3</formula>
    </cfRule>
    <cfRule type="cellIs" dxfId="89" priority="20" stopIfTrue="1" operator="greaterThanOrEqual">
      <formula>0.3</formula>
    </cfRule>
  </conditionalFormatting>
  <conditionalFormatting sqref="K17:K19">
    <cfRule type="cellIs" dxfId="88" priority="17" stopIfTrue="1" operator="lessThanOrEqual">
      <formula>-0.3</formula>
    </cfRule>
    <cfRule type="cellIs" dxfId="87" priority="18" stopIfTrue="1" operator="greaterThanOrEqual">
      <formula>0.3</formula>
    </cfRule>
  </conditionalFormatting>
  <conditionalFormatting sqref="K17:K19">
    <cfRule type="cellIs" dxfId="86" priority="15" stopIfTrue="1" operator="lessThanOrEqual">
      <formula>-0.3</formula>
    </cfRule>
    <cfRule type="cellIs" dxfId="85" priority="16" stopIfTrue="1" operator="greaterThanOrEqual">
      <formula>0.3</formula>
    </cfRule>
  </conditionalFormatting>
  <conditionalFormatting sqref="K17:K19">
    <cfRule type="cellIs" dxfId="84" priority="13" stopIfTrue="1" operator="lessThanOrEqual">
      <formula>-0.3</formula>
    </cfRule>
    <cfRule type="cellIs" dxfId="83" priority="14" stopIfTrue="1" operator="greaterThanOrEqual">
      <formula>0.3</formula>
    </cfRule>
  </conditionalFormatting>
  <conditionalFormatting sqref="K17:K19">
    <cfRule type="cellIs" dxfId="82" priority="11" stopIfTrue="1" operator="lessThanOrEqual">
      <formula>-0.3</formula>
    </cfRule>
    <cfRule type="cellIs" dxfId="81" priority="12" stopIfTrue="1" operator="greaterThanOrEqual">
      <formula>0.3</formula>
    </cfRule>
  </conditionalFormatting>
  <conditionalFormatting sqref="K17:K19">
    <cfRule type="cellIs" dxfId="80" priority="9" stopIfTrue="1" operator="lessThanOrEqual">
      <formula>-0.3</formula>
    </cfRule>
    <cfRule type="cellIs" dxfId="79" priority="10" stopIfTrue="1" operator="greaterThanOrEqual">
      <formula>0.3</formula>
    </cfRule>
  </conditionalFormatting>
  <conditionalFormatting sqref="K17:K19">
    <cfRule type="cellIs" dxfId="78" priority="7" stopIfTrue="1" operator="lessThanOrEqual">
      <formula>-0.3</formula>
    </cfRule>
    <cfRule type="cellIs" dxfId="77" priority="8" stopIfTrue="1" operator="greaterThanOrEqual">
      <formula>0.3</formula>
    </cfRule>
  </conditionalFormatting>
  <conditionalFormatting sqref="K17:K19">
    <cfRule type="cellIs" dxfId="76" priority="5" stopIfTrue="1" operator="lessThanOrEqual">
      <formula>-0.3</formula>
    </cfRule>
    <cfRule type="cellIs" dxfId="75" priority="6" stopIfTrue="1" operator="greaterThanOrEqual">
      <formula>0.3</formula>
    </cfRule>
  </conditionalFormatting>
  <conditionalFormatting sqref="K17:K19">
    <cfRule type="cellIs" dxfId="74" priority="3" stopIfTrue="1" operator="lessThanOrEqual">
      <formula>-0.3</formula>
    </cfRule>
    <cfRule type="cellIs" dxfId="73" priority="4" stopIfTrue="1" operator="greaterThanOrEqual">
      <formula>0.3</formula>
    </cfRule>
  </conditionalFormatting>
  <conditionalFormatting sqref="K17:K19">
    <cfRule type="cellIs" dxfId="72" priority="1" stopIfTrue="1" operator="lessThanOrEqual">
      <formula>-0.3</formula>
    </cfRule>
    <cfRule type="cellIs" dxfId="71" priority="2" stopIfTrue="1" operator="greaterThanOrEqual">
      <formula>0.3</formula>
    </cfRule>
  </conditionalFormatting>
  <dataValidations count="7">
    <dataValidation type="list" allowBlank="1" showInputMessage="1" showErrorMessage="1" sqref="I16 I4:J4 I10:J10">
      <formula1>$L$4:$M$4</formula1>
    </dataValidation>
    <dataValidation type="list" allowBlank="1" showInputMessage="1" showErrorMessage="1" sqref="I5:J5">
      <formula1>$L$5:$M$5</formula1>
    </dataValidation>
    <dataValidation type="list" allowBlank="1" showInputMessage="1" showErrorMessage="1" sqref="I6:J6">
      <formula1>$L$6:$M$6</formula1>
    </dataValidation>
    <dataValidation type="list" allowBlank="1" showInputMessage="1" showErrorMessage="1" sqref="I7:J7">
      <formula1>$L$7:$M$7</formula1>
    </dataValidation>
    <dataValidation type="list" allowBlank="1" showInputMessage="1" showErrorMessage="1" sqref="I8:J8">
      <formula1>$L$8:$M$8</formula1>
    </dataValidation>
    <dataValidation type="list" allowBlank="1" showInputMessage="1" showErrorMessage="1" sqref="I9:J9">
      <formula1>$L$9:$M$9</formula1>
    </dataValidation>
    <dataValidation type="list" allowBlank="1" showInputMessage="1" showErrorMessage="1" sqref="J16">
      <formula1>$K$16:$L$16</formula1>
    </dataValidation>
  </dataValidations>
  <hyperlinks>
    <hyperlink ref="D30" location="权重!A1" display="权重!A1"/>
    <hyperlink ref="D31" location="目录!A1" display="目录!A1"/>
  </hyperlinks>
  <pageMargins left="0.70866141732283472" right="0.70866141732283472" top="0.74803149606299213" bottom="0.74803149606299213" header="0.31496062992125984" footer="0.31496062992125984"/>
  <pageSetup paperSize="9" orientation="landscape" r:id="rId1"/>
</worksheet>
</file>

<file path=xl/worksheets/sheet23.xml><?xml version="1.0" encoding="utf-8"?>
<worksheet xmlns="http://schemas.openxmlformats.org/spreadsheetml/2006/main" xmlns:r="http://schemas.openxmlformats.org/officeDocument/2006/relationships">
  <sheetPr>
    <tabColor theme="7"/>
  </sheetPr>
  <dimension ref="A1:P146"/>
  <sheetViews>
    <sheetView workbookViewId="0">
      <pane xSplit="2" ySplit="2" topLeftCell="F124" activePane="bottomRight" state="frozen"/>
      <selection activeCell="A3" sqref="A3:B3"/>
      <selection pane="topRight" activeCell="A3" sqref="A3:B3"/>
      <selection pane="bottomLeft" activeCell="A3" sqref="A3:B3"/>
      <selection pane="bottomRight" activeCell="G62" sqref="G62"/>
    </sheetView>
  </sheetViews>
  <sheetFormatPr defaultColWidth="8.875" defaultRowHeight="12"/>
  <cols>
    <col min="1" max="1" width="12.625" style="60" customWidth="1"/>
    <col min="2" max="2" width="13.5" style="75" customWidth="1"/>
    <col min="3" max="3" width="18.875" style="76" customWidth="1"/>
    <col min="4" max="4" width="39" style="77" customWidth="1"/>
    <col min="5" max="5" width="5.75" style="60" bestFit="1" customWidth="1"/>
    <col min="6" max="6" width="6.25" style="60" bestFit="1" customWidth="1"/>
    <col min="7" max="7" width="11.25" style="60" customWidth="1"/>
    <col min="8" max="8" width="6.5" style="60" customWidth="1"/>
    <col min="9" max="9" width="6.125" style="60" customWidth="1"/>
    <col min="10" max="10" width="10.125" style="60" customWidth="1"/>
    <col min="11" max="11" width="6.75" style="60" customWidth="1"/>
    <col min="12" max="13" width="8.5" style="116" bestFit="1" customWidth="1"/>
    <col min="14" max="14" width="8.125" style="60" customWidth="1"/>
    <col min="15" max="15" width="5.25" style="60" bestFit="1" customWidth="1"/>
    <col min="16" max="16" width="11.5" style="60" customWidth="1"/>
    <col min="17" max="17" width="9.625" style="60" customWidth="1"/>
    <col min="18" max="18" width="9.5" style="60" customWidth="1"/>
    <col min="19" max="16384" width="8.875" style="60"/>
  </cols>
  <sheetData>
    <row r="1" spans="1:16" ht="24.75" customHeight="1">
      <c r="A1" s="302" t="s">
        <v>647</v>
      </c>
      <c r="B1" s="303"/>
      <c r="C1" s="303"/>
      <c r="D1" s="303"/>
      <c r="E1" s="303"/>
      <c r="F1" s="303"/>
      <c r="G1" s="175"/>
    </row>
    <row r="2" spans="1:16" s="61" customFormat="1" ht="13.5">
      <c r="A2" s="112" t="s">
        <v>413</v>
      </c>
      <c r="B2" s="113" t="s">
        <v>648</v>
      </c>
      <c r="C2" s="114" t="s">
        <v>649</v>
      </c>
      <c r="D2" s="112" t="s">
        <v>650</v>
      </c>
      <c r="E2" s="114" t="s">
        <v>489</v>
      </c>
      <c r="F2" s="112" t="s">
        <v>2156</v>
      </c>
      <c r="G2" s="113" t="s">
        <v>2109</v>
      </c>
      <c r="H2" s="112"/>
      <c r="I2" s="330" t="s">
        <v>2256</v>
      </c>
      <c r="J2" s="113" t="s">
        <v>2160</v>
      </c>
      <c r="K2" s="112"/>
      <c r="L2" s="112" t="s">
        <v>1668</v>
      </c>
      <c r="M2" s="112" t="s">
        <v>1669</v>
      </c>
      <c r="N2" s="112" t="s">
        <v>1410</v>
      </c>
      <c r="O2" s="112" t="s">
        <v>1409</v>
      </c>
    </row>
    <row r="3" spans="1:16" s="61" customFormat="1" ht="16.5" customHeight="1">
      <c r="A3" s="1757" t="s">
        <v>651</v>
      </c>
      <c r="B3" s="1758" t="s">
        <v>652</v>
      </c>
      <c r="C3" s="62" t="s">
        <v>653</v>
      </c>
      <c r="D3" s="64" t="s">
        <v>654</v>
      </c>
      <c r="E3" s="63">
        <v>5</v>
      </c>
      <c r="F3" s="63">
        <v>5</v>
      </c>
      <c r="G3" s="63">
        <f t="shared" ref="G3:G25" si="0">F3*0.15</f>
        <v>0.75</v>
      </c>
      <c r="H3" s="63"/>
      <c r="I3" s="63">
        <v>5</v>
      </c>
      <c r="J3" s="63">
        <f t="shared" ref="J3:J25" si="1">I3*0.15</f>
        <v>0.75</v>
      </c>
      <c r="K3" s="63"/>
      <c r="L3" s="197">
        <f t="shared" ref="L3:L34" si="2">I3-F3</f>
        <v>0</v>
      </c>
      <c r="M3" s="197">
        <f t="shared" ref="M3:M34" si="3">E3-I3</f>
        <v>0</v>
      </c>
      <c r="N3" s="63">
        <v>0.75</v>
      </c>
      <c r="O3" s="169">
        <v>1</v>
      </c>
      <c r="P3" s="304"/>
    </row>
    <row r="4" spans="1:16" s="61" customFormat="1" ht="14.25">
      <c r="A4" s="1757"/>
      <c r="B4" s="1758"/>
      <c r="C4" s="62" t="s">
        <v>655</v>
      </c>
      <c r="D4" s="65" t="s">
        <v>656</v>
      </c>
      <c r="E4" s="63">
        <v>5</v>
      </c>
      <c r="F4" s="63">
        <v>5</v>
      </c>
      <c r="G4" s="63">
        <f t="shared" si="0"/>
        <v>0.75</v>
      </c>
      <c r="H4" s="63"/>
      <c r="I4" s="63">
        <v>5</v>
      </c>
      <c r="J4" s="63">
        <f t="shared" si="1"/>
        <v>0.75</v>
      </c>
      <c r="K4" s="63"/>
      <c r="L4" s="197">
        <f t="shared" si="2"/>
        <v>0</v>
      </c>
      <c r="M4" s="197">
        <f t="shared" si="3"/>
        <v>0</v>
      </c>
      <c r="N4" s="63">
        <v>0.75</v>
      </c>
      <c r="O4" s="169">
        <v>1</v>
      </c>
      <c r="P4" s="304"/>
    </row>
    <row r="5" spans="1:16" s="61" customFormat="1" ht="27">
      <c r="A5" s="1757"/>
      <c r="B5" s="1758" t="s">
        <v>657</v>
      </c>
      <c r="C5" s="301" t="s">
        <v>658</v>
      </c>
      <c r="D5" s="64" t="s">
        <v>659</v>
      </c>
      <c r="E5" s="63">
        <v>8</v>
      </c>
      <c r="F5" s="63">
        <v>8</v>
      </c>
      <c r="G5" s="63">
        <f t="shared" si="0"/>
        <v>1.2</v>
      </c>
      <c r="H5" s="63"/>
      <c r="I5" s="63">
        <v>8</v>
      </c>
      <c r="J5" s="63">
        <f t="shared" si="1"/>
        <v>1.2</v>
      </c>
      <c r="K5" s="63"/>
      <c r="L5" s="197">
        <f t="shared" si="2"/>
        <v>0</v>
      </c>
      <c r="M5" s="197">
        <f t="shared" si="3"/>
        <v>0</v>
      </c>
      <c r="N5" s="63">
        <v>1.2</v>
      </c>
      <c r="O5" s="169">
        <v>1</v>
      </c>
      <c r="P5" s="304"/>
    </row>
    <row r="6" spans="1:16" s="61" customFormat="1" ht="27">
      <c r="A6" s="1757"/>
      <c r="B6" s="1758"/>
      <c r="C6" s="301" t="s">
        <v>660</v>
      </c>
      <c r="D6" s="64" t="s">
        <v>661</v>
      </c>
      <c r="E6" s="63">
        <v>8</v>
      </c>
      <c r="F6" s="63">
        <v>8</v>
      </c>
      <c r="G6" s="63">
        <f t="shared" si="0"/>
        <v>1.2</v>
      </c>
      <c r="H6" s="63"/>
      <c r="I6" s="63">
        <v>8</v>
      </c>
      <c r="J6" s="63">
        <f t="shared" si="1"/>
        <v>1.2</v>
      </c>
      <c r="K6" s="63"/>
      <c r="L6" s="197">
        <f t="shared" si="2"/>
        <v>0</v>
      </c>
      <c r="M6" s="197">
        <f t="shared" si="3"/>
        <v>0</v>
      </c>
      <c r="N6" s="63">
        <v>1.2</v>
      </c>
      <c r="O6" s="169">
        <v>1</v>
      </c>
      <c r="P6" s="304"/>
    </row>
    <row r="7" spans="1:16" s="61" customFormat="1" ht="14.25">
      <c r="A7" s="1757"/>
      <c r="B7" s="1758"/>
      <c r="C7" s="301" t="s">
        <v>662</v>
      </c>
      <c r="D7" s="181" t="s">
        <v>663</v>
      </c>
      <c r="E7" s="63">
        <v>8</v>
      </c>
      <c r="F7" s="185">
        <v>0</v>
      </c>
      <c r="G7" s="63">
        <f t="shared" si="0"/>
        <v>0</v>
      </c>
      <c r="H7" s="63"/>
      <c r="I7" s="185">
        <v>0</v>
      </c>
      <c r="J7" s="63">
        <f t="shared" si="1"/>
        <v>0</v>
      </c>
      <c r="K7" s="63"/>
      <c r="L7" s="197">
        <f t="shared" si="2"/>
        <v>0</v>
      </c>
      <c r="M7" s="197">
        <f t="shared" si="3"/>
        <v>8</v>
      </c>
      <c r="N7" s="63">
        <v>1.2</v>
      </c>
      <c r="O7" s="170">
        <v>0</v>
      </c>
      <c r="P7" s="304"/>
    </row>
    <row r="8" spans="1:16" s="61" customFormat="1" ht="27">
      <c r="A8" s="1757"/>
      <c r="B8" s="1758"/>
      <c r="C8" s="301" t="s">
        <v>664</v>
      </c>
      <c r="D8" s="64" t="s">
        <v>665</v>
      </c>
      <c r="E8" s="63">
        <v>8</v>
      </c>
      <c r="F8" s="63">
        <v>8</v>
      </c>
      <c r="G8" s="63">
        <f t="shared" si="0"/>
        <v>1.2</v>
      </c>
      <c r="H8" s="63"/>
      <c r="I8" s="63">
        <v>8</v>
      </c>
      <c r="J8" s="63">
        <f t="shared" si="1"/>
        <v>1.2</v>
      </c>
      <c r="K8" s="63"/>
      <c r="L8" s="197">
        <f t="shared" si="2"/>
        <v>0</v>
      </c>
      <c r="M8" s="197">
        <f t="shared" si="3"/>
        <v>0</v>
      </c>
      <c r="N8" s="63">
        <v>1.2</v>
      </c>
      <c r="O8" s="169">
        <v>1</v>
      </c>
      <c r="P8" s="304"/>
    </row>
    <row r="9" spans="1:16" s="61" customFormat="1" ht="14.25">
      <c r="A9" s="1757"/>
      <c r="B9" s="1758"/>
      <c r="C9" s="301" t="s">
        <v>666</v>
      </c>
      <c r="D9" s="65" t="s">
        <v>667</v>
      </c>
      <c r="E9" s="63">
        <v>8</v>
      </c>
      <c r="F9" s="63">
        <v>8</v>
      </c>
      <c r="G9" s="63">
        <f t="shared" si="0"/>
        <v>1.2</v>
      </c>
      <c r="H9" s="63"/>
      <c r="I9" s="63">
        <v>8</v>
      </c>
      <c r="J9" s="63">
        <f t="shared" si="1"/>
        <v>1.2</v>
      </c>
      <c r="K9" s="63"/>
      <c r="L9" s="197">
        <f t="shared" si="2"/>
        <v>0</v>
      </c>
      <c r="M9" s="197">
        <f t="shared" si="3"/>
        <v>0</v>
      </c>
      <c r="N9" s="63">
        <v>1.2</v>
      </c>
      <c r="O9" s="169">
        <v>1</v>
      </c>
      <c r="P9" s="304"/>
    </row>
    <row r="10" spans="1:16" s="61" customFormat="1" ht="27">
      <c r="A10" s="1757"/>
      <c r="B10" s="1758" t="s">
        <v>668</v>
      </c>
      <c r="C10" s="301" t="s">
        <v>669</v>
      </c>
      <c r="D10" s="64" t="s">
        <v>670</v>
      </c>
      <c r="E10" s="63">
        <v>10</v>
      </c>
      <c r="F10" s="63">
        <v>10</v>
      </c>
      <c r="G10" s="63">
        <f t="shared" si="0"/>
        <v>1.5</v>
      </c>
      <c r="H10" s="63"/>
      <c r="I10" s="63">
        <v>10</v>
      </c>
      <c r="J10" s="63">
        <f t="shared" si="1"/>
        <v>1.5</v>
      </c>
      <c r="K10" s="63"/>
      <c r="L10" s="197">
        <f t="shared" si="2"/>
        <v>0</v>
      </c>
      <c r="M10" s="197">
        <f t="shared" si="3"/>
        <v>0</v>
      </c>
      <c r="N10" s="63">
        <v>1.5</v>
      </c>
      <c r="O10" s="169">
        <v>1</v>
      </c>
      <c r="P10" s="304"/>
    </row>
    <row r="11" spans="1:16" s="61" customFormat="1" ht="14.25">
      <c r="A11" s="1757"/>
      <c r="B11" s="1758"/>
      <c r="C11" s="301" t="s">
        <v>671</v>
      </c>
      <c r="D11" s="64" t="s">
        <v>672</v>
      </c>
      <c r="E11" s="63">
        <v>10</v>
      </c>
      <c r="F11" s="63">
        <v>10</v>
      </c>
      <c r="G11" s="63">
        <f t="shared" si="0"/>
        <v>1.5</v>
      </c>
      <c r="H11" s="63"/>
      <c r="I11" s="63">
        <v>10</v>
      </c>
      <c r="J11" s="63">
        <f t="shared" si="1"/>
        <v>1.5</v>
      </c>
      <c r="K11" s="63"/>
      <c r="L11" s="197">
        <f t="shared" si="2"/>
        <v>0</v>
      </c>
      <c r="M11" s="197">
        <f t="shared" si="3"/>
        <v>0</v>
      </c>
      <c r="N11" s="63">
        <v>1.5</v>
      </c>
      <c r="O11" s="169">
        <v>1</v>
      </c>
      <c r="P11" s="304"/>
    </row>
    <row r="12" spans="1:16" s="61" customFormat="1" ht="27">
      <c r="A12" s="1757"/>
      <c r="B12" s="1758"/>
      <c r="C12" s="301" t="s">
        <v>673</v>
      </c>
      <c r="D12" s="64" t="s">
        <v>674</v>
      </c>
      <c r="E12" s="63">
        <v>10</v>
      </c>
      <c r="F12" s="63">
        <v>10</v>
      </c>
      <c r="G12" s="63">
        <f t="shared" si="0"/>
        <v>1.5</v>
      </c>
      <c r="H12" s="63"/>
      <c r="I12" s="63">
        <v>10</v>
      </c>
      <c r="J12" s="63">
        <f t="shared" si="1"/>
        <v>1.5</v>
      </c>
      <c r="K12" s="63"/>
      <c r="L12" s="197">
        <f t="shared" si="2"/>
        <v>0</v>
      </c>
      <c r="M12" s="197">
        <f t="shared" si="3"/>
        <v>0</v>
      </c>
      <c r="N12" s="63">
        <v>1.5</v>
      </c>
      <c r="O12" s="169">
        <v>1</v>
      </c>
      <c r="P12" s="304"/>
    </row>
    <row r="13" spans="1:16" s="61" customFormat="1" ht="54">
      <c r="A13" s="1757"/>
      <c r="B13" s="1758"/>
      <c r="C13" s="301" t="s">
        <v>675</v>
      </c>
      <c r="D13" s="181" t="s">
        <v>676</v>
      </c>
      <c r="E13" s="63">
        <v>10</v>
      </c>
      <c r="F13" s="185">
        <v>0</v>
      </c>
      <c r="G13" s="63">
        <f t="shared" si="0"/>
        <v>0</v>
      </c>
      <c r="H13" s="63"/>
      <c r="I13" s="185">
        <v>0</v>
      </c>
      <c r="J13" s="63">
        <f t="shared" si="1"/>
        <v>0</v>
      </c>
      <c r="K13" s="63"/>
      <c r="L13" s="197">
        <f t="shared" si="2"/>
        <v>0</v>
      </c>
      <c r="M13" s="179">
        <f t="shared" si="3"/>
        <v>10</v>
      </c>
      <c r="N13" s="63">
        <v>1.5</v>
      </c>
      <c r="O13" s="170">
        <v>0.5</v>
      </c>
      <c r="P13" s="304"/>
    </row>
    <row r="14" spans="1:16" s="61" customFormat="1" ht="14.25">
      <c r="A14" s="1757"/>
      <c r="B14" s="1758"/>
      <c r="C14" s="66" t="s">
        <v>677</v>
      </c>
      <c r="D14" s="65" t="s">
        <v>678</v>
      </c>
      <c r="E14" s="67">
        <v>10</v>
      </c>
      <c r="F14" s="67">
        <v>10</v>
      </c>
      <c r="G14" s="67">
        <f t="shared" si="0"/>
        <v>1.5</v>
      </c>
      <c r="H14" s="67">
        <f>SUM(F3:F14)*0.15</f>
        <v>12.299999999999999</v>
      </c>
      <c r="I14" s="67">
        <v>10</v>
      </c>
      <c r="J14" s="67">
        <f t="shared" si="1"/>
        <v>1.5</v>
      </c>
      <c r="K14" s="67">
        <f>SUM(I3:I14)*0.15</f>
        <v>12.299999999999999</v>
      </c>
      <c r="L14" s="197">
        <f t="shared" si="2"/>
        <v>0</v>
      </c>
      <c r="M14" s="197">
        <f t="shared" si="3"/>
        <v>0</v>
      </c>
      <c r="N14" s="63">
        <v>1.5</v>
      </c>
      <c r="O14" s="169">
        <v>1</v>
      </c>
      <c r="P14" s="304"/>
    </row>
    <row r="15" spans="1:16" s="61" customFormat="1" ht="13.5" customHeight="1">
      <c r="A15" s="1757" t="s">
        <v>679</v>
      </c>
      <c r="B15" s="68" t="s">
        <v>680</v>
      </c>
      <c r="C15" s="69" t="s">
        <v>681</v>
      </c>
      <c r="D15" s="71" t="s">
        <v>682</v>
      </c>
      <c r="E15" s="70">
        <v>20</v>
      </c>
      <c r="F15" s="70">
        <v>20</v>
      </c>
      <c r="G15" s="70">
        <f t="shared" si="0"/>
        <v>3</v>
      </c>
      <c r="H15" s="70"/>
      <c r="I15" s="70">
        <v>20</v>
      </c>
      <c r="J15" s="70">
        <f t="shared" si="1"/>
        <v>3</v>
      </c>
      <c r="K15" s="70"/>
      <c r="L15" s="197">
        <f t="shared" si="2"/>
        <v>0</v>
      </c>
      <c r="M15" s="197">
        <f t="shared" si="3"/>
        <v>0</v>
      </c>
      <c r="N15" s="63">
        <v>3</v>
      </c>
      <c r="O15" s="169">
        <v>1</v>
      </c>
      <c r="P15" s="304"/>
    </row>
    <row r="16" spans="1:16" s="61" customFormat="1" ht="27">
      <c r="A16" s="1757"/>
      <c r="B16" s="1758" t="s">
        <v>683</v>
      </c>
      <c r="C16" s="301" t="s">
        <v>684</v>
      </c>
      <c r="D16" s="64" t="s">
        <v>1422</v>
      </c>
      <c r="E16" s="63">
        <v>8</v>
      </c>
      <c r="F16" s="63">
        <v>4</v>
      </c>
      <c r="G16" s="63">
        <f t="shared" si="0"/>
        <v>0.6</v>
      </c>
      <c r="H16" s="63"/>
      <c r="I16" s="63">
        <v>4</v>
      </c>
      <c r="J16" s="63">
        <f t="shared" si="1"/>
        <v>0.6</v>
      </c>
      <c r="K16" s="63"/>
      <c r="L16" s="197">
        <f t="shared" si="2"/>
        <v>0</v>
      </c>
      <c r="M16" s="197">
        <f t="shared" si="3"/>
        <v>4</v>
      </c>
      <c r="N16" s="63">
        <v>1.2</v>
      </c>
      <c r="O16" s="170">
        <v>1</v>
      </c>
      <c r="P16" s="304"/>
    </row>
    <row r="17" spans="1:16" s="61" customFormat="1" ht="14.25">
      <c r="A17" s="1757"/>
      <c r="B17" s="1758"/>
      <c r="C17" s="301" t="s">
        <v>685</v>
      </c>
      <c r="D17" s="64" t="s">
        <v>686</v>
      </c>
      <c r="E17" s="63">
        <v>8</v>
      </c>
      <c r="F17" s="63">
        <v>8</v>
      </c>
      <c r="G17" s="63">
        <f t="shared" si="0"/>
        <v>1.2</v>
      </c>
      <c r="H17" s="63"/>
      <c r="I17" s="63">
        <v>8</v>
      </c>
      <c r="J17" s="63">
        <f t="shared" si="1"/>
        <v>1.2</v>
      </c>
      <c r="K17" s="63"/>
      <c r="L17" s="197">
        <f t="shared" si="2"/>
        <v>0</v>
      </c>
      <c r="M17" s="197">
        <f t="shared" si="3"/>
        <v>0</v>
      </c>
      <c r="N17" s="63">
        <v>1.2</v>
      </c>
      <c r="O17" s="169">
        <v>1</v>
      </c>
      <c r="P17" s="304"/>
    </row>
    <row r="18" spans="1:16" s="61" customFormat="1" ht="27">
      <c r="A18" s="1757"/>
      <c r="B18" s="1758"/>
      <c r="C18" s="301" t="s">
        <v>687</v>
      </c>
      <c r="D18" s="64" t="s">
        <v>688</v>
      </c>
      <c r="E18" s="63">
        <v>8</v>
      </c>
      <c r="F18" s="63">
        <v>8</v>
      </c>
      <c r="G18" s="63">
        <f t="shared" si="0"/>
        <v>1.2</v>
      </c>
      <c r="H18" s="63"/>
      <c r="I18" s="63">
        <v>8</v>
      </c>
      <c r="J18" s="63">
        <f t="shared" si="1"/>
        <v>1.2</v>
      </c>
      <c r="K18" s="63"/>
      <c r="L18" s="197">
        <f t="shared" si="2"/>
        <v>0</v>
      </c>
      <c r="M18" s="197">
        <f t="shared" si="3"/>
        <v>0</v>
      </c>
      <c r="N18" s="63">
        <v>1.2</v>
      </c>
      <c r="O18" s="169">
        <v>1</v>
      </c>
      <c r="P18" s="304"/>
    </row>
    <row r="19" spans="1:16" s="61" customFormat="1" ht="27">
      <c r="A19" s="1757"/>
      <c r="B19" s="1758"/>
      <c r="C19" s="301" t="s">
        <v>689</v>
      </c>
      <c r="D19" s="64" t="s">
        <v>690</v>
      </c>
      <c r="E19" s="63">
        <v>8</v>
      </c>
      <c r="F19" s="63">
        <v>8</v>
      </c>
      <c r="G19" s="63">
        <f t="shared" si="0"/>
        <v>1.2</v>
      </c>
      <c r="H19" s="63"/>
      <c r="I19" s="63">
        <v>8</v>
      </c>
      <c r="J19" s="63">
        <f t="shared" si="1"/>
        <v>1.2</v>
      </c>
      <c r="K19" s="63"/>
      <c r="L19" s="197">
        <f t="shared" si="2"/>
        <v>0</v>
      </c>
      <c r="M19" s="197">
        <f t="shared" si="3"/>
        <v>0</v>
      </c>
      <c r="N19" s="63">
        <v>1.2</v>
      </c>
      <c r="O19" s="169">
        <v>1</v>
      </c>
      <c r="P19" s="304"/>
    </row>
    <row r="20" spans="1:16" s="61" customFormat="1" ht="40.5">
      <c r="A20" s="1757"/>
      <c r="B20" s="1758"/>
      <c r="C20" s="301" t="s">
        <v>691</v>
      </c>
      <c r="D20" s="64" t="s">
        <v>692</v>
      </c>
      <c r="E20" s="63">
        <v>8</v>
      </c>
      <c r="F20" s="63">
        <v>8</v>
      </c>
      <c r="G20" s="63">
        <f t="shared" si="0"/>
        <v>1.2</v>
      </c>
      <c r="H20" s="63"/>
      <c r="I20" s="63">
        <v>8</v>
      </c>
      <c r="J20" s="63">
        <f t="shared" si="1"/>
        <v>1.2</v>
      </c>
      <c r="K20" s="63"/>
      <c r="L20" s="197">
        <f t="shared" si="2"/>
        <v>0</v>
      </c>
      <c r="M20" s="197">
        <f t="shared" si="3"/>
        <v>0</v>
      </c>
      <c r="N20" s="63">
        <v>1.2</v>
      </c>
      <c r="O20" s="169">
        <v>1</v>
      </c>
      <c r="P20" s="304"/>
    </row>
    <row r="21" spans="1:16" s="61" customFormat="1" ht="27">
      <c r="A21" s="1757"/>
      <c r="B21" s="1758" t="s">
        <v>693</v>
      </c>
      <c r="C21" s="301" t="s">
        <v>694</v>
      </c>
      <c r="D21" s="64" t="s">
        <v>695</v>
      </c>
      <c r="E21" s="63">
        <v>8</v>
      </c>
      <c r="F21" s="63">
        <v>8</v>
      </c>
      <c r="G21" s="63">
        <f t="shared" si="0"/>
        <v>1.2</v>
      </c>
      <c r="H21" s="63"/>
      <c r="I21" s="63">
        <v>8</v>
      </c>
      <c r="J21" s="63">
        <f t="shared" si="1"/>
        <v>1.2</v>
      </c>
      <c r="K21" s="63"/>
      <c r="L21" s="197">
        <f t="shared" si="2"/>
        <v>0</v>
      </c>
      <c r="M21" s="197">
        <f t="shared" si="3"/>
        <v>0</v>
      </c>
      <c r="N21" s="63">
        <v>1.2</v>
      </c>
      <c r="O21" s="169">
        <v>1</v>
      </c>
      <c r="P21" s="304"/>
    </row>
    <row r="22" spans="1:16" s="61" customFormat="1" ht="27">
      <c r="A22" s="1757"/>
      <c r="B22" s="1758"/>
      <c r="C22" s="62" t="s">
        <v>696</v>
      </c>
      <c r="D22" s="64" t="s">
        <v>697</v>
      </c>
      <c r="E22" s="63">
        <v>8</v>
      </c>
      <c r="F22" s="63">
        <v>8</v>
      </c>
      <c r="G22" s="63">
        <f t="shared" si="0"/>
        <v>1.2</v>
      </c>
      <c r="H22" s="63"/>
      <c r="I22" s="63">
        <v>8</v>
      </c>
      <c r="J22" s="63">
        <f t="shared" si="1"/>
        <v>1.2</v>
      </c>
      <c r="K22" s="63"/>
      <c r="L22" s="197">
        <f t="shared" si="2"/>
        <v>0</v>
      </c>
      <c r="M22" s="197">
        <f t="shared" si="3"/>
        <v>0</v>
      </c>
      <c r="N22" s="63">
        <v>1.2</v>
      </c>
      <c r="O22" s="169">
        <v>1</v>
      </c>
      <c r="P22" s="304"/>
    </row>
    <row r="23" spans="1:16" s="61" customFormat="1" ht="27">
      <c r="A23" s="1757"/>
      <c r="B23" s="1758"/>
      <c r="C23" s="72" t="s">
        <v>698</v>
      </c>
      <c r="D23" s="71" t="s">
        <v>699</v>
      </c>
      <c r="E23" s="63">
        <v>8</v>
      </c>
      <c r="F23" s="63">
        <v>8</v>
      </c>
      <c r="G23" s="63">
        <f t="shared" si="0"/>
        <v>1.2</v>
      </c>
      <c r="H23" s="63"/>
      <c r="I23" s="63">
        <v>8</v>
      </c>
      <c r="J23" s="63">
        <f t="shared" si="1"/>
        <v>1.2</v>
      </c>
      <c r="K23" s="63"/>
      <c r="L23" s="197">
        <f t="shared" si="2"/>
        <v>0</v>
      </c>
      <c r="M23" s="197">
        <f t="shared" si="3"/>
        <v>0</v>
      </c>
      <c r="N23" s="63">
        <v>1.2</v>
      </c>
      <c r="O23" s="169">
        <v>1</v>
      </c>
      <c r="P23" s="304"/>
    </row>
    <row r="24" spans="1:16" s="61" customFormat="1" ht="27">
      <c r="A24" s="1757"/>
      <c r="B24" s="1758"/>
      <c r="C24" s="62" t="s">
        <v>700</v>
      </c>
      <c r="D24" s="64" t="s">
        <v>701</v>
      </c>
      <c r="E24" s="63">
        <v>8</v>
      </c>
      <c r="F24" s="63">
        <v>8</v>
      </c>
      <c r="G24" s="63">
        <f t="shared" si="0"/>
        <v>1.2</v>
      </c>
      <c r="H24" s="63"/>
      <c r="I24" s="63">
        <v>8</v>
      </c>
      <c r="J24" s="63">
        <f t="shared" si="1"/>
        <v>1.2</v>
      </c>
      <c r="K24" s="63"/>
      <c r="L24" s="197">
        <f t="shared" si="2"/>
        <v>0</v>
      </c>
      <c r="M24" s="197">
        <f t="shared" si="3"/>
        <v>0</v>
      </c>
      <c r="N24" s="63">
        <v>1.2</v>
      </c>
      <c r="O24" s="169">
        <v>1</v>
      </c>
      <c r="P24" s="304"/>
    </row>
    <row r="25" spans="1:16" s="61" customFormat="1" ht="27">
      <c r="A25" s="1757"/>
      <c r="B25" s="1758"/>
      <c r="C25" s="62" t="s">
        <v>702</v>
      </c>
      <c r="D25" s="181" t="s">
        <v>703</v>
      </c>
      <c r="E25" s="63">
        <v>8</v>
      </c>
      <c r="F25" s="185">
        <v>0</v>
      </c>
      <c r="G25" s="63">
        <f t="shared" si="0"/>
        <v>0</v>
      </c>
      <c r="H25" s="63">
        <f>SUM(F15:F25)*0.15</f>
        <v>13.2</v>
      </c>
      <c r="I25" s="185">
        <v>0</v>
      </c>
      <c r="J25" s="63">
        <f t="shared" si="1"/>
        <v>0</v>
      </c>
      <c r="K25" s="63">
        <f>SUM(I15:I25)*0.15</f>
        <v>13.2</v>
      </c>
      <c r="L25" s="197">
        <f t="shared" si="2"/>
        <v>0</v>
      </c>
      <c r="M25" s="197">
        <f t="shared" si="3"/>
        <v>8</v>
      </c>
      <c r="N25" s="63">
        <v>1.2</v>
      </c>
      <c r="O25" s="169">
        <v>1</v>
      </c>
      <c r="P25" s="304"/>
    </row>
    <row r="26" spans="1:16" s="61" customFormat="1" ht="14.25">
      <c r="A26" s="1757" t="s">
        <v>704</v>
      </c>
      <c r="B26" s="1758" t="s">
        <v>705</v>
      </c>
      <c r="C26" s="62" t="s">
        <v>706</v>
      </c>
      <c r="D26" s="64" t="s">
        <v>707</v>
      </c>
      <c r="E26" s="63">
        <v>5</v>
      </c>
      <c r="F26" s="63">
        <v>5</v>
      </c>
      <c r="G26" s="63">
        <f t="shared" ref="G26:G43" si="4">F26*0.2</f>
        <v>1</v>
      </c>
      <c r="H26" s="63"/>
      <c r="I26" s="63">
        <v>5</v>
      </c>
      <c r="J26" s="63">
        <f t="shared" ref="J26:J43" si="5">I26*0.2</f>
        <v>1</v>
      </c>
      <c r="K26" s="63"/>
      <c r="L26" s="197">
        <f t="shared" si="2"/>
        <v>0</v>
      </c>
      <c r="M26" s="197">
        <f t="shared" si="3"/>
        <v>0</v>
      </c>
      <c r="N26" s="63">
        <v>1</v>
      </c>
      <c r="O26" s="169">
        <v>1</v>
      </c>
      <c r="P26" s="304"/>
    </row>
    <row r="27" spans="1:16" s="61" customFormat="1" ht="14.25">
      <c r="A27" s="1757"/>
      <c r="B27" s="1758"/>
      <c r="C27" s="62" t="s">
        <v>708</v>
      </c>
      <c r="D27" s="64" t="s">
        <v>709</v>
      </c>
      <c r="E27" s="63">
        <v>5</v>
      </c>
      <c r="F27" s="63">
        <v>5</v>
      </c>
      <c r="G27" s="63">
        <f t="shared" si="4"/>
        <v>1</v>
      </c>
      <c r="H27" s="63"/>
      <c r="I27" s="63">
        <v>5</v>
      </c>
      <c r="J27" s="63">
        <f t="shared" si="5"/>
        <v>1</v>
      </c>
      <c r="K27" s="63"/>
      <c r="L27" s="197">
        <f t="shared" si="2"/>
        <v>0</v>
      </c>
      <c r="M27" s="197">
        <f t="shared" si="3"/>
        <v>0</v>
      </c>
      <c r="N27" s="63">
        <v>1</v>
      </c>
      <c r="O27" s="169">
        <v>1</v>
      </c>
      <c r="P27" s="304"/>
    </row>
    <row r="28" spans="1:16" s="61" customFormat="1" ht="40.5">
      <c r="A28" s="1757"/>
      <c r="B28" s="1758" t="s">
        <v>710</v>
      </c>
      <c r="C28" s="62" t="s">
        <v>711</v>
      </c>
      <c r="D28" s="64" t="s">
        <v>712</v>
      </c>
      <c r="E28" s="63">
        <v>5</v>
      </c>
      <c r="F28" s="63">
        <v>5</v>
      </c>
      <c r="G28" s="63">
        <f t="shared" si="4"/>
        <v>1</v>
      </c>
      <c r="H28" s="63"/>
      <c r="I28" s="63">
        <v>5</v>
      </c>
      <c r="J28" s="63">
        <f t="shared" si="5"/>
        <v>1</v>
      </c>
      <c r="K28" s="63"/>
      <c r="L28" s="197">
        <f t="shared" si="2"/>
        <v>0</v>
      </c>
      <c r="M28" s="197">
        <f t="shared" si="3"/>
        <v>0</v>
      </c>
      <c r="N28" s="63">
        <v>1</v>
      </c>
      <c r="O28" s="169">
        <v>1</v>
      </c>
      <c r="P28" s="304"/>
    </row>
    <row r="29" spans="1:16" s="61" customFormat="1" ht="27">
      <c r="A29" s="1757"/>
      <c r="B29" s="1758"/>
      <c r="C29" s="62" t="s">
        <v>713</v>
      </c>
      <c r="D29" s="64" t="s">
        <v>714</v>
      </c>
      <c r="E29" s="63">
        <v>5</v>
      </c>
      <c r="F29" s="63">
        <v>5</v>
      </c>
      <c r="G29" s="63">
        <f t="shared" si="4"/>
        <v>1</v>
      </c>
      <c r="H29" s="63"/>
      <c r="I29" s="63">
        <v>5</v>
      </c>
      <c r="J29" s="63">
        <f t="shared" si="5"/>
        <v>1</v>
      </c>
      <c r="K29" s="63"/>
      <c r="L29" s="197">
        <f t="shared" si="2"/>
        <v>0</v>
      </c>
      <c r="M29" s="197">
        <f t="shared" si="3"/>
        <v>0</v>
      </c>
      <c r="N29" s="63">
        <v>1</v>
      </c>
      <c r="O29" s="169">
        <v>1</v>
      </c>
      <c r="P29" s="304"/>
    </row>
    <row r="30" spans="1:16" s="61" customFormat="1" ht="27">
      <c r="A30" s="1757"/>
      <c r="B30" s="1758" t="s">
        <v>715</v>
      </c>
      <c r="C30" s="62" t="s">
        <v>716</v>
      </c>
      <c r="D30" s="64" t="s">
        <v>717</v>
      </c>
      <c r="E30" s="63">
        <v>5</v>
      </c>
      <c r="F30" s="63">
        <v>5</v>
      </c>
      <c r="G30" s="63">
        <f t="shared" si="4"/>
        <v>1</v>
      </c>
      <c r="H30" s="63"/>
      <c r="I30" s="63">
        <v>5</v>
      </c>
      <c r="J30" s="63">
        <f t="shared" si="5"/>
        <v>1</v>
      </c>
      <c r="K30" s="63"/>
      <c r="L30" s="197">
        <f t="shared" si="2"/>
        <v>0</v>
      </c>
      <c r="M30" s="197">
        <f t="shared" si="3"/>
        <v>0</v>
      </c>
      <c r="N30" s="63">
        <v>1</v>
      </c>
      <c r="O30" s="169">
        <v>1</v>
      </c>
      <c r="P30" s="304"/>
    </row>
    <row r="31" spans="1:16" s="61" customFormat="1" ht="27">
      <c r="A31" s="1757"/>
      <c r="B31" s="1758"/>
      <c r="C31" s="62" t="s">
        <v>718</v>
      </c>
      <c r="D31" s="64" t="s">
        <v>719</v>
      </c>
      <c r="E31" s="63">
        <v>5</v>
      </c>
      <c r="F31" s="185">
        <v>2</v>
      </c>
      <c r="G31" s="63">
        <f t="shared" si="4"/>
        <v>0.4</v>
      </c>
      <c r="H31" s="63"/>
      <c r="I31" s="185">
        <v>2</v>
      </c>
      <c r="J31" s="63">
        <f t="shared" si="5"/>
        <v>0.4</v>
      </c>
      <c r="K31" s="63"/>
      <c r="L31" s="197">
        <f t="shared" si="2"/>
        <v>0</v>
      </c>
      <c r="M31" s="197">
        <f t="shared" si="3"/>
        <v>3</v>
      </c>
      <c r="N31" s="63">
        <v>1</v>
      </c>
      <c r="O31" s="171">
        <v>1</v>
      </c>
      <c r="P31" s="304"/>
    </row>
    <row r="32" spans="1:16" s="61" customFormat="1" ht="14.25">
      <c r="A32" s="1757"/>
      <c r="B32" s="1758"/>
      <c r="C32" s="62" t="s">
        <v>720</v>
      </c>
      <c r="D32" s="181" t="s">
        <v>721</v>
      </c>
      <c r="E32" s="63">
        <v>5</v>
      </c>
      <c r="F32" s="63">
        <v>2</v>
      </c>
      <c r="G32" s="63">
        <f t="shared" si="4"/>
        <v>0.4</v>
      </c>
      <c r="H32" s="63"/>
      <c r="I32" s="63">
        <v>2</v>
      </c>
      <c r="J32" s="63">
        <f t="shared" si="5"/>
        <v>0.4</v>
      </c>
      <c r="K32" s="63"/>
      <c r="L32" s="197">
        <f t="shared" si="2"/>
        <v>0</v>
      </c>
      <c r="M32" s="197">
        <f t="shared" si="3"/>
        <v>3</v>
      </c>
      <c r="N32" s="63">
        <v>1</v>
      </c>
      <c r="O32" s="172">
        <v>1</v>
      </c>
      <c r="P32" s="304"/>
    </row>
    <row r="33" spans="1:16" s="61" customFormat="1" ht="40.5">
      <c r="A33" s="1757"/>
      <c r="B33" s="1758" t="s">
        <v>722</v>
      </c>
      <c r="C33" s="62" t="s">
        <v>723</v>
      </c>
      <c r="D33" s="64" t="s">
        <v>724</v>
      </c>
      <c r="E33" s="63">
        <v>10</v>
      </c>
      <c r="F33" s="63">
        <v>10</v>
      </c>
      <c r="G33" s="63">
        <f t="shared" si="4"/>
        <v>2</v>
      </c>
      <c r="H33" s="63"/>
      <c r="I33" s="63">
        <v>10</v>
      </c>
      <c r="J33" s="63">
        <f t="shared" si="5"/>
        <v>2</v>
      </c>
      <c r="K33" s="63"/>
      <c r="L33" s="197">
        <f t="shared" si="2"/>
        <v>0</v>
      </c>
      <c r="M33" s="197">
        <f t="shared" si="3"/>
        <v>0</v>
      </c>
      <c r="N33" s="63">
        <v>2</v>
      </c>
      <c r="O33" s="173">
        <v>1</v>
      </c>
      <c r="P33" s="304"/>
    </row>
    <row r="34" spans="1:16" s="61" customFormat="1" ht="14.25">
      <c r="A34" s="1757"/>
      <c r="B34" s="1758"/>
      <c r="C34" s="62" t="s">
        <v>725</v>
      </c>
      <c r="D34" s="64" t="s">
        <v>726</v>
      </c>
      <c r="E34" s="63">
        <v>5</v>
      </c>
      <c r="F34" s="63">
        <v>5</v>
      </c>
      <c r="G34" s="63">
        <f t="shared" si="4"/>
        <v>1</v>
      </c>
      <c r="H34" s="63"/>
      <c r="I34" s="63">
        <v>5</v>
      </c>
      <c r="J34" s="63">
        <f t="shared" si="5"/>
        <v>1</v>
      </c>
      <c r="K34" s="63"/>
      <c r="L34" s="197">
        <f t="shared" si="2"/>
        <v>0</v>
      </c>
      <c r="M34" s="197">
        <f t="shared" si="3"/>
        <v>0</v>
      </c>
      <c r="N34" s="63">
        <v>1</v>
      </c>
      <c r="O34" s="173">
        <v>1</v>
      </c>
      <c r="P34" s="304"/>
    </row>
    <row r="35" spans="1:16" s="61" customFormat="1" ht="14.25">
      <c r="A35" s="1757"/>
      <c r="B35" s="1758" t="s">
        <v>727</v>
      </c>
      <c r="C35" s="62" t="s">
        <v>728</v>
      </c>
      <c r="D35" s="64" t="s">
        <v>729</v>
      </c>
      <c r="E35" s="63">
        <v>5</v>
      </c>
      <c r="F35" s="63">
        <v>5</v>
      </c>
      <c r="G35" s="63">
        <f t="shared" si="4"/>
        <v>1</v>
      </c>
      <c r="H35" s="63"/>
      <c r="I35" s="63">
        <v>5</v>
      </c>
      <c r="J35" s="63">
        <f t="shared" si="5"/>
        <v>1</v>
      </c>
      <c r="K35" s="63"/>
      <c r="L35" s="197">
        <f t="shared" ref="L35:L66" si="6">I35-F35</f>
        <v>0</v>
      </c>
      <c r="M35" s="197">
        <f t="shared" ref="M35:M66" si="7">E35-I35</f>
        <v>0</v>
      </c>
      <c r="N35" s="63">
        <v>1</v>
      </c>
      <c r="O35" s="173">
        <v>1</v>
      </c>
      <c r="P35" s="304"/>
    </row>
    <row r="36" spans="1:16" s="61" customFormat="1" ht="14.25">
      <c r="A36" s="1757"/>
      <c r="B36" s="1758"/>
      <c r="C36" s="62" t="s">
        <v>730</v>
      </c>
      <c r="D36" s="64" t="s">
        <v>1424</v>
      </c>
      <c r="E36" s="63">
        <v>5</v>
      </c>
      <c r="F36" s="185">
        <v>2</v>
      </c>
      <c r="G36" s="63">
        <f t="shared" si="4"/>
        <v>0.4</v>
      </c>
      <c r="H36" s="63"/>
      <c r="I36" s="185">
        <v>2</v>
      </c>
      <c r="J36" s="63">
        <f t="shared" si="5"/>
        <v>0.4</v>
      </c>
      <c r="K36" s="63"/>
      <c r="L36" s="197">
        <f t="shared" si="6"/>
        <v>0</v>
      </c>
      <c r="M36" s="197">
        <f t="shared" si="7"/>
        <v>3</v>
      </c>
      <c r="N36" s="63">
        <v>1</v>
      </c>
      <c r="O36" s="174">
        <v>1</v>
      </c>
      <c r="P36" s="304"/>
    </row>
    <row r="37" spans="1:16" s="61" customFormat="1" ht="54">
      <c r="A37" s="1757"/>
      <c r="B37" s="1758" t="s">
        <v>731</v>
      </c>
      <c r="C37" s="62" t="s">
        <v>732</v>
      </c>
      <c r="D37" s="64" t="s">
        <v>1425</v>
      </c>
      <c r="E37" s="63">
        <v>10</v>
      </c>
      <c r="F37" s="185">
        <v>7</v>
      </c>
      <c r="G37" s="63">
        <f t="shared" si="4"/>
        <v>1.4000000000000001</v>
      </c>
      <c r="H37" s="63"/>
      <c r="I37" s="185">
        <v>7</v>
      </c>
      <c r="J37" s="63">
        <f t="shared" si="5"/>
        <v>1.4000000000000001</v>
      </c>
      <c r="K37" s="63"/>
      <c r="L37" s="197">
        <f t="shared" si="6"/>
        <v>0</v>
      </c>
      <c r="M37" s="197">
        <f t="shared" si="7"/>
        <v>3</v>
      </c>
      <c r="N37" s="63">
        <v>2</v>
      </c>
      <c r="O37" s="173">
        <v>1</v>
      </c>
      <c r="P37" s="304"/>
    </row>
    <row r="38" spans="1:16" s="61" customFormat="1" ht="14.25">
      <c r="A38" s="1757"/>
      <c r="B38" s="1758"/>
      <c r="C38" s="62" t="s">
        <v>733</v>
      </c>
      <c r="D38" s="64" t="s">
        <v>734</v>
      </c>
      <c r="E38" s="63">
        <v>3</v>
      </c>
      <c r="F38" s="63">
        <v>3</v>
      </c>
      <c r="G38" s="63">
        <f t="shared" si="4"/>
        <v>0.60000000000000009</v>
      </c>
      <c r="H38" s="63"/>
      <c r="I38" s="63">
        <v>3</v>
      </c>
      <c r="J38" s="63">
        <f t="shared" si="5"/>
        <v>0.60000000000000009</v>
      </c>
      <c r="K38" s="63"/>
      <c r="L38" s="197">
        <f t="shared" si="6"/>
        <v>0</v>
      </c>
      <c r="M38" s="197">
        <f t="shared" si="7"/>
        <v>0</v>
      </c>
      <c r="N38" s="63">
        <v>0.60000000000000009</v>
      </c>
      <c r="O38" s="173">
        <v>1</v>
      </c>
      <c r="P38" s="304"/>
    </row>
    <row r="39" spans="1:16" s="61" customFormat="1" ht="27">
      <c r="A39" s="1757"/>
      <c r="B39" s="1758"/>
      <c r="C39" s="62" t="s">
        <v>735</v>
      </c>
      <c r="D39" s="181" t="s">
        <v>736</v>
      </c>
      <c r="E39" s="63">
        <v>2</v>
      </c>
      <c r="F39" s="185">
        <v>0</v>
      </c>
      <c r="G39" s="63">
        <f t="shared" si="4"/>
        <v>0</v>
      </c>
      <c r="H39" s="63"/>
      <c r="I39" s="185">
        <v>0</v>
      </c>
      <c r="J39" s="63">
        <f t="shared" si="5"/>
        <v>0</v>
      </c>
      <c r="K39" s="63"/>
      <c r="L39" s="197">
        <f t="shared" si="6"/>
        <v>0</v>
      </c>
      <c r="M39" s="197">
        <f t="shared" si="7"/>
        <v>2</v>
      </c>
      <c r="N39" s="63">
        <v>0.4</v>
      </c>
      <c r="O39" s="174">
        <v>1</v>
      </c>
      <c r="P39" s="304"/>
    </row>
    <row r="40" spans="1:16" s="61" customFormat="1" ht="40.5">
      <c r="A40" s="1757"/>
      <c r="B40" s="73" t="s">
        <v>737</v>
      </c>
      <c r="C40" s="62" t="s">
        <v>738</v>
      </c>
      <c r="D40" s="64" t="s">
        <v>739</v>
      </c>
      <c r="E40" s="63">
        <v>10</v>
      </c>
      <c r="F40" s="63">
        <v>10</v>
      </c>
      <c r="G40" s="63">
        <f t="shared" si="4"/>
        <v>2</v>
      </c>
      <c r="H40" s="63"/>
      <c r="I40" s="63">
        <v>10</v>
      </c>
      <c r="J40" s="63">
        <f t="shared" si="5"/>
        <v>2</v>
      </c>
      <c r="K40" s="63"/>
      <c r="L40" s="197">
        <f t="shared" si="6"/>
        <v>0</v>
      </c>
      <c r="M40" s="197">
        <f t="shared" si="7"/>
        <v>0</v>
      </c>
      <c r="N40" s="63">
        <v>2</v>
      </c>
      <c r="O40" s="173">
        <v>1</v>
      </c>
      <c r="P40" s="304"/>
    </row>
    <row r="41" spans="1:16" s="61" customFormat="1" ht="27">
      <c r="A41" s="1757"/>
      <c r="B41" s="1758" t="s">
        <v>740</v>
      </c>
      <c r="C41" s="62" t="s">
        <v>741</v>
      </c>
      <c r="D41" s="64" t="s">
        <v>742</v>
      </c>
      <c r="E41" s="63">
        <v>4</v>
      </c>
      <c r="F41" s="63">
        <v>4</v>
      </c>
      <c r="G41" s="63">
        <f t="shared" si="4"/>
        <v>0.8</v>
      </c>
      <c r="H41" s="63"/>
      <c r="I41" s="63">
        <v>4</v>
      </c>
      <c r="J41" s="63">
        <f t="shared" si="5"/>
        <v>0.8</v>
      </c>
      <c r="K41" s="63"/>
      <c r="L41" s="197">
        <f t="shared" si="6"/>
        <v>0</v>
      </c>
      <c r="M41" s="197">
        <f t="shared" si="7"/>
        <v>0</v>
      </c>
      <c r="N41" s="63">
        <v>0.8</v>
      </c>
      <c r="O41" s="173">
        <v>1</v>
      </c>
      <c r="P41" s="304"/>
    </row>
    <row r="42" spans="1:16" s="61" customFormat="1" ht="27">
      <c r="A42" s="1757"/>
      <c r="B42" s="1758"/>
      <c r="C42" s="62" t="s">
        <v>743</v>
      </c>
      <c r="D42" s="64" t="s">
        <v>744</v>
      </c>
      <c r="E42" s="63">
        <v>6</v>
      </c>
      <c r="F42" s="63">
        <v>6</v>
      </c>
      <c r="G42" s="63">
        <f t="shared" si="4"/>
        <v>1.2000000000000002</v>
      </c>
      <c r="H42" s="63"/>
      <c r="I42" s="63">
        <v>6</v>
      </c>
      <c r="J42" s="63">
        <f t="shared" si="5"/>
        <v>1.2000000000000002</v>
      </c>
      <c r="K42" s="63"/>
      <c r="L42" s="197">
        <f t="shared" si="6"/>
        <v>0</v>
      </c>
      <c r="M42" s="197">
        <f t="shared" si="7"/>
        <v>0</v>
      </c>
      <c r="N42" s="63">
        <v>1.2000000000000002</v>
      </c>
      <c r="O42" s="173">
        <v>1</v>
      </c>
      <c r="P42" s="304"/>
    </row>
    <row r="43" spans="1:16" s="61" customFormat="1" ht="27">
      <c r="A43" s="1757"/>
      <c r="B43" s="73" t="s">
        <v>745</v>
      </c>
      <c r="C43" s="62" t="s">
        <v>746</v>
      </c>
      <c r="D43" s="64" t="s">
        <v>747</v>
      </c>
      <c r="E43" s="63">
        <v>5</v>
      </c>
      <c r="F43" s="63">
        <v>5</v>
      </c>
      <c r="G43" s="63">
        <f t="shared" si="4"/>
        <v>1</v>
      </c>
      <c r="H43" s="63">
        <f>SUM(F26:F43)*0.2</f>
        <v>17.2</v>
      </c>
      <c r="I43" s="63">
        <v>5</v>
      </c>
      <c r="J43" s="63">
        <f t="shared" si="5"/>
        <v>1</v>
      </c>
      <c r="K43" s="63">
        <f>SUM(I26:I43)*0.2</f>
        <v>17.2</v>
      </c>
      <c r="L43" s="197">
        <f t="shared" si="6"/>
        <v>0</v>
      </c>
      <c r="M43" s="197">
        <f t="shared" si="7"/>
        <v>0</v>
      </c>
      <c r="N43" s="63">
        <v>1</v>
      </c>
      <c r="O43" s="174">
        <v>1</v>
      </c>
      <c r="P43" s="304"/>
    </row>
    <row r="44" spans="1:16" s="61" customFormat="1" ht="14.25">
      <c r="A44" s="1757" t="s">
        <v>748</v>
      </c>
      <c r="B44" s="1758" t="s">
        <v>749</v>
      </c>
      <c r="C44" s="62" t="s">
        <v>750</v>
      </c>
      <c r="D44" s="64" t="s">
        <v>751</v>
      </c>
      <c r="E44" s="63">
        <v>10</v>
      </c>
      <c r="F44" s="63">
        <v>10</v>
      </c>
      <c r="G44" s="63">
        <f t="shared" ref="G44:G60" si="8">F44*0.1</f>
        <v>1</v>
      </c>
      <c r="H44" s="63"/>
      <c r="I44" s="63">
        <v>10</v>
      </c>
      <c r="J44" s="63">
        <f t="shared" ref="J44:J60" si="9">I44*0.1</f>
        <v>1</v>
      </c>
      <c r="K44" s="63"/>
      <c r="L44" s="197">
        <f t="shared" si="6"/>
        <v>0</v>
      </c>
      <c r="M44" s="197">
        <f t="shared" si="7"/>
        <v>0</v>
      </c>
      <c r="N44" s="63">
        <v>1</v>
      </c>
      <c r="O44" s="173">
        <v>1</v>
      </c>
      <c r="P44" s="304"/>
    </row>
    <row r="45" spans="1:16" s="61" customFormat="1" ht="67.5">
      <c r="A45" s="1757"/>
      <c r="B45" s="1758"/>
      <c r="C45" s="62" t="s">
        <v>752</v>
      </c>
      <c r="D45" s="64" t="s">
        <v>1436</v>
      </c>
      <c r="E45" s="63">
        <v>20</v>
      </c>
      <c r="F45" s="63">
        <v>20</v>
      </c>
      <c r="G45" s="63">
        <f t="shared" si="8"/>
        <v>2</v>
      </c>
      <c r="H45" s="63"/>
      <c r="I45" s="63">
        <v>20</v>
      </c>
      <c r="J45" s="63">
        <f t="shared" si="9"/>
        <v>2</v>
      </c>
      <c r="K45" s="63"/>
      <c r="L45" s="197">
        <f t="shared" si="6"/>
        <v>0</v>
      </c>
      <c r="M45" s="197">
        <f t="shared" si="7"/>
        <v>0</v>
      </c>
      <c r="N45" s="63">
        <v>2</v>
      </c>
      <c r="O45" s="174">
        <v>1</v>
      </c>
      <c r="P45" s="304"/>
    </row>
    <row r="46" spans="1:16" s="61" customFormat="1" ht="27">
      <c r="A46" s="1757"/>
      <c r="B46" s="1758"/>
      <c r="C46" s="62" t="s">
        <v>753</v>
      </c>
      <c r="D46" s="64" t="s">
        <v>1435</v>
      </c>
      <c r="E46" s="63">
        <v>15</v>
      </c>
      <c r="F46" s="63">
        <v>15</v>
      </c>
      <c r="G46" s="63">
        <f t="shared" si="8"/>
        <v>1.5</v>
      </c>
      <c r="H46" s="63"/>
      <c r="I46" s="63">
        <v>15</v>
      </c>
      <c r="J46" s="63">
        <f t="shared" si="9"/>
        <v>1.5</v>
      </c>
      <c r="K46" s="63"/>
      <c r="L46" s="197">
        <f t="shared" si="6"/>
        <v>0</v>
      </c>
      <c r="M46" s="197">
        <f t="shared" si="7"/>
        <v>0</v>
      </c>
      <c r="N46" s="63">
        <v>1.5</v>
      </c>
      <c r="O46" s="172">
        <v>1</v>
      </c>
      <c r="P46" s="304"/>
    </row>
    <row r="47" spans="1:16" s="61" customFormat="1" ht="40.5">
      <c r="A47" s="1757"/>
      <c r="B47" s="1758"/>
      <c r="C47" s="62" t="s">
        <v>754</v>
      </c>
      <c r="D47" s="64" t="s">
        <v>755</v>
      </c>
      <c r="E47" s="63">
        <v>5</v>
      </c>
      <c r="F47" s="63">
        <v>5</v>
      </c>
      <c r="G47" s="63">
        <f t="shared" si="8"/>
        <v>0.5</v>
      </c>
      <c r="H47" s="63"/>
      <c r="I47" s="63">
        <v>5</v>
      </c>
      <c r="J47" s="63">
        <f t="shared" si="9"/>
        <v>0.5</v>
      </c>
      <c r="K47" s="63"/>
      <c r="L47" s="197">
        <f t="shared" si="6"/>
        <v>0</v>
      </c>
      <c r="M47" s="197">
        <f t="shared" si="7"/>
        <v>0</v>
      </c>
      <c r="N47" s="63">
        <v>0.5</v>
      </c>
      <c r="O47" s="172">
        <v>1</v>
      </c>
      <c r="P47" s="304"/>
    </row>
    <row r="48" spans="1:16" s="61" customFormat="1" ht="27">
      <c r="A48" s="1757"/>
      <c r="B48" s="1758" t="s">
        <v>756</v>
      </c>
      <c r="C48" s="62" t="s">
        <v>757</v>
      </c>
      <c r="D48" s="64" t="s">
        <v>758</v>
      </c>
      <c r="E48" s="63">
        <v>4</v>
      </c>
      <c r="F48" s="63">
        <v>4</v>
      </c>
      <c r="G48" s="63">
        <f t="shared" si="8"/>
        <v>0.4</v>
      </c>
      <c r="H48" s="63"/>
      <c r="I48" s="63">
        <v>4</v>
      </c>
      <c r="J48" s="63">
        <f t="shared" si="9"/>
        <v>0.4</v>
      </c>
      <c r="K48" s="63"/>
      <c r="L48" s="197">
        <f t="shared" si="6"/>
        <v>0</v>
      </c>
      <c r="M48" s="197">
        <f t="shared" si="7"/>
        <v>0</v>
      </c>
      <c r="N48" s="63">
        <v>0.4</v>
      </c>
      <c r="O48" s="173">
        <v>1</v>
      </c>
      <c r="P48" s="304"/>
    </row>
    <row r="49" spans="1:16" s="61" customFormat="1" ht="14.25">
      <c r="A49" s="1757"/>
      <c r="B49" s="1758"/>
      <c r="C49" s="62" t="s">
        <v>759</v>
      </c>
      <c r="D49" s="181" t="s">
        <v>1426</v>
      </c>
      <c r="E49" s="63">
        <v>3</v>
      </c>
      <c r="F49" s="185">
        <v>0</v>
      </c>
      <c r="G49" s="63">
        <f t="shared" si="8"/>
        <v>0</v>
      </c>
      <c r="H49" s="63"/>
      <c r="I49" s="185">
        <v>0</v>
      </c>
      <c r="J49" s="63">
        <f t="shared" si="9"/>
        <v>0</v>
      </c>
      <c r="K49" s="63"/>
      <c r="L49" s="197">
        <f t="shared" si="6"/>
        <v>0</v>
      </c>
      <c r="M49" s="197">
        <f t="shared" si="7"/>
        <v>3</v>
      </c>
      <c r="N49" s="63">
        <v>0.30000000000000004</v>
      </c>
      <c r="O49" s="174">
        <v>1</v>
      </c>
      <c r="P49" s="304"/>
    </row>
    <row r="50" spans="1:16" s="61" customFormat="1" ht="27">
      <c r="A50" s="1757"/>
      <c r="B50" s="1758"/>
      <c r="C50" s="62" t="s">
        <v>760</v>
      </c>
      <c r="D50" s="64" t="s">
        <v>1427</v>
      </c>
      <c r="E50" s="63">
        <v>5</v>
      </c>
      <c r="F50" s="185">
        <v>3</v>
      </c>
      <c r="G50" s="63">
        <f t="shared" si="8"/>
        <v>0.30000000000000004</v>
      </c>
      <c r="H50" s="63"/>
      <c r="I50" s="185">
        <v>3</v>
      </c>
      <c r="J50" s="63">
        <f t="shared" si="9"/>
        <v>0.30000000000000004</v>
      </c>
      <c r="K50" s="63"/>
      <c r="L50" s="197">
        <f t="shared" si="6"/>
        <v>0</v>
      </c>
      <c r="M50" s="197">
        <f t="shared" si="7"/>
        <v>2</v>
      </c>
      <c r="N50" s="63">
        <v>0.5</v>
      </c>
      <c r="O50" s="172">
        <v>1</v>
      </c>
      <c r="P50" s="304"/>
    </row>
    <row r="51" spans="1:16" s="61" customFormat="1" ht="40.5">
      <c r="A51" s="1757"/>
      <c r="B51" s="1758"/>
      <c r="C51" s="62" t="s">
        <v>761</v>
      </c>
      <c r="D51" s="64" t="s">
        <v>762</v>
      </c>
      <c r="E51" s="63">
        <v>8</v>
      </c>
      <c r="F51" s="63">
        <v>8</v>
      </c>
      <c r="G51" s="63">
        <f t="shared" si="8"/>
        <v>0.8</v>
      </c>
      <c r="H51" s="63"/>
      <c r="I51" s="63">
        <v>8</v>
      </c>
      <c r="J51" s="63">
        <f t="shared" si="9"/>
        <v>0.8</v>
      </c>
      <c r="K51" s="63"/>
      <c r="L51" s="197">
        <f t="shared" si="6"/>
        <v>0</v>
      </c>
      <c r="M51" s="197">
        <f t="shared" si="7"/>
        <v>0</v>
      </c>
      <c r="N51" s="63">
        <v>0.8</v>
      </c>
      <c r="O51" s="172">
        <v>1</v>
      </c>
      <c r="P51" s="304"/>
    </row>
    <row r="52" spans="1:16" s="61" customFormat="1" ht="27">
      <c r="A52" s="1757"/>
      <c r="B52" s="1758" t="s">
        <v>763</v>
      </c>
      <c r="C52" s="62" t="s">
        <v>764</v>
      </c>
      <c r="D52" s="64" t="s">
        <v>765</v>
      </c>
      <c r="E52" s="63">
        <v>4</v>
      </c>
      <c r="F52" s="63">
        <v>4</v>
      </c>
      <c r="G52" s="63">
        <f t="shared" si="8"/>
        <v>0.4</v>
      </c>
      <c r="H52" s="63"/>
      <c r="I52" s="63">
        <v>4</v>
      </c>
      <c r="J52" s="63">
        <f t="shared" si="9"/>
        <v>0.4</v>
      </c>
      <c r="K52" s="63"/>
      <c r="L52" s="197">
        <f t="shared" si="6"/>
        <v>0</v>
      </c>
      <c r="M52" s="197">
        <f t="shared" si="7"/>
        <v>0</v>
      </c>
      <c r="N52" s="63">
        <v>0.4</v>
      </c>
      <c r="O52" s="173">
        <v>1</v>
      </c>
      <c r="P52" s="304"/>
    </row>
    <row r="53" spans="1:16" s="61" customFormat="1" ht="40.5">
      <c r="A53" s="1757"/>
      <c r="B53" s="1758"/>
      <c r="C53" s="62" t="s">
        <v>766</v>
      </c>
      <c r="D53" s="64" t="s">
        <v>767</v>
      </c>
      <c r="E53" s="63">
        <v>4</v>
      </c>
      <c r="F53" s="63">
        <v>4</v>
      </c>
      <c r="G53" s="63">
        <f t="shared" si="8"/>
        <v>0.4</v>
      </c>
      <c r="H53" s="63"/>
      <c r="I53" s="63">
        <v>4</v>
      </c>
      <c r="J53" s="63">
        <f t="shared" si="9"/>
        <v>0.4</v>
      </c>
      <c r="K53" s="63"/>
      <c r="L53" s="197">
        <f t="shared" si="6"/>
        <v>0</v>
      </c>
      <c r="M53" s="197">
        <f t="shared" si="7"/>
        <v>0</v>
      </c>
      <c r="N53" s="63">
        <v>0.4</v>
      </c>
      <c r="O53" s="173">
        <v>1</v>
      </c>
      <c r="P53" s="304"/>
    </row>
    <row r="54" spans="1:16" s="61" customFormat="1" ht="40.5">
      <c r="A54" s="1757"/>
      <c r="B54" s="1758"/>
      <c r="C54" s="62" t="s">
        <v>768</v>
      </c>
      <c r="D54" s="181" t="s">
        <v>1428</v>
      </c>
      <c r="E54" s="63">
        <v>4</v>
      </c>
      <c r="F54" s="185">
        <v>2</v>
      </c>
      <c r="G54" s="63">
        <f t="shared" si="8"/>
        <v>0.2</v>
      </c>
      <c r="H54" s="63"/>
      <c r="I54" s="185">
        <v>2</v>
      </c>
      <c r="J54" s="63">
        <f t="shared" si="9"/>
        <v>0.2</v>
      </c>
      <c r="K54" s="63"/>
      <c r="L54" s="197">
        <f t="shared" si="6"/>
        <v>0</v>
      </c>
      <c r="M54" s="197">
        <f t="shared" si="7"/>
        <v>2</v>
      </c>
      <c r="N54" s="63">
        <v>0.4</v>
      </c>
      <c r="O54" s="174">
        <v>1</v>
      </c>
      <c r="P54" s="304"/>
    </row>
    <row r="55" spans="1:16" s="61" customFormat="1" ht="54">
      <c r="A55" s="1757"/>
      <c r="B55" s="1758"/>
      <c r="C55" s="62" t="s">
        <v>769</v>
      </c>
      <c r="D55" s="64" t="s">
        <v>770</v>
      </c>
      <c r="E55" s="63">
        <v>4</v>
      </c>
      <c r="F55" s="63">
        <v>4</v>
      </c>
      <c r="G55" s="63">
        <f t="shared" si="8"/>
        <v>0.4</v>
      </c>
      <c r="H55" s="63"/>
      <c r="I55" s="63">
        <v>4</v>
      </c>
      <c r="J55" s="63">
        <f t="shared" si="9"/>
        <v>0.4</v>
      </c>
      <c r="K55" s="63"/>
      <c r="L55" s="197">
        <f t="shared" si="6"/>
        <v>0</v>
      </c>
      <c r="M55" s="197">
        <f t="shared" si="7"/>
        <v>0</v>
      </c>
      <c r="N55" s="63">
        <v>0.4</v>
      </c>
      <c r="O55" s="172">
        <v>1</v>
      </c>
      <c r="P55" s="304"/>
    </row>
    <row r="56" spans="1:16" s="61" customFormat="1" ht="14.25">
      <c r="A56" s="1757"/>
      <c r="B56" s="1758"/>
      <c r="C56" s="62" t="s">
        <v>771</v>
      </c>
      <c r="D56" s="181" t="s">
        <v>772</v>
      </c>
      <c r="E56" s="63">
        <v>4</v>
      </c>
      <c r="F56" s="185">
        <v>0</v>
      </c>
      <c r="G56" s="63">
        <f t="shared" si="8"/>
        <v>0</v>
      </c>
      <c r="H56" s="63"/>
      <c r="I56" s="185">
        <v>0</v>
      </c>
      <c r="J56" s="63">
        <f t="shared" si="9"/>
        <v>0</v>
      </c>
      <c r="K56" s="63"/>
      <c r="L56" s="197">
        <f t="shared" si="6"/>
        <v>0</v>
      </c>
      <c r="M56" s="197">
        <f t="shared" si="7"/>
        <v>4</v>
      </c>
      <c r="N56" s="63">
        <v>0.4</v>
      </c>
      <c r="O56" s="173">
        <v>1</v>
      </c>
      <c r="P56" s="304"/>
    </row>
    <row r="57" spans="1:16" s="61" customFormat="1" ht="27">
      <c r="A57" s="1757"/>
      <c r="B57" s="1758" t="s">
        <v>773</v>
      </c>
      <c r="C57" s="62" t="s">
        <v>774</v>
      </c>
      <c r="D57" s="64" t="s">
        <v>775</v>
      </c>
      <c r="E57" s="63">
        <v>2</v>
      </c>
      <c r="F57" s="63">
        <v>2</v>
      </c>
      <c r="G57" s="63">
        <f t="shared" si="8"/>
        <v>0.2</v>
      </c>
      <c r="H57" s="63"/>
      <c r="I57" s="63">
        <v>2</v>
      </c>
      <c r="J57" s="63">
        <f t="shared" si="9"/>
        <v>0.2</v>
      </c>
      <c r="K57" s="63"/>
      <c r="L57" s="197">
        <f t="shared" si="6"/>
        <v>0</v>
      </c>
      <c r="M57" s="197">
        <f t="shared" si="7"/>
        <v>0</v>
      </c>
      <c r="N57" s="63">
        <v>0.2</v>
      </c>
      <c r="O57" s="173">
        <v>1</v>
      </c>
      <c r="P57" s="304"/>
    </row>
    <row r="58" spans="1:16" s="61" customFormat="1" ht="40.5">
      <c r="A58" s="1757"/>
      <c r="B58" s="1758"/>
      <c r="C58" s="62" t="s">
        <v>776</v>
      </c>
      <c r="D58" s="64" t="s">
        <v>777</v>
      </c>
      <c r="E58" s="63">
        <v>2</v>
      </c>
      <c r="F58" s="63">
        <v>2</v>
      </c>
      <c r="G58" s="63">
        <f t="shared" si="8"/>
        <v>0.2</v>
      </c>
      <c r="H58" s="63"/>
      <c r="I58" s="63">
        <v>2</v>
      </c>
      <c r="J58" s="63">
        <f t="shared" si="9"/>
        <v>0.2</v>
      </c>
      <c r="K58" s="63"/>
      <c r="L58" s="197">
        <f t="shared" si="6"/>
        <v>0</v>
      </c>
      <c r="M58" s="197">
        <f t="shared" si="7"/>
        <v>0</v>
      </c>
      <c r="N58" s="63">
        <v>0.2</v>
      </c>
      <c r="O58" s="173">
        <v>1</v>
      </c>
      <c r="P58" s="304"/>
    </row>
    <row r="59" spans="1:16" s="61" customFormat="1" ht="14.25">
      <c r="A59" s="1757"/>
      <c r="B59" s="1758"/>
      <c r="C59" s="62" t="s">
        <v>778</v>
      </c>
      <c r="D59" s="181" t="s">
        <v>1429</v>
      </c>
      <c r="E59" s="63">
        <v>3</v>
      </c>
      <c r="F59" s="185">
        <v>2</v>
      </c>
      <c r="G59" s="63">
        <f t="shared" si="8"/>
        <v>0.2</v>
      </c>
      <c r="H59" s="63"/>
      <c r="I59" s="185">
        <v>2</v>
      </c>
      <c r="J59" s="63">
        <f t="shared" si="9"/>
        <v>0.2</v>
      </c>
      <c r="K59" s="63"/>
      <c r="L59" s="197">
        <f t="shared" si="6"/>
        <v>0</v>
      </c>
      <c r="M59" s="197">
        <f t="shared" si="7"/>
        <v>1</v>
      </c>
      <c r="N59" s="63">
        <v>0.30000000000000004</v>
      </c>
      <c r="O59" s="174">
        <v>1</v>
      </c>
      <c r="P59" s="304"/>
    </row>
    <row r="60" spans="1:16" s="61" customFormat="1" ht="40.5">
      <c r="A60" s="1757"/>
      <c r="B60" s="1758"/>
      <c r="C60" s="62" t="s">
        <v>779</v>
      </c>
      <c r="D60" s="64" t="s">
        <v>780</v>
      </c>
      <c r="E60" s="63">
        <v>3</v>
      </c>
      <c r="F60" s="63">
        <v>3</v>
      </c>
      <c r="G60" s="63">
        <f t="shared" si="8"/>
        <v>0.30000000000000004</v>
      </c>
      <c r="H60" s="63">
        <f>SUM(F44:F60)*0.1</f>
        <v>8.8000000000000007</v>
      </c>
      <c r="I60" s="63">
        <v>3</v>
      </c>
      <c r="J60" s="63">
        <f t="shared" si="9"/>
        <v>0.30000000000000004</v>
      </c>
      <c r="K60" s="63">
        <f>SUM(I44:I60)*0.1</f>
        <v>8.8000000000000007</v>
      </c>
      <c r="L60" s="197">
        <f t="shared" si="6"/>
        <v>0</v>
      </c>
      <c r="M60" s="197">
        <f t="shared" si="7"/>
        <v>0</v>
      </c>
      <c r="N60" s="63">
        <v>0.30000000000000004</v>
      </c>
      <c r="O60" s="173">
        <v>1</v>
      </c>
      <c r="P60" s="304"/>
    </row>
    <row r="61" spans="1:16" s="61" customFormat="1" ht="40.5">
      <c r="A61" s="1757" t="s">
        <v>781</v>
      </c>
      <c r="B61" s="1758" t="s">
        <v>782</v>
      </c>
      <c r="C61" s="62" t="s">
        <v>783</v>
      </c>
      <c r="D61" s="64" t="s">
        <v>1434</v>
      </c>
      <c r="E61" s="63">
        <v>5</v>
      </c>
      <c r="F61" s="63">
        <v>5</v>
      </c>
      <c r="G61" s="63">
        <f t="shared" ref="G61:G75" si="10">F61*0.18</f>
        <v>0.89999999999999991</v>
      </c>
      <c r="H61" s="63"/>
      <c r="I61" s="63">
        <v>5</v>
      </c>
      <c r="J61" s="63">
        <f t="shared" ref="J61:J75" si="11">I61*0.18</f>
        <v>0.89999999999999991</v>
      </c>
      <c r="K61" s="63"/>
      <c r="L61" s="197">
        <f t="shared" si="6"/>
        <v>0</v>
      </c>
      <c r="M61" s="197">
        <f t="shared" si="7"/>
        <v>0</v>
      </c>
      <c r="N61" s="63">
        <v>0.89999999999999991</v>
      </c>
      <c r="O61" s="174">
        <v>1</v>
      </c>
      <c r="P61" s="304"/>
    </row>
    <row r="62" spans="1:16" s="61" customFormat="1" ht="54">
      <c r="A62" s="1757"/>
      <c r="B62" s="1758"/>
      <c r="C62" s="62" t="s">
        <v>784</v>
      </c>
      <c r="D62" s="64" t="s">
        <v>785</v>
      </c>
      <c r="E62" s="63">
        <v>5</v>
      </c>
      <c r="F62" s="63">
        <v>5</v>
      </c>
      <c r="G62" s="63">
        <f t="shared" si="10"/>
        <v>0.89999999999999991</v>
      </c>
      <c r="H62" s="63"/>
      <c r="I62" s="63">
        <v>5</v>
      </c>
      <c r="J62" s="63">
        <f t="shared" si="11"/>
        <v>0.89999999999999991</v>
      </c>
      <c r="K62" s="63"/>
      <c r="L62" s="197">
        <f t="shared" si="6"/>
        <v>0</v>
      </c>
      <c r="M62" s="197">
        <f t="shared" si="7"/>
        <v>0</v>
      </c>
      <c r="N62" s="63">
        <v>0.89999999999999991</v>
      </c>
      <c r="O62" s="173">
        <v>1</v>
      </c>
      <c r="P62" s="304"/>
    </row>
    <row r="63" spans="1:16" s="61" customFormat="1" ht="14.25">
      <c r="A63" s="1757"/>
      <c r="B63" s="1758"/>
      <c r="C63" s="62" t="s">
        <v>786</v>
      </c>
      <c r="D63" s="64" t="s">
        <v>787</v>
      </c>
      <c r="E63" s="63">
        <v>5</v>
      </c>
      <c r="F63" s="63">
        <v>5</v>
      </c>
      <c r="G63" s="63">
        <f t="shared" si="10"/>
        <v>0.89999999999999991</v>
      </c>
      <c r="H63" s="63"/>
      <c r="I63" s="63">
        <v>5</v>
      </c>
      <c r="J63" s="63">
        <f t="shared" si="11"/>
        <v>0.89999999999999991</v>
      </c>
      <c r="K63" s="63"/>
      <c r="L63" s="197">
        <f t="shared" si="6"/>
        <v>0</v>
      </c>
      <c r="M63" s="197">
        <f t="shared" si="7"/>
        <v>0</v>
      </c>
      <c r="N63" s="63">
        <v>0.89999999999999991</v>
      </c>
      <c r="O63" s="174">
        <v>1</v>
      </c>
      <c r="P63" s="304"/>
    </row>
    <row r="64" spans="1:16" s="61" customFormat="1" ht="27">
      <c r="A64" s="1757"/>
      <c r="B64" s="1758"/>
      <c r="C64" s="72" t="s">
        <v>788</v>
      </c>
      <c r="D64" s="71" t="s">
        <v>789</v>
      </c>
      <c r="E64" s="63">
        <v>5</v>
      </c>
      <c r="F64" s="63">
        <v>5</v>
      </c>
      <c r="G64" s="63">
        <f t="shared" si="10"/>
        <v>0.89999999999999991</v>
      </c>
      <c r="H64" s="63"/>
      <c r="I64" s="63">
        <v>5</v>
      </c>
      <c r="J64" s="63">
        <f t="shared" si="11"/>
        <v>0.89999999999999991</v>
      </c>
      <c r="K64" s="63"/>
      <c r="L64" s="197">
        <f t="shared" si="6"/>
        <v>0</v>
      </c>
      <c r="M64" s="197">
        <f t="shared" si="7"/>
        <v>0</v>
      </c>
      <c r="N64" s="63">
        <v>0.89999999999999991</v>
      </c>
      <c r="O64" s="172">
        <v>1</v>
      </c>
      <c r="P64" s="304"/>
    </row>
    <row r="65" spans="1:16" s="61" customFormat="1" ht="27">
      <c r="A65" s="1757"/>
      <c r="B65" s="1758" t="s">
        <v>790</v>
      </c>
      <c r="C65" s="62" t="s">
        <v>791</v>
      </c>
      <c r="D65" s="64" t="s">
        <v>1433</v>
      </c>
      <c r="E65" s="63">
        <v>10</v>
      </c>
      <c r="F65" s="63">
        <v>10</v>
      </c>
      <c r="G65" s="63">
        <f t="shared" si="10"/>
        <v>1.7999999999999998</v>
      </c>
      <c r="H65" s="63"/>
      <c r="I65" s="63">
        <v>10</v>
      </c>
      <c r="J65" s="63">
        <f t="shared" si="11"/>
        <v>1.7999999999999998</v>
      </c>
      <c r="K65" s="63"/>
      <c r="L65" s="197">
        <f t="shared" si="6"/>
        <v>0</v>
      </c>
      <c r="M65" s="197">
        <f t="shared" si="7"/>
        <v>0</v>
      </c>
      <c r="N65" s="63">
        <v>1.7999999999999998</v>
      </c>
      <c r="O65" s="172">
        <v>1</v>
      </c>
      <c r="P65" s="304"/>
    </row>
    <row r="66" spans="1:16" s="61" customFormat="1" ht="27">
      <c r="A66" s="1757"/>
      <c r="B66" s="1758"/>
      <c r="C66" s="62" t="s">
        <v>792</v>
      </c>
      <c r="D66" s="64" t="s">
        <v>793</v>
      </c>
      <c r="E66" s="63">
        <v>10</v>
      </c>
      <c r="F66" s="63">
        <v>10</v>
      </c>
      <c r="G66" s="63">
        <f t="shared" si="10"/>
        <v>1.7999999999999998</v>
      </c>
      <c r="H66" s="63"/>
      <c r="I66" s="63">
        <v>10</v>
      </c>
      <c r="J66" s="63">
        <f t="shared" si="11"/>
        <v>1.7999999999999998</v>
      </c>
      <c r="K66" s="63"/>
      <c r="L66" s="197">
        <f t="shared" si="6"/>
        <v>0</v>
      </c>
      <c r="M66" s="197">
        <f t="shared" si="7"/>
        <v>0</v>
      </c>
      <c r="N66" s="63">
        <v>1.7999999999999998</v>
      </c>
      <c r="O66" s="173">
        <v>1</v>
      </c>
      <c r="P66" s="304"/>
    </row>
    <row r="67" spans="1:16" s="61" customFormat="1" ht="27">
      <c r="A67" s="1757"/>
      <c r="B67" s="1758" t="s">
        <v>794</v>
      </c>
      <c r="C67" s="62" t="s">
        <v>795</v>
      </c>
      <c r="D67" s="64" t="s">
        <v>796</v>
      </c>
      <c r="E67" s="63">
        <v>5</v>
      </c>
      <c r="F67" s="63">
        <v>5</v>
      </c>
      <c r="G67" s="63">
        <f t="shared" si="10"/>
        <v>0.89999999999999991</v>
      </c>
      <c r="H67" s="63"/>
      <c r="I67" s="63">
        <v>5</v>
      </c>
      <c r="J67" s="63">
        <f t="shared" si="11"/>
        <v>0.89999999999999991</v>
      </c>
      <c r="K67" s="63"/>
      <c r="L67" s="197">
        <f t="shared" ref="L67:L98" si="12">I67-F67</f>
        <v>0</v>
      </c>
      <c r="M67" s="197">
        <f t="shared" ref="M67:M98" si="13">E67-I67</f>
        <v>0</v>
      </c>
      <c r="N67" s="63">
        <v>0.89999999999999991</v>
      </c>
      <c r="O67" s="173">
        <v>1</v>
      </c>
      <c r="P67" s="304"/>
    </row>
    <row r="68" spans="1:16" s="61" customFormat="1" ht="27">
      <c r="A68" s="1757"/>
      <c r="B68" s="1758"/>
      <c r="C68" s="62" t="s">
        <v>797</v>
      </c>
      <c r="D68" s="64" t="s">
        <v>798</v>
      </c>
      <c r="E68" s="63">
        <v>10</v>
      </c>
      <c r="F68" s="63">
        <v>10</v>
      </c>
      <c r="G68" s="63">
        <f t="shared" si="10"/>
        <v>1.7999999999999998</v>
      </c>
      <c r="H68" s="63"/>
      <c r="I68" s="63">
        <v>10</v>
      </c>
      <c r="J68" s="63">
        <f t="shared" si="11"/>
        <v>1.7999999999999998</v>
      </c>
      <c r="K68" s="63"/>
      <c r="L68" s="197">
        <f t="shared" si="12"/>
        <v>0</v>
      </c>
      <c r="M68" s="197">
        <f t="shared" si="13"/>
        <v>0</v>
      </c>
      <c r="N68" s="63">
        <v>1.7999999999999998</v>
      </c>
      <c r="O68" s="174">
        <v>1</v>
      </c>
      <c r="P68" s="304"/>
    </row>
    <row r="69" spans="1:16" s="61" customFormat="1" ht="14.25">
      <c r="A69" s="1757"/>
      <c r="B69" s="1758" t="s">
        <v>799</v>
      </c>
      <c r="C69" s="62" t="s">
        <v>800</v>
      </c>
      <c r="D69" s="64" t="s">
        <v>801</v>
      </c>
      <c r="E69" s="63">
        <v>5</v>
      </c>
      <c r="F69" s="63">
        <v>5</v>
      </c>
      <c r="G69" s="63">
        <f t="shared" si="10"/>
        <v>0.89999999999999991</v>
      </c>
      <c r="H69" s="63"/>
      <c r="I69" s="63">
        <v>5</v>
      </c>
      <c r="J69" s="63">
        <f t="shared" si="11"/>
        <v>0.89999999999999991</v>
      </c>
      <c r="K69" s="63"/>
      <c r="L69" s="197">
        <f t="shared" si="12"/>
        <v>0</v>
      </c>
      <c r="M69" s="197">
        <f t="shared" si="13"/>
        <v>0</v>
      </c>
      <c r="N69" s="63">
        <v>0.89999999999999991</v>
      </c>
      <c r="O69" s="173">
        <v>1</v>
      </c>
      <c r="P69" s="304"/>
    </row>
    <row r="70" spans="1:16" s="61" customFormat="1" ht="27">
      <c r="A70" s="1757"/>
      <c r="B70" s="1758"/>
      <c r="C70" s="62" t="s">
        <v>802</v>
      </c>
      <c r="D70" s="64" t="s">
        <v>803</v>
      </c>
      <c r="E70" s="63">
        <v>5</v>
      </c>
      <c r="F70" s="63">
        <v>5</v>
      </c>
      <c r="G70" s="63">
        <f t="shared" si="10"/>
        <v>0.89999999999999991</v>
      </c>
      <c r="H70" s="63"/>
      <c r="I70" s="63">
        <v>5</v>
      </c>
      <c r="J70" s="63">
        <f t="shared" si="11"/>
        <v>0.89999999999999991</v>
      </c>
      <c r="K70" s="63"/>
      <c r="L70" s="197">
        <f t="shared" si="12"/>
        <v>0</v>
      </c>
      <c r="M70" s="197">
        <f t="shared" si="13"/>
        <v>0</v>
      </c>
      <c r="N70" s="63">
        <v>0.89999999999999991</v>
      </c>
      <c r="O70" s="173">
        <v>1</v>
      </c>
      <c r="P70" s="304"/>
    </row>
    <row r="71" spans="1:16" s="61" customFormat="1" ht="27">
      <c r="A71" s="1757"/>
      <c r="B71" s="1758"/>
      <c r="C71" s="62" t="s">
        <v>804</v>
      </c>
      <c r="D71" s="181" t="s">
        <v>1430</v>
      </c>
      <c r="E71" s="63">
        <v>5</v>
      </c>
      <c r="F71" s="185">
        <v>0</v>
      </c>
      <c r="G71" s="63">
        <f t="shared" si="10"/>
        <v>0</v>
      </c>
      <c r="H71" s="63"/>
      <c r="I71" s="185">
        <v>0</v>
      </c>
      <c r="J71" s="63">
        <f t="shared" si="11"/>
        <v>0</v>
      </c>
      <c r="K71" s="63"/>
      <c r="L71" s="197">
        <f t="shared" si="12"/>
        <v>0</v>
      </c>
      <c r="M71" s="197">
        <f t="shared" si="13"/>
        <v>5</v>
      </c>
      <c r="N71" s="63">
        <v>0.89999999999999991</v>
      </c>
      <c r="O71" s="174">
        <v>1</v>
      </c>
      <c r="P71" s="304"/>
    </row>
    <row r="72" spans="1:16" s="61" customFormat="1" ht="14.25">
      <c r="A72" s="1757"/>
      <c r="B72" s="1758" t="s">
        <v>805</v>
      </c>
      <c r="C72" s="62" t="s">
        <v>806</v>
      </c>
      <c r="D72" s="64" t="s">
        <v>807</v>
      </c>
      <c r="E72" s="63">
        <v>5</v>
      </c>
      <c r="F72" s="63">
        <v>5</v>
      </c>
      <c r="G72" s="63">
        <f t="shared" si="10"/>
        <v>0.89999999999999991</v>
      </c>
      <c r="H72" s="63"/>
      <c r="I72" s="63">
        <v>5</v>
      </c>
      <c r="J72" s="63">
        <f t="shared" si="11"/>
        <v>0.89999999999999991</v>
      </c>
      <c r="K72" s="63"/>
      <c r="L72" s="197">
        <f t="shared" si="12"/>
        <v>0</v>
      </c>
      <c r="M72" s="197">
        <f t="shared" si="13"/>
        <v>0</v>
      </c>
      <c r="N72" s="63">
        <v>0.89999999999999991</v>
      </c>
      <c r="O72" s="173">
        <v>1</v>
      </c>
      <c r="P72" s="304"/>
    </row>
    <row r="73" spans="1:16" s="61" customFormat="1" ht="27">
      <c r="A73" s="1757"/>
      <c r="B73" s="1758"/>
      <c r="C73" s="62" t="s">
        <v>808</v>
      </c>
      <c r="D73" s="64" t="s">
        <v>809</v>
      </c>
      <c r="E73" s="63">
        <v>5</v>
      </c>
      <c r="F73" s="63">
        <v>5</v>
      </c>
      <c r="G73" s="63">
        <f t="shared" si="10"/>
        <v>0.89999999999999991</v>
      </c>
      <c r="H73" s="63"/>
      <c r="I73" s="63">
        <v>5</v>
      </c>
      <c r="J73" s="63">
        <f t="shared" si="11"/>
        <v>0.89999999999999991</v>
      </c>
      <c r="K73" s="63"/>
      <c r="L73" s="197">
        <f t="shared" si="12"/>
        <v>0</v>
      </c>
      <c r="M73" s="197">
        <f t="shared" si="13"/>
        <v>0</v>
      </c>
      <c r="N73" s="63">
        <v>0.89999999999999991</v>
      </c>
      <c r="O73" s="173">
        <v>1</v>
      </c>
      <c r="P73" s="304"/>
    </row>
    <row r="74" spans="1:16" s="61" customFormat="1" ht="14.25">
      <c r="A74" s="1757"/>
      <c r="B74" s="1758"/>
      <c r="C74" s="62" t="s">
        <v>810</v>
      </c>
      <c r="D74" s="64" t="s">
        <v>1432</v>
      </c>
      <c r="E74" s="63">
        <v>5</v>
      </c>
      <c r="F74" s="63">
        <v>5</v>
      </c>
      <c r="G74" s="63">
        <f t="shared" si="10"/>
        <v>0.89999999999999991</v>
      </c>
      <c r="H74" s="63"/>
      <c r="I74" s="63">
        <v>5</v>
      </c>
      <c r="J74" s="63">
        <f t="shared" si="11"/>
        <v>0.89999999999999991</v>
      </c>
      <c r="K74" s="63"/>
      <c r="L74" s="197">
        <f t="shared" si="12"/>
        <v>0</v>
      </c>
      <c r="M74" s="197">
        <f t="shared" si="13"/>
        <v>0</v>
      </c>
      <c r="N74" s="63">
        <v>0.89999999999999991</v>
      </c>
      <c r="O74" s="174">
        <v>1</v>
      </c>
      <c r="P74" s="304"/>
    </row>
    <row r="75" spans="1:16" s="61" customFormat="1" ht="13.5" customHeight="1">
      <c r="A75" s="1757"/>
      <c r="B75" s="68" t="s">
        <v>811</v>
      </c>
      <c r="C75" s="72" t="s">
        <v>812</v>
      </c>
      <c r="D75" s="71" t="s">
        <v>813</v>
      </c>
      <c r="E75" s="63">
        <v>15</v>
      </c>
      <c r="F75" s="63">
        <v>15</v>
      </c>
      <c r="G75" s="63">
        <f t="shared" si="10"/>
        <v>2.6999999999999997</v>
      </c>
      <c r="H75" s="63">
        <f>SUM(F61:F75)*0.18</f>
        <v>17.099999999999998</v>
      </c>
      <c r="I75" s="63">
        <v>15</v>
      </c>
      <c r="J75" s="63">
        <f t="shared" si="11"/>
        <v>2.6999999999999997</v>
      </c>
      <c r="K75" s="63">
        <f>SUM(I61:I75)*0.18</f>
        <v>17.099999999999998</v>
      </c>
      <c r="L75" s="197">
        <f t="shared" si="12"/>
        <v>0</v>
      </c>
      <c r="M75" s="197">
        <f t="shared" si="13"/>
        <v>0</v>
      </c>
      <c r="N75" s="63">
        <v>2.6999999999999997</v>
      </c>
      <c r="O75" s="173">
        <v>1</v>
      </c>
      <c r="P75" s="304"/>
    </row>
    <row r="76" spans="1:16" s="61" customFormat="1" ht="27">
      <c r="A76" s="1757" t="s">
        <v>814</v>
      </c>
      <c r="B76" s="1758" t="s">
        <v>815</v>
      </c>
      <c r="C76" s="62" t="s">
        <v>816</v>
      </c>
      <c r="D76" s="64" t="s">
        <v>817</v>
      </c>
      <c r="E76" s="63">
        <v>5</v>
      </c>
      <c r="F76" s="63">
        <v>5</v>
      </c>
      <c r="G76" s="63">
        <f t="shared" ref="G76:G95" si="14">F76*0.07</f>
        <v>0.35000000000000003</v>
      </c>
      <c r="H76" s="63"/>
      <c r="I76" s="63">
        <v>5</v>
      </c>
      <c r="J76" s="63">
        <f t="shared" ref="J76:J95" si="15">I76*0.07</f>
        <v>0.35000000000000003</v>
      </c>
      <c r="K76" s="63"/>
      <c r="L76" s="197">
        <f t="shared" si="12"/>
        <v>0</v>
      </c>
      <c r="M76" s="197">
        <f t="shared" si="13"/>
        <v>0</v>
      </c>
      <c r="N76" s="63">
        <v>0.35000000000000003</v>
      </c>
      <c r="O76" s="173">
        <v>1</v>
      </c>
      <c r="P76" s="304"/>
    </row>
    <row r="77" spans="1:16" s="61" customFormat="1" ht="14.25">
      <c r="A77" s="1757"/>
      <c r="B77" s="1758"/>
      <c r="C77" s="62" t="s">
        <v>818</v>
      </c>
      <c r="D77" s="64" t="s">
        <v>819</v>
      </c>
      <c r="E77" s="63">
        <v>5</v>
      </c>
      <c r="F77" s="63">
        <v>5</v>
      </c>
      <c r="G77" s="63">
        <f t="shared" si="14"/>
        <v>0.35000000000000003</v>
      </c>
      <c r="H77" s="63"/>
      <c r="I77" s="63">
        <v>5</v>
      </c>
      <c r="J77" s="63">
        <f t="shared" si="15"/>
        <v>0.35000000000000003</v>
      </c>
      <c r="K77" s="63"/>
      <c r="L77" s="197">
        <f t="shared" si="12"/>
        <v>0</v>
      </c>
      <c r="M77" s="197">
        <f t="shared" si="13"/>
        <v>0</v>
      </c>
      <c r="N77" s="63">
        <v>0.35000000000000003</v>
      </c>
      <c r="O77" s="173">
        <v>1</v>
      </c>
      <c r="P77" s="304"/>
    </row>
    <row r="78" spans="1:16" s="61" customFormat="1" ht="27">
      <c r="A78" s="1757"/>
      <c r="B78" s="1758"/>
      <c r="C78" s="62" t="s">
        <v>820</v>
      </c>
      <c r="D78" s="64" t="s">
        <v>821</v>
      </c>
      <c r="E78" s="63">
        <v>5</v>
      </c>
      <c r="F78" s="63">
        <v>5</v>
      </c>
      <c r="G78" s="63">
        <f t="shared" si="14"/>
        <v>0.35000000000000003</v>
      </c>
      <c r="H78" s="63"/>
      <c r="I78" s="63">
        <v>5</v>
      </c>
      <c r="J78" s="63">
        <f t="shared" si="15"/>
        <v>0.35000000000000003</v>
      </c>
      <c r="K78" s="63"/>
      <c r="L78" s="197">
        <f t="shared" si="12"/>
        <v>0</v>
      </c>
      <c r="M78" s="197">
        <f t="shared" si="13"/>
        <v>0</v>
      </c>
      <c r="N78" s="63">
        <v>0.35000000000000003</v>
      </c>
      <c r="O78" s="173">
        <v>1</v>
      </c>
      <c r="P78" s="304"/>
    </row>
    <row r="79" spans="1:16" s="61" customFormat="1" ht="27">
      <c r="A79" s="1757"/>
      <c r="B79" s="1758"/>
      <c r="C79" s="62" t="s">
        <v>822</v>
      </c>
      <c r="D79" s="64" t="s">
        <v>823</v>
      </c>
      <c r="E79" s="63">
        <v>5</v>
      </c>
      <c r="F79" s="63">
        <v>5</v>
      </c>
      <c r="G79" s="63">
        <f t="shared" si="14"/>
        <v>0.35000000000000003</v>
      </c>
      <c r="H79" s="63"/>
      <c r="I79" s="63">
        <v>5</v>
      </c>
      <c r="J79" s="63">
        <f t="shared" si="15"/>
        <v>0.35000000000000003</v>
      </c>
      <c r="K79" s="63"/>
      <c r="L79" s="197">
        <f t="shared" si="12"/>
        <v>0</v>
      </c>
      <c r="M79" s="197">
        <f t="shared" si="13"/>
        <v>0</v>
      </c>
      <c r="N79" s="63">
        <v>0.35000000000000003</v>
      </c>
      <c r="O79" s="173">
        <v>1</v>
      </c>
      <c r="P79" s="304"/>
    </row>
    <row r="80" spans="1:16" s="61" customFormat="1" ht="40.5">
      <c r="A80" s="1757"/>
      <c r="B80" s="1758" t="s">
        <v>824</v>
      </c>
      <c r="C80" s="72" t="s">
        <v>825</v>
      </c>
      <c r="D80" s="64" t="s">
        <v>826</v>
      </c>
      <c r="E80" s="63">
        <v>5</v>
      </c>
      <c r="F80" s="63">
        <v>5</v>
      </c>
      <c r="G80" s="63">
        <f t="shared" si="14"/>
        <v>0.35000000000000003</v>
      </c>
      <c r="H80" s="63"/>
      <c r="I80" s="63">
        <v>5</v>
      </c>
      <c r="J80" s="63">
        <f t="shared" si="15"/>
        <v>0.35000000000000003</v>
      </c>
      <c r="K80" s="63"/>
      <c r="L80" s="197">
        <f t="shared" si="12"/>
        <v>0</v>
      </c>
      <c r="M80" s="197">
        <f t="shared" si="13"/>
        <v>0</v>
      </c>
      <c r="N80" s="63">
        <v>0.35000000000000003</v>
      </c>
      <c r="O80" s="173">
        <v>1</v>
      </c>
      <c r="P80" s="304"/>
    </row>
    <row r="81" spans="1:16" s="61" customFormat="1" ht="14.25">
      <c r="A81" s="1757"/>
      <c r="B81" s="1758"/>
      <c r="C81" s="62" t="s">
        <v>827</v>
      </c>
      <c r="D81" s="64" t="s">
        <v>828</v>
      </c>
      <c r="E81" s="63">
        <v>5</v>
      </c>
      <c r="F81" s="63">
        <v>5</v>
      </c>
      <c r="G81" s="63">
        <f t="shared" si="14"/>
        <v>0.35000000000000003</v>
      </c>
      <c r="H81" s="63"/>
      <c r="I81" s="63">
        <v>5</v>
      </c>
      <c r="J81" s="63">
        <f t="shared" si="15"/>
        <v>0.35000000000000003</v>
      </c>
      <c r="K81" s="63"/>
      <c r="L81" s="197">
        <f t="shared" si="12"/>
        <v>0</v>
      </c>
      <c r="M81" s="197">
        <f t="shared" si="13"/>
        <v>0</v>
      </c>
      <c r="N81" s="63">
        <v>0.35000000000000003</v>
      </c>
      <c r="O81" s="173">
        <v>1</v>
      </c>
      <c r="P81" s="304"/>
    </row>
    <row r="82" spans="1:16" s="61" customFormat="1" ht="14.25">
      <c r="A82" s="1757"/>
      <c r="B82" s="1758" t="s">
        <v>829</v>
      </c>
      <c r="C82" s="62" t="s">
        <v>830</v>
      </c>
      <c r="D82" s="64" t="s">
        <v>831</v>
      </c>
      <c r="E82" s="63">
        <v>5</v>
      </c>
      <c r="F82" s="63">
        <v>5</v>
      </c>
      <c r="G82" s="63">
        <f t="shared" si="14"/>
        <v>0.35000000000000003</v>
      </c>
      <c r="H82" s="63"/>
      <c r="I82" s="63">
        <v>5</v>
      </c>
      <c r="J82" s="63">
        <f t="shared" si="15"/>
        <v>0.35000000000000003</v>
      </c>
      <c r="K82" s="63"/>
      <c r="L82" s="197">
        <f t="shared" si="12"/>
        <v>0</v>
      </c>
      <c r="M82" s="197">
        <f t="shared" si="13"/>
        <v>0</v>
      </c>
      <c r="N82" s="63">
        <v>0.35000000000000003</v>
      </c>
      <c r="O82" s="173">
        <v>1</v>
      </c>
      <c r="P82" s="304"/>
    </row>
    <row r="83" spans="1:16" s="61" customFormat="1" ht="14.25">
      <c r="A83" s="1757"/>
      <c r="B83" s="1758"/>
      <c r="C83" s="62" t="s">
        <v>832</v>
      </c>
      <c r="D83" s="64" t="s">
        <v>833</v>
      </c>
      <c r="E83" s="63">
        <v>5</v>
      </c>
      <c r="F83" s="63">
        <v>5</v>
      </c>
      <c r="G83" s="63">
        <f t="shared" si="14"/>
        <v>0.35000000000000003</v>
      </c>
      <c r="H83" s="63"/>
      <c r="I83" s="63">
        <v>5</v>
      </c>
      <c r="J83" s="63">
        <f t="shared" si="15"/>
        <v>0.35000000000000003</v>
      </c>
      <c r="K83" s="63"/>
      <c r="L83" s="197">
        <f t="shared" si="12"/>
        <v>0</v>
      </c>
      <c r="M83" s="197">
        <f t="shared" si="13"/>
        <v>0</v>
      </c>
      <c r="N83" s="63">
        <v>0.35000000000000003</v>
      </c>
      <c r="O83" s="173">
        <v>1</v>
      </c>
      <c r="P83" s="304"/>
    </row>
    <row r="84" spans="1:16" s="61" customFormat="1" ht="27">
      <c r="A84" s="1757"/>
      <c r="B84" s="1758"/>
      <c r="C84" s="62" t="s">
        <v>834</v>
      </c>
      <c r="D84" s="64" t="s">
        <v>835</v>
      </c>
      <c r="E84" s="63">
        <v>10</v>
      </c>
      <c r="F84" s="63">
        <v>10</v>
      </c>
      <c r="G84" s="63">
        <f t="shared" si="14"/>
        <v>0.70000000000000007</v>
      </c>
      <c r="H84" s="63"/>
      <c r="I84" s="63">
        <v>10</v>
      </c>
      <c r="J84" s="63">
        <f t="shared" si="15"/>
        <v>0.70000000000000007</v>
      </c>
      <c r="K84" s="63"/>
      <c r="L84" s="197">
        <f t="shared" si="12"/>
        <v>0</v>
      </c>
      <c r="M84" s="197">
        <f t="shared" si="13"/>
        <v>0</v>
      </c>
      <c r="N84" s="63">
        <v>0.70000000000000007</v>
      </c>
      <c r="O84" s="174">
        <v>1</v>
      </c>
      <c r="P84" s="304"/>
    </row>
    <row r="85" spans="1:16" s="61" customFormat="1" ht="14.25">
      <c r="A85" s="1757"/>
      <c r="B85" s="1758" t="s">
        <v>836</v>
      </c>
      <c r="C85" s="62" t="s">
        <v>837</v>
      </c>
      <c r="D85" s="64" t="s">
        <v>838</v>
      </c>
      <c r="E85" s="63">
        <v>5</v>
      </c>
      <c r="F85" s="63">
        <v>5</v>
      </c>
      <c r="G85" s="63">
        <f t="shared" si="14"/>
        <v>0.35000000000000003</v>
      </c>
      <c r="H85" s="63"/>
      <c r="I85" s="63">
        <v>5</v>
      </c>
      <c r="J85" s="63">
        <f t="shared" si="15"/>
        <v>0.35000000000000003</v>
      </c>
      <c r="K85" s="63"/>
      <c r="L85" s="197">
        <f t="shared" si="12"/>
        <v>0</v>
      </c>
      <c r="M85" s="197">
        <f t="shared" si="13"/>
        <v>0</v>
      </c>
      <c r="N85" s="63">
        <v>0.35000000000000003</v>
      </c>
      <c r="O85" s="173">
        <v>1</v>
      </c>
      <c r="P85" s="304"/>
    </row>
    <row r="86" spans="1:16" s="61" customFormat="1" ht="14.25">
      <c r="A86" s="1757"/>
      <c r="B86" s="1758"/>
      <c r="C86" s="62" t="s">
        <v>839</v>
      </c>
      <c r="D86" s="64" t="s">
        <v>840</v>
      </c>
      <c r="E86" s="63">
        <v>5</v>
      </c>
      <c r="F86" s="63">
        <v>5</v>
      </c>
      <c r="G86" s="63">
        <f t="shared" si="14"/>
        <v>0.35000000000000003</v>
      </c>
      <c r="H86" s="63"/>
      <c r="I86" s="63">
        <v>5</v>
      </c>
      <c r="J86" s="63">
        <f t="shared" si="15"/>
        <v>0.35000000000000003</v>
      </c>
      <c r="K86" s="63"/>
      <c r="L86" s="197">
        <f t="shared" si="12"/>
        <v>0</v>
      </c>
      <c r="M86" s="197">
        <f t="shared" si="13"/>
        <v>0</v>
      </c>
      <c r="N86" s="63">
        <v>0.35000000000000003</v>
      </c>
      <c r="O86" s="173">
        <v>1</v>
      </c>
      <c r="P86" s="304"/>
    </row>
    <row r="87" spans="1:16" s="61" customFormat="1" ht="14.25">
      <c r="A87" s="1757"/>
      <c r="B87" s="1758"/>
      <c r="C87" s="62" t="s">
        <v>841</v>
      </c>
      <c r="D87" s="64" t="s">
        <v>842</v>
      </c>
      <c r="E87" s="63">
        <v>5</v>
      </c>
      <c r="F87" s="63">
        <v>5</v>
      </c>
      <c r="G87" s="63">
        <f t="shared" si="14"/>
        <v>0.35000000000000003</v>
      </c>
      <c r="H87" s="63"/>
      <c r="I87" s="63">
        <v>5</v>
      </c>
      <c r="J87" s="63">
        <f t="shared" si="15"/>
        <v>0.35000000000000003</v>
      </c>
      <c r="K87" s="63"/>
      <c r="L87" s="197">
        <f t="shared" si="12"/>
        <v>0</v>
      </c>
      <c r="M87" s="197">
        <f t="shared" si="13"/>
        <v>0</v>
      </c>
      <c r="N87" s="63">
        <v>0.35000000000000003</v>
      </c>
      <c r="O87" s="173">
        <v>1</v>
      </c>
      <c r="P87" s="304"/>
    </row>
    <row r="88" spans="1:16" s="61" customFormat="1" ht="14.25">
      <c r="A88" s="1757"/>
      <c r="B88" s="1758"/>
      <c r="C88" s="62" t="s">
        <v>843</v>
      </c>
      <c r="D88" s="64" t="s">
        <v>844</v>
      </c>
      <c r="E88" s="63">
        <v>5</v>
      </c>
      <c r="F88" s="63">
        <v>5</v>
      </c>
      <c r="G88" s="63">
        <f t="shared" si="14"/>
        <v>0.35000000000000003</v>
      </c>
      <c r="H88" s="63"/>
      <c r="I88" s="63">
        <v>5</v>
      </c>
      <c r="J88" s="63">
        <f t="shared" si="15"/>
        <v>0.35000000000000003</v>
      </c>
      <c r="K88" s="63"/>
      <c r="L88" s="197">
        <f t="shared" si="12"/>
        <v>0</v>
      </c>
      <c r="M88" s="197">
        <f t="shared" si="13"/>
        <v>0</v>
      </c>
      <c r="N88" s="63">
        <v>0.35000000000000003</v>
      </c>
      <c r="O88" s="173">
        <v>1</v>
      </c>
      <c r="P88" s="304"/>
    </row>
    <row r="89" spans="1:16" s="61" customFormat="1" ht="27">
      <c r="A89" s="1757"/>
      <c r="B89" s="1758" t="s">
        <v>845</v>
      </c>
      <c r="C89" s="62" t="s">
        <v>846</v>
      </c>
      <c r="D89" s="64" t="s">
        <v>847</v>
      </c>
      <c r="E89" s="63">
        <v>6</v>
      </c>
      <c r="F89" s="63">
        <v>6</v>
      </c>
      <c r="G89" s="63">
        <f t="shared" si="14"/>
        <v>0.42000000000000004</v>
      </c>
      <c r="H89" s="63"/>
      <c r="I89" s="63">
        <v>6</v>
      </c>
      <c r="J89" s="63">
        <f t="shared" si="15"/>
        <v>0.42000000000000004</v>
      </c>
      <c r="K89" s="63"/>
      <c r="L89" s="197">
        <f t="shared" si="12"/>
        <v>0</v>
      </c>
      <c r="M89" s="197">
        <f t="shared" si="13"/>
        <v>0</v>
      </c>
      <c r="N89" s="63">
        <v>0.42000000000000004</v>
      </c>
      <c r="O89" s="173">
        <v>1</v>
      </c>
      <c r="P89" s="304"/>
    </row>
    <row r="90" spans="1:16" s="61" customFormat="1" ht="27">
      <c r="A90" s="1757"/>
      <c r="B90" s="1758"/>
      <c r="C90" s="62" t="s">
        <v>848</v>
      </c>
      <c r="D90" s="64" t="s">
        <v>849</v>
      </c>
      <c r="E90" s="63">
        <v>10</v>
      </c>
      <c r="F90" s="185">
        <v>10</v>
      </c>
      <c r="G90" s="63">
        <f t="shared" si="14"/>
        <v>0.70000000000000007</v>
      </c>
      <c r="H90" s="63"/>
      <c r="I90" s="185">
        <v>10</v>
      </c>
      <c r="J90" s="63">
        <f t="shared" si="15"/>
        <v>0.70000000000000007</v>
      </c>
      <c r="K90" s="63"/>
      <c r="L90" s="197">
        <f t="shared" si="12"/>
        <v>0</v>
      </c>
      <c r="M90" s="197">
        <f t="shared" si="13"/>
        <v>0</v>
      </c>
      <c r="N90" s="63">
        <v>0.70000000000000007</v>
      </c>
      <c r="O90" s="173">
        <v>1</v>
      </c>
      <c r="P90" s="304"/>
    </row>
    <row r="91" spans="1:16" s="61" customFormat="1" ht="27">
      <c r="A91" s="1757"/>
      <c r="B91" s="1758"/>
      <c r="C91" s="62" t="s">
        <v>850</v>
      </c>
      <c r="D91" s="64" t="s">
        <v>851</v>
      </c>
      <c r="E91" s="63">
        <v>4</v>
      </c>
      <c r="F91" s="185">
        <v>4</v>
      </c>
      <c r="G91" s="63">
        <f t="shared" si="14"/>
        <v>0.28000000000000003</v>
      </c>
      <c r="H91" s="63"/>
      <c r="I91" s="185">
        <v>4</v>
      </c>
      <c r="J91" s="63">
        <f t="shared" si="15"/>
        <v>0.28000000000000003</v>
      </c>
      <c r="K91" s="63"/>
      <c r="L91" s="197">
        <f t="shared" si="12"/>
        <v>0</v>
      </c>
      <c r="M91" s="197">
        <f t="shared" si="13"/>
        <v>0</v>
      </c>
      <c r="N91" s="63">
        <v>0.28000000000000003</v>
      </c>
      <c r="O91" s="174">
        <v>1</v>
      </c>
      <c r="P91" s="304"/>
    </row>
    <row r="92" spans="1:16" s="61" customFormat="1" ht="14.25">
      <c r="A92" s="1757"/>
      <c r="B92" s="1758" t="s">
        <v>852</v>
      </c>
      <c r="C92" s="62" t="s">
        <v>853</v>
      </c>
      <c r="D92" s="64" t="s">
        <v>854</v>
      </c>
      <c r="E92" s="63">
        <v>4</v>
      </c>
      <c r="F92" s="63">
        <v>4</v>
      </c>
      <c r="G92" s="63">
        <f t="shared" si="14"/>
        <v>0.28000000000000003</v>
      </c>
      <c r="H92" s="63"/>
      <c r="I92" s="63">
        <v>4</v>
      </c>
      <c r="J92" s="63">
        <f t="shared" si="15"/>
        <v>0.28000000000000003</v>
      </c>
      <c r="K92" s="63"/>
      <c r="L92" s="197">
        <f t="shared" si="12"/>
        <v>0</v>
      </c>
      <c r="M92" s="197">
        <f t="shared" si="13"/>
        <v>0</v>
      </c>
      <c r="N92" s="63">
        <v>0.28000000000000003</v>
      </c>
      <c r="O92" s="173">
        <v>1</v>
      </c>
      <c r="P92" s="304"/>
    </row>
    <row r="93" spans="1:16" s="61" customFormat="1" ht="14.25">
      <c r="A93" s="1757"/>
      <c r="B93" s="1758"/>
      <c r="C93" s="62" t="s">
        <v>855</v>
      </c>
      <c r="D93" s="64" t="s">
        <v>856</v>
      </c>
      <c r="E93" s="63">
        <v>2</v>
      </c>
      <c r="F93" s="63">
        <v>2</v>
      </c>
      <c r="G93" s="63">
        <f t="shared" si="14"/>
        <v>0.14000000000000001</v>
      </c>
      <c r="H93" s="63"/>
      <c r="I93" s="63">
        <v>2</v>
      </c>
      <c r="J93" s="63">
        <f t="shared" si="15"/>
        <v>0.14000000000000001</v>
      </c>
      <c r="K93" s="63"/>
      <c r="L93" s="197">
        <f t="shared" si="12"/>
        <v>0</v>
      </c>
      <c r="M93" s="197">
        <f t="shared" si="13"/>
        <v>0</v>
      </c>
      <c r="N93" s="63">
        <v>0.14000000000000001</v>
      </c>
      <c r="O93" s="173">
        <v>1</v>
      </c>
      <c r="P93" s="304"/>
    </row>
    <row r="94" spans="1:16" s="61" customFormat="1" ht="14.25">
      <c r="A94" s="1757"/>
      <c r="B94" s="1758"/>
      <c r="C94" s="62" t="s">
        <v>857</v>
      </c>
      <c r="D94" s="64" t="s">
        <v>858</v>
      </c>
      <c r="E94" s="63">
        <v>2</v>
      </c>
      <c r="F94" s="63">
        <v>2</v>
      </c>
      <c r="G94" s="63">
        <f t="shared" si="14"/>
        <v>0.14000000000000001</v>
      </c>
      <c r="H94" s="63"/>
      <c r="I94" s="63">
        <v>2</v>
      </c>
      <c r="J94" s="63">
        <f t="shared" si="15"/>
        <v>0.14000000000000001</v>
      </c>
      <c r="K94" s="63"/>
      <c r="L94" s="197">
        <f t="shared" si="12"/>
        <v>0</v>
      </c>
      <c r="M94" s="197">
        <f t="shared" si="13"/>
        <v>0</v>
      </c>
      <c r="N94" s="63">
        <v>0.14000000000000001</v>
      </c>
      <c r="O94" s="173">
        <v>1</v>
      </c>
      <c r="P94" s="304"/>
    </row>
    <row r="95" spans="1:16" s="61" customFormat="1" ht="14.25">
      <c r="A95" s="1757"/>
      <c r="B95" s="1758"/>
      <c r="C95" s="62" t="s">
        <v>859</v>
      </c>
      <c r="D95" s="64" t="s">
        <v>860</v>
      </c>
      <c r="E95" s="63">
        <v>2</v>
      </c>
      <c r="F95" s="63">
        <v>2</v>
      </c>
      <c r="G95" s="63">
        <f t="shared" si="14"/>
        <v>0.14000000000000001</v>
      </c>
      <c r="H95" s="63">
        <f>SUM(F76:F95)*0.07</f>
        <v>7.0000000000000009</v>
      </c>
      <c r="I95" s="63">
        <v>2</v>
      </c>
      <c r="J95" s="63">
        <f t="shared" si="15"/>
        <v>0.14000000000000001</v>
      </c>
      <c r="K95" s="63">
        <f>SUM(I76:I95)*0.07</f>
        <v>7.0000000000000009</v>
      </c>
      <c r="L95" s="197">
        <f t="shared" si="12"/>
        <v>0</v>
      </c>
      <c r="M95" s="197">
        <f t="shared" si="13"/>
        <v>0</v>
      </c>
      <c r="N95" s="63">
        <v>0.14000000000000001</v>
      </c>
      <c r="O95" s="173">
        <v>1</v>
      </c>
      <c r="P95" s="304"/>
    </row>
    <row r="96" spans="1:16" s="61" customFormat="1" ht="54">
      <c r="A96" s="1757" t="s">
        <v>861</v>
      </c>
      <c r="B96" s="1758" t="s">
        <v>862</v>
      </c>
      <c r="C96" s="62" t="s">
        <v>863</v>
      </c>
      <c r="D96" s="64" t="s">
        <v>864</v>
      </c>
      <c r="E96" s="63">
        <v>10</v>
      </c>
      <c r="F96" s="63">
        <v>10</v>
      </c>
      <c r="G96" s="63">
        <f t="shared" ref="G96:G131" si="16">F96*0.05</f>
        <v>0.5</v>
      </c>
      <c r="H96" s="63"/>
      <c r="I96" s="63">
        <v>10</v>
      </c>
      <c r="J96" s="63">
        <f t="shared" ref="J96:J131" si="17">I96*0.05</f>
        <v>0.5</v>
      </c>
      <c r="K96" s="63"/>
      <c r="L96" s="197">
        <f t="shared" si="12"/>
        <v>0</v>
      </c>
      <c r="M96" s="197">
        <f t="shared" si="13"/>
        <v>0</v>
      </c>
      <c r="N96" s="63">
        <v>0.5</v>
      </c>
      <c r="O96" s="173">
        <v>1</v>
      </c>
      <c r="P96" s="304"/>
    </row>
    <row r="97" spans="1:16" s="61" customFormat="1" ht="27.75" customHeight="1">
      <c r="A97" s="1757"/>
      <c r="B97" s="1758"/>
      <c r="C97" s="62" t="s">
        <v>865</v>
      </c>
      <c r="D97" s="64" t="s">
        <v>866</v>
      </c>
      <c r="E97" s="63">
        <v>10</v>
      </c>
      <c r="F97" s="63">
        <v>10</v>
      </c>
      <c r="G97" s="63">
        <f t="shared" si="16"/>
        <v>0.5</v>
      </c>
      <c r="H97" s="63"/>
      <c r="I97" s="63">
        <v>10</v>
      </c>
      <c r="J97" s="63">
        <f t="shared" si="17"/>
        <v>0.5</v>
      </c>
      <c r="K97" s="63"/>
      <c r="L97" s="197">
        <f t="shared" si="12"/>
        <v>0</v>
      </c>
      <c r="M97" s="197">
        <f t="shared" si="13"/>
        <v>0</v>
      </c>
      <c r="N97" s="63">
        <v>0.5</v>
      </c>
      <c r="O97" s="173">
        <v>1</v>
      </c>
      <c r="P97" s="304"/>
    </row>
    <row r="98" spans="1:16" s="61" customFormat="1" ht="27">
      <c r="A98" s="1757"/>
      <c r="B98" s="1758" t="s">
        <v>867</v>
      </c>
      <c r="C98" s="62" t="s">
        <v>868</v>
      </c>
      <c r="D98" s="64" t="s">
        <v>869</v>
      </c>
      <c r="E98" s="63">
        <v>20</v>
      </c>
      <c r="F98" s="63">
        <v>20</v>
      </c>
      <c r="G98" s="63">
        <f t="shared" si="16"/>
        <v>1</v>
      </c>
      <c r="H98" s="63"/>
      <c r="I98" s="63">
        <v>20</v>
      </c>
      <c r="J98" s="63">
        <f t="shared" si="17"/>
        <v>1</v>
      </c>
      <c r="K98" s="63"/>
      <c r="L98" s="197">
        <f t="shared" si="12"/>
        <v>0</v>
      </c>
      <c r="M98" s="197">
        <f t="shared" si="13"/>
        <v>0</v>
      </c>
      <c r="N98" s="63">
        <v>1</v>
      </c>
      <c r="O98" s="173">
        <v>1</v>
      </c>
      <c r="P98" s="304"/>
    </row>
    <row r="99" spans="1:16" s="61" customFormat="1" ht="14.25">
      <c r="A99" s="1757"/>
      <c r="B99" s="1758"/>
      <c r="C99" s="62" t="s">
        <v>870</v>
      </c>
      <c r="D99" s="64" t="s">
        <v>871</v>
      </c>
      <c r="E99" s="63">
        <v>10</v>
      </c>
      <c r="F99" s="63">
        <v>10</v>
      </c>
      <c r="G99" s="63">
        <f t="shared" si="16"/>
        <v>0.5</v>
      </c>
      <c r="H99" s="63"/>
      <c r="I99" s="63">
        <v>10</v>
      </c>
      <c r="J99" s="63">
        <f t="shared" si="17"/>
        <v>0.5</v>
      </c>
      <c r="K99" s="63"/>
      <c r="L99" s="197">
        <f t="shared" ref="L99:L130" si="18">I99-F99</f>
        <v>0</v>
      </c>
      <c r="M99" s="197">
        <f t="shared" ref="M99:M114" si="19">E99-I99</f>
        <v>0</v>
      </c>
      <c r="N99" s="63">
        <v>0.5</v>
      </c>
      <c r="O99" s="173">
        <v>1</v>
      </c>
      <c r="P99" s="304"/>
    </row>
    <row r="100" spans="1:16" s="61" customFormat="1" ht="40.5">
      <c r="A100" s="1757"/>
      <c r="B100" s="1758"/>
      <c r="C100" s="62" t="s">
        <v>872</v>
      </c>
      <c r="D100" s="64" t="s">
        <v>873</v>
      </c>
      <c r="E100" s="63">
        <v>10</v>
      </c>
      <c r="F100" s="63">
        <v>10</v>
      </c>
      <c r="G100" s="63">
        <f t="shared" si="16"/>
        <v>0.5</v>
      </c>
      <c r="H100" s="63"/>
      <c r="I100" s="63">
        <v>10</v>
      </c>
      <c r="J100" s="63">
        <f t="shared" si="17"/>
        <v>0.5</v>
      </c>
      <c r="K100" s="63"/>
      <c r="L100" s="197">
        <f t="shared" si="18"/>
        <v>0</v>
      </c>
      <c r="M100" s="197">
        <f t="shared" si="19"/>
        <v>0</v>
      </c>
      <c r="N100" s="63">
        <v>0.5</v>
      </c>
      <c r="O100" s="174">
        <v>1</v>
      </c>
      <c r="P100" s="304"/>
    </row>
    <row r="101" spans="1:16" s="61" customFormat="1" ht="27">
      <c r="A101" s="1757"/>
      <c r="B101" s="1758"/>
      <c r="C101" s="62" t="s">
        <v>874</v>
      </c>
      <c r="D101" s="64" t="s">
        <v>875</v>
      </c>
      <c r="E101" s="63">
        <v>10</v>
      </c>
      <c r="F101" s="63">
        <v>10</v>
      </c>
      <c r="G101" s="63">
        <f t="shared" si="16"/>
        <v>0.5</v>
      </c>
      <c r="H101" s="63"/>
      <c r="I101" s="63">
        <v>10</v>
      </c>
      <c r="J101" s="63">
        <f t="shared" si="17"/>
        <v>0.5</v>
      </c>
      <c r="K101" s="63"/>
      <c r="L101" s="197">
        <f t="shared" si="18"/>
        <v>0</v>
      </c>
      <c r="M101" s="197">
        <f t="shared" si="19"/>
        <v>0</v>
      </c>
      <c r="N101" s="63">
        <v>0.5</v>
      </c>
      <c r="O101" s="173">
        <v>1</v>
      </c>
      <c r="P101" s="304"/>
    </row>
    <row r="102" spans="1:16" s="61" customFormat="1" ht="14.25">
      <c r="A102" s="1757"/>
      <c r="B102" s="1758" t="s">
        <v>876</v>
      </c>
      <c r="C102" s="72" t="s">
        <v>877</v>
      </c>
      <c r="D102" s="71" t="s">
        <v>878</v>
      </c>
      <c r="E102" s="63">
        <v>10</v>
      </c>
      <c r="F102" s="63">
        <v>10</v>
      </c>
      <c r="G102" s="63">
        <f t="shared" si="16"/>
        <v>0.5</v>
      </c>
      <c r="H102" s="63"/>
      <c r="I102" s="63">
        <v>10</v>
      </c>
      <c r="J102" s="63">
        <f t="shared" si="17"/>
        <v>0.5</v>
      </c>
      <c r="K102" s="63"/>
      <c r="L102" s="197">
        <f t="shared" si="18"/>
        <v>0</v>
      </c>
      <c r="M102" s="197">
        <f t="shared" si="19"/>
        <v>0</v>
      </c>
      <c r="N102" s="63">
        <v>0.5</v>
      </c>
      <c r="O102" s="173">
        <v>1</v>
      </c>
      <c r="P102" s="304"/>
    </row>
    <row r="103" spans="1:16" s="61" customFormat="1" ht="14.25">
      <c r="A103" s="1757"/>
      <c r="B103" s="1758"/>
      <c r="C103" s="62" t="s">
        <v>879</v>
      </c>
      <c r="D103" s="181" t="s">
        <v>880</v>
      </c>
      <c r="E103" s="63">
        <v>10</v>
      </c>
      <c r="F103" s="185">
        <v>5</v>
      </c>
      <c r="G103" s="63">
        <f t="shared" si="16"/>
        <v>0.25</v>
      </c>
      <c r="H103" s="63"/>
      <c r="I103" s="185">
        <v>5</v>
      </c>
      <c r="J103" s="63">
        <f t="shared" si="17"/>
        <v>0.25</v>
      </c>
      <c r="K103" s="63"/>
      <c r="L103" s="197">
        <f t="shared" si="18"/>
        <v>0</v>
      </c>
      <c r="M103" s="197">
        <f t="shared" si="19"/>
        <v>5</v>
      </c>
      <c r="N103" s="63">
        <v>0.5</v>
      </c>
      <c r="O103" s="174">
        <v>1</v>
      </c>
      <c r="P103" s="304"/>
    </row>
    <row r="104" spans="1:16" s="61" customFormat="1" ht="27">
      <c r="A104" s="1757"/>
      <c r="B104" s="1758"/>
      <c r="C104" s="62" t="s">
        <v>881</v>
      </c>
      <c r="D104" s="64" t="s">
        <v>882</v>
      </c>
      <c r="E104" s="63">
        <v>10</v>
      </c>
      <c r="F104" s="63">
        <v>10</v>
      </c>
      <c r="G104" s="63">
        <f t="shared" si="16"/>
        <v>0.5</v>
      </c>
      <c r="H104" s="63">
        <f>SUM(F96:F104)*0.05</f>
        <v>4.75</v>
      </c>
      <c r="I104" s="63">
        <v>10</v>
      </c>
      <c r="J104" s="63">
        <f t="shared" si="17"/>
        <v>0.5</v>
      </c>
      <c r="K104" s="63">
        <f>SUM(I96:I104)*0.05</f>
        <v>4.75</v>
      </c>
      <c r="L104" s="197">
        <f t="shared" si="18"/>
        <v>0</v>
      </c>
      <c r="M104" s="197">
        <f t="shared" si="19"/>
        <v>0</v>
      </c>
      <c r="N104" s="63">
        <v>0.5</v>
      </c>
      <c r="O104" s="173">
        <v>1</v>
      </c>
      <c r="P104" s="304"/>
    </row>
    <row r="105" spans="1:16" s="61" customFormat="1" ht="27">
      <c r="A105" s="1757" t="s">
        <v>883</v>
      </c>
      <c r="B105" s="1758" t="s">
        <v>884</v>
      </c>
      <c r="C105" s="62" t="s">
        <v>885</v>
      </c>
      <c r="D105" s="64" t="s">
        <v>886</v>
      </c>
      <c r="E105" s="63">
        <v>10</v>
      </c>
      <c r="F105" s="63">
        <v>10</v>
      </c>
      <c r="G105" s="63">
        <f t="shared" si="16"/>
        <v>0.5</v>
      </c>
      <c r="H105" s="63"/>
      <c r="I105" s="63">
        <v>10</v>
      </c>
      <c r="J105" s="63">
        <f t="shared" si="17"/>
        <v>0.5</v>
      </c>
      <c r="K105" s="63"/>
      <c r="L105" s="197">
        <f t="shared" si="18"/>
        <v>0</v>
      </c>
      <c r="M105" s="197">
        <f t="shared" si="19"/>
        <v>0</v>
      </c>
      <c r="N105" s="63">
        <v>0.5</v>
      </c>
      <c r="O105" s="173">
        <v>1</v>
      </c>
      <c r="P105" s="304"/>
    </row>
    <row r="106" spans="1:16" s="61" customFormat="1" ht="40.5">
      <c r="A106" s="1757"/>
      <c r="B106" s="1758"/>
      <c r="C106" s="62" t="s">
        <v>887</v>
      </c>
      <c r="D106" s="64" t="s">
        <v>888</v>
      </c>
      <c r="E106" s="63">
        <v>5</v>
      </c>
      <c r="F106" s="63">
        <v>5</v>
      </c>
      <c r="G106" s="63">
        <f t="shared" si="16"/>
        <v>0.25</v>
      </c>
      <c r="H106" s="63"/>
      <c r="I106" s="63">
        <v>5</v>
      </c>
      <c r="J106" s="63">
        <f t="shared" si="17"/>
        <v>0.25</v>
      </c>
      <c r="K106" s="63"/>
      <c r="L106" s="197">
        <f t="shared" si="18"/>
        <v>0</v>
      </c>
      <c r="M106" s="197">
        <f t="shared" si="19"/>
        <v>0</v>
      </c>
      <c r="N106" s="63">
        <v>0.25</v>
      </c>
      <c r="O106" s="173">
        <v>1</v>
      </c>
      <c r="P106" s="304"/>
    </row>
    <row r="107" spans="1:16" s="61" customFormat="1" ht="27">
      <c r="A107" s="1757"/>
      <c r="B107" s="1758"/>
      <c r="C107" s="62" t="s">
        <v>889</v>
      </c>
      <c r="D107" s="64" t="s">
        <v>890</v>
      </c>
      <c r="E107" s="63">
        <v>5</v>
      </c>
      <c r="F107" s="63">
        <v>5</v>
      </c>
      <c r="G107" s="63">
        <f t="shared" si="16"/>
        <v>0.25</v>
      </c>
      <c r="H107" s="63"/>
      <c r="I107" s="63">
        <v>5</v>
      </c>
      <c r="J107" s="63">
        <f t="shared" si="17"/>
        <v>0.25</v>
      </c>
      <c r="K107" s="63"/>
      <c r="L107" s="197">
        <f t="shared" si="18"/>
        <v>0</v>
      </c>
      <c r="M107" s="197">
        <f t="shared" si="19"/>
        <v>0</v>
      </c>
      <c r="N107" s="63">
        <v>0.25</v>
      </c>
      <c r="O107" s="173">
        <v>1</v>
      </c>
      <c r="P107" s="304"/>
    </row>
    <row r="108" spans="1:16" s="61" customFormat="1" ht="27">
      <c r="A108" s="1757"/>
      <c r="B108" s="1758" t="s">
        <v>891</v>
      </c>
      <c r="C108" s="62" t="s">
        <v>892</v>
      </c>
      <c r="D108" s="64" t="s">
        <v>893</v>
      </c>
      <c r="E108" s="63">
        <v>5</v>
      </c>
      <c r="F108" s="63"/>
      <c r="G108" s="63">
        <f t="shared" si="16"/>
        <v>0</v>
      </c>
      <c r="H108" s="63"/>
      <c r="I108" s="63"/>
      <c r="J108" s="63">
        <f t="shared" si="17"/>
        <v>0</v>
      </c>
      <c r="K108" s="63"/>
      <c r="L108" s="197">
        <f t="shared" si="18"/>
        <v>0</v>
      </c>
      <c r="M108" s="197">
        <f t="shared" si="19"/>
        <v>5</v>
      </c>
      <c r="N108" s="63">
        <v>0</v>
      </c>
      <c r="O108" s="173">
        <v>1</v>
      </c>
      <c r="P108" s="304"/>
    </row>
    <row r="109" spans="1:16" s="61" customFormat="1" ht="27">
      <c r="A109" s="1757"/>
      <c r="B109" s="1758"/>
      <c r="C109" s="62" t="s">
        <v>894</v>
      </c>
      <c r="D109" s="64" t="s">
        <v>895</v>
      </c>
      <c r="E109" s="63">
        <v>10</v>
      </c>
      <c r="F109" s="63"/>
      <c r="G109" s="63">
        <f t="shared" si="16"/>
        <v>0</v>
      </c>
      <c r="H109" s="63"/>
      <c r="I109" s="63"/>
      <c r="J109" s="63">
        <f t="shared" si="17"/>
        <v>0</v>
      </c>
      <c r="K109" s="63"/>
      <c r="L109" s="197">
        <f t="shared" si="18"/>
        <v>0</v>
      </c>
      <c r="M109" s="197">
        <f t="shared" si="19"/>
        <v>10</v>
      </c>
      <c r="N109" s="63">
        <v>0</v>
      </c>
      <c r="O109" s="173">
        <v>1</v>
      </c>
      <c r="P109" s="304"/>
    </row>
    <row r="110" spans="1:16" s="61" customFormat="1" ht="27">
      <c r="A110" s="1757"/>
      <c r="B110" s="1758"/>
      <c r="C110" s="62" t="s">
        <v>896</v>
      </c>
      <c r="D110" s="64" t="s">
        <v>897</v>
      </c>
      <c r="E110" s="63">
        <v>10</v>
      </c>
      <c r="F110" s="63"/>
      <c r="G110" s="63">
        <f t="shared" si="16"/>
        <v>0</v>
      </c>
      <c r="H110" s="63"/>
      <c r="I110" s="63"/>
      <c r="J110" s="63">
        <f t="shared" si="17"/>
        <v>0</v>
      </c>
      <c r="K110" s="63"/>
      <c r="L110" s="197">
        <f t="shared" si="18"/>
        <v>0</v>
      </c>
      <c r="M110" s="197">
        <f t="shared" si="19"/>
        <v>10</v>
      </c>
      <c r="N110" s="63">
        <v>0</v>
      </c>
      <c r="O110" s="173">
        <v>1</v>
      </c>
      <c r="P110" s="304"/>
    </row>
    <row r="111" spans="1:16" s="61" customFormat="1" ht="14.25">
      <c r="A111" s="1757"/>
      <c r="B111" s="1758"/>
      <c r="C111" s="62" t="s">
        <v>898</v>
      </c>
      <c r="D111" s="64" t="s">
        <v>899</v>
      </c>
      <c r="E111" s="63">
        <v>10</v>
      </c>
      <c r="F111" s="63"/>
      <c r="G111" s="63">
        <f t="shared" si="16"/>
        <v>0</v>
      </c>
      <c r="H111" s="63"/>
      <c r="I111" s="63"/>
      <c r="J111" s="63">
        <f t="shared" si="17"/>
        <v>0</v>
      </c>
      <c r="K111" s="63"/>
      <c r="L111" s="197">
        <f t="shared" si="18"/>
        <v>0</v>
      </c>
      <c r="M111" s="197">
        <f t="shared" si="19"/>
        <v>10</v>
      </c>
      <c r="N111" s="63">
        <v>0</v>
      </c>
      <c r="O111" s="173">
        <v>1</v>
      </c>
      <c r="P111" s="304"/>
    </row>
    <row r="112" spans="1:16" s="61" customFormat="1" ht="14.25">
      <c r="A112" s="1757"/>
      <c r="B112" s="1758"/>
      <c r="C112" s="62" t="s">
        <v>900</v>
      </c>
      <c r="D112" s="64" t="s">
        <v>901</v>
      </c>
      <c r="E112" s="63">
        <v>5</v>
      </c>
      <c r="F112" s="63"/>
      <c r="G112" s="63">
        <f t="shared" si="16"/>
        <v>0</v>
      </c>
      <c r="H112" s="63"/>
      <c r="I112" s="63"/>
      <c r="J112" s="63">
        <f t="shared" si="17"/>
        <v>0</v>
      </c>
      <c r="K112" s="63"/>
      <c r="L112" s="197">
        <f t="shared" si="18"/>
        <v>0</v>
      </c>
      <c r="M112" s="197">
        <f t="shared" si="19"/>
        <v>5</v>
      </c>
      <c r="N112" s="63">
        <v>0</v>
      </c>
      <c r="O112" s="173">
        <v>1</v>
      </c>
      <c r="P112" s="304"/>
    </row>
    <row r="113" spans="1:16" s="61" customFormat="1" ht="40.5">
      <c r="A113" s="1757"/>
      <c r="B113" s="1758"/>
      <c r="C113" s="62" t="s">
        <v>902</v>
      </c>
      <c r="D113" s="64" t="s">
        <v>903</v>
      </c>
      <c r="E113" s="63">
        <v>10</v>
      </c>
      <c r="F113" s="63"/>
      <c r="G113" s="63">
        <f t="shared" si="16"/>
        <v>0</v>
      </c>
      <c r="H113" s="63"/>
      <c r="I113" s="63"/>
      <c r="J113" s="63">
        <f t="shared" si="17"/>
        <v>0</v>
      </c>
      <c r="K113" s="63"/>
      <c r="L113" s="197">
        <f t="shared" si="18"/>
        <v>0</v>
      </c>
      <c r="M113" s="197">
        <f t="shared" si="19"/>
        <v>10</v>
      </c>
      <c r="N113" s="63">
        <v>0</v>
      </c>
      <c r="O113" s="173">
        <v>1</v>
      </c>
      <c r="P113" s="304"/>
    </row>
    <row r="114" spans="1:16" s="61" customFormat="1" ht="14.25">
      <c r="A114" s="1757"/>
      <c r="B114" s="1758"/>
      <c r="C114" s="62" t="s">
        <v>904</v>
      </c>
      <c r="D114" s="64" t="s">
        <v>905</v>
      </c>
      <c r="E114" s="63">
        <v>10</v>
      </c>
      <c r="F114" s="63"/>
      <c r="G114" s="63">
        <f t="shared" si="16"/>
        <v>0</v>
      </c>
      <c r="H114" s="63"/>
      <c r="I114" s="63"/>
      <c r="J114" s="63">
        <f t="shared" si="17"/>
        <v>0</v>
      </c>
      <c r="K114" s="63"/>
      <c r="L114" s="197">
        <f t="shared" si="18"/>
        <v>0</v>
      </c>
      <c r="M114" s="197">
        <f t="shared" si="19"/>
        <v>10</v>
      </c>
      <c r="N114" s="63">
        <v>0</v>
      </c>
      <c r="O114" s="173">
        <v>1</v>
      </c>
      <c r="P114" s="304"/>
    </row>
    <row r="115" spans="1:16" s="61" customFormat="1" ht="27" customHeight="1">
      <c r="A115" s="1757"/>
      <c r="B115" s="1758"/>
      <c r="C115" s="72" t="s">
        <v>906</v>
      </c>
      <c r="D115" s="71" t="s">
        <v>908</v>
      </c>
      <c r="E115" s="63" t="s">
        <v>907</v>
      </c>
      <c r="F115" s="63">
        <v>60</v>
      </c>
      <c r="G115" s="63">
        <f t="shared" si="16"/>
        <v>3</v>
      </c>
      <c r="H115" s="63"/>
      <c r="I115" s="63">
        <v>60</v>
      </c>
      <c r="J115" s="63">
        <f t="shared" si="17"/>
        <v>3</v>
      </c>
      <c r="K115" s="63"/>
      <c r="L115" s="197">
        <f t="shared" si="18"/>
        <v>0</v>
      </c>
      <c r="M115" s="197"/>
      <c r="N115" s="63">
        <v>3</v>
      </c>
      <c r="O115" s="173">
        <v>1</v>
      </c>
      <c r="P115" s="304"/>
    </row>
    <row r="116" spans="1:16" s="61" customFormat="1" ht="14.25">
      <c r="A116" s="1757"/>
      <c r="B116" s="1758" t="s">
        <v>909</v>
      </c>
      <c r="C116" s="62" t="s">
        <v>910</v>
      </c>
      <c r="D116" s="64" t="s">
        <v>911</v>
      </c>
      <c r="E116" s="63">
        <v>10</v>
      </c>
      <c r="F116" s="63">
        <v>10</v>
      </c>
      <c r="G116" s="63">
        <f t="shared" si="16"/>
        <v>0.5</v>
      </c>
      <c r="H116" s="63"/>
      <c r="I116" s="63">
        <v>10</v>
      </c>
      <c r="J116" s="63">
        <f t="shared" si="17"/>
        <v>0.5</v>
      </c>
      <c r="K116" s="63"/>
      <c r="L116" s="197">
        <f t="shared" si="18"/>
        <v>0</v>
      </c>
      <c r="M116" s="197">
        <f t="shared" ref="M116:M131" si="20">E116-I116</f>
        <v>0</v>
      </c>
      <c r="N116" s="63">
        <v>0.5</v>
      </c>
      <c r="O116" s="173">
        <v>1</v>
      </c>
      <c r="P116" s="304"/>
    </row>
    <row r="117" spans="1:16" s="61" customFormat="1" ht="14.25">
      <c r="A117" s="1757"/>
      <c r="B117" s="1758"/>
      <c r="C117" s="62" t="s">
        <v>912</v>
      </c>
      <c r="D117" s="64" t="s">
        <v>913</v>
      </c>
      <c r="E117" s="63">
        <v>5</v>
      </c>
      <c r="F117" s="63">
        <v>5</v>
      </c>
      <c r="G117" s="63">
        <f t="shared" si="16"/>
        <v>0.25</v>
      </c>
      <c r="H117" s="63"/>
      <c r="I117" s="63">
        <v>5</v>
      </c>
      <c r="J117" s="63">
        <f t="shared" si="17"/>
        <v>0.25</v>
      </c>
      <c r="K117" s="63"/>
      <c r="L117" s="197">
        <f t="shared" si="18"/>
        <v>0</v>
      </c>
      <c r="M117" s="197">
        <f t="shared" si="20"/>
        <v>0</v>
      </c>
      <c r="N117" s="63">
        <v>0.25</v>
      </c>
      <c r="O117" s="173">
        <v>1</v>
      </c>
      <c r="P117" s="304"/>
    </row>
    <row r="118" spans="1:16" s="61" customFormat="1" ht="14.25">
      <c r="A118" s="1757"/>
      <c r="B118" s="1758"/>
      <c r="C118" s="62" t="s">
        <v>914</v>
      </c>
      <c r="D118" s="64" t="s">
        <v>915</v>
      </c>
      <c r="E118" s="63">
        <v>5</v>
      </c>
      <c r="F118" s="63">
        <v>5</v>
      </c>
      <c r="G118" s="63">
        <f t="shared" si="16"/>
        <v>0.25</v>
      </c>
      <c r="H118" s="63">
        <f>SUM(F105:F118)*0.05</f>
        <v>5</v>
      </c>
      <c r="I118" s="63">
        <v>5</v>
      </c>
      <c r="J118" s="63">
        <f t="shared" si="17"/>
        <v>0.25</v>
      </c>
      <c r="K118" s="63">
        <f>SUM(I105:I118)*0.05</f>
        <v>5</v>
      </c>
      <c r="L118" s="197">
        <f t="shared" si="18"/>
        <v>0</v>
      </c>
      <c r="M118" s="197">
        <f t="shared" si="20"/>
        <v>0</v>
      </c>
      <c r="N118" s="63">
        <v>0.25</v>
      </c>
      <c r="O118" s="173">
        <v>1</v>
      </c>
      <c r="P118" s="304"/>
    </row>
    <row r="119" spans="1:16" s="61" customFormat="1" ht="27">
      <c r="A119" s="1757" t="s">
        <v>916</v>
      </c>
      <c r="B119" s="1758" t="s">
        <v>917</v>
      </c>
      <c r="C119" s="62" t="s">
        <v>918</v>
      </c>
      <c r="D119" s="64" t="s">
        <v>919</v>
      </c>
      <c r="E119" s="63">
        <v>5</v>
      </c>
      <c r="F119" s="63">
        <v>5</v>
      </c>
      <c r="G119" s="63">
        <f t="shared" si="16"/>
        <v>0.25</v>
      </c>
      <c r="H119" s="63"/>
      <c r="I119" s="63">
        <v>5</v>
      </c>
      <c r="J119" s="63">
        <f t="shared" si="17"/>
        <v>0.25</v>
      </c>
      <c r="K119" s="63"/>
      <c r="L119" s="197">
        <f t="shared" si="18"/>
        <v>0</v>
      </c>
      <c r="M119" s="197">
        <f t="shared" si="20"/>
        <v>0</v>
      </c>
      <c r="N119" s="63">
        <v>0.25</v>
      </c>
      <c r="O119" s="173">
        <v>1</v>
      </c>
      <c r="P119" s="304"/>
    </row>
    <row r="120" spans="1:16" s="61" customFormat="1" ht="27">
      <c r="A120" s="1757"/>
      <c r="B120" s="1758"/>
      <c r="C120" s="62" t="s">
        <v>920</v>
      </c>
      <c r="D120" s="181" t="s">
        <v>921</v>
      </c>
      <c r="E120" s="63">
        <v>6</v>
      </c>
      <c r="F120" s="63">
        <v>6</v>
      </c>
      <c r="G120" s="63">
        <f t="shared" si="16"/>
        <v>0.30000000000000004</v>
      </c>
      <c r="H120" s="63"/>
      <c r="I120" s="63">
        <v>6</v>
      </c>
      <c r="J120" s="63">
        <f t="shared" si="17"/>
        <v>0.30000000000000004</v>
      </c>
      <c r="K120" s="63"/>
      <c r="L120" s="197">
        <f t="shared" si="18"/>
        <v>0</v>
      </c>
      <c r="M120" s="197">
        <f t="shared" si="20"/>
        <v>0</v>
      </c>
      <c r="N120" s="63">
        <v>0.30000000000000004</v>
      </c>
      <c r="O120" s="173">
        <v>1</v>
      </c>
      <c r="P120" s="304"/>
    </row>
    <row r="121" spans="1:16" s="61" customFormat="1" ht="27">
      <c r="A121" s="1757"/>
      <c r="B121" s="1758"/>
      <c r="C121" s="62" t="s">
        <v>922</v>
      </c>
      <c r="D121" s="64" t="s">
        <v>923</v>
      </c>
      <c r="E121" s="63">
        <v>4</v>
      </c>
      <c r="F121" s="63">
        <v>4</v>
      </c>
      <c r="G121" s="63">
        <f t="shared" si="16"/>
        <v>0.2</v>
      </c>
      <c r="H121" s="63"/>
      <c r="I121" s="63">
        <v>4</v>
      </c>
      <c r="J121" s="63">
        <f t="shared" si="17"/>
        <v>0.2</v>
      </c>
      <c r="K121" s="63"/>
      <c r="L121" s="197">
        <f t="shared" si="18"/>
        <v>0</v>
      </c>
      <c r="M121" s="197">
        <f t="shared" si="20"/>
        <v>0</v>
      </c>
      <c r="N121" s="63">
        <v>0.2</v>
      </c>
      <c r="O121" s="174">
        <v>1</v>
      </c>
      <c r="P121" s="304"/>
    </row>
    <row r="122" spans="1:16" s="61" customFormat="1" ht="14.25">
      <c r="A122" s="1757"/>
      <c r="B122" s="1758"/>
      <c r="C122" s="62" t="s">
        <v>924</v>
      </c>
      <c r="D122" s="64" t="s">
        <v>925</v>
      </c>
      <c r="E122" s="63">
        <v>10</v>
      </c>
      <c r="F122" s="63">
        <v>10</v>
      </c>
      <c r="G122" s="63">
        <f t="shared" si="16"/>
        <v>0.5</v>
      </c>
      <c r="H122" s="63"/>
      <c r="I122" s="63">
        <v>10</v>
      </c>
      <c r="J122" s="63">
        <f t="shared" si="17"/>
        <v>0.5</v>
      </c>
      <c r="K122" s="63"/>
      <c r="L122" s="197">
        <f t="shared" si="18"/>
        <v>0</v>
      </c>
      <c r="M122" s="197">
        <f t="shared" si="20"/>
        <v>0</v>
      </c>
      <c r="N122" s="63">
        <v>0.5</v>
      </c>
      <c r="O122" s="173">
        <v>1</v>
      </c>
      <c r="P122" s="304"/>
    </row>
    <row r="123" spans="1:16" s="61" customFormat="1" ht="27">
      <c r="A123" s="1757"/>
      <c r="B123" s="1758" t="s">
        <v>926</v>
      </c>
      <c r="C123" s="62" t="s">
        <v>927</v>
      </c>
      <c r="D123" s="181" t="s">
        <v>928</v>
      </c>
      <c r="E123" s="63">
        <v>5</v>
      </c>
      <c r="F123" s="185">
        <v>0</v>
      </c>
      <c r="G123" s="63">
        <f t="shared" si="16"/>
        <v>0</v>
      </c>
      <c r="H123" s="63"/>
      <c r="I123" s="185">
        <v>0</v>
      </c>
      <c r="J123" s="63">
        <f t="shared" si="17"/>
        <v>0</v>
      </c>
      <c r="K123" s="63"/>
      <c r="L123" s="197">
        <f t="shared" si="18"/>
        <v>0</v>
      </c>
      <c r="M123" s="197">
        <f t="shared" si="20"/>
        <v>5</v>
      </c>
      <c r="N123" s="63">
        <v>0.25</v>
      </c>
      <c r="O123" s="173">
        <v>1</v>
      </c>
      <c r="P123" s="304"/>
    </row>
    <row r="124" spans="1:16" s="61" customFormat="1" ht="27">
      <c r="A124" s="1757"/>
      <c r="B124" s="1758"/>
      <c r="C124" s="62" t="s">
        <v>929</v>
      </c>
      <c r="D124" s="64" t="s">
        <v>930</v>
      </c>
      <c r="E124" s="63">
        <v>10</v>
      </c>
      <c r="F124" s="63">
        <v>10</v>
      </c>
      <c r="G124" s="63">
        <f t="shared" si="16"/>
        <v>0.5</v>
      </c>
      <c r="H124" s="63"/>
      <c r="I124" s="63">
        <v>10</v>
      </c>
      <c r="J124" s="63">
        <f t="shared" si="17"/>
        <v>0.5</v>
      </c>
      <c r="K124" s="63"/>
      <c r="L124" s="197">
        <f t="shared" si="18"/>
        <v>0</v>
      </c>
      <c r="M124" s="197">
        <f t="shared" si="20"/>
        <v>0</v>
      </c>
      <c r="N124" s="63">
        <v>0.5</v>
      </c>
      <c r="O124" s="173">
        <v>1</v>
      </c>
      <c r="P124" s="304"/>
    </row>
    <row r="125" spans="1:16" s="61" customFormat="1" ht="14.25">
      <c r="A125" s="1757"/>
      <c r="B125" s="1758"/>
      <c r="C125" s="62" t="s">
        <v>931</v>
      </c>
      <c r="D125" s="64" t="s">
        <v>932</v>
      </c>
      <c r="E125" s="63">
        <v>5</v>
      </c>
      <c r="F125" s="63">
        <v>5</v>
      </c>
      <c r="G125" s="63">
        <f t="shared" si="16"/>
        <v>0.25</v>
      </c>
      <c r="H125" s="63"/>
      <c r="I125" s="63">
        <v>5</v>
      </c>
      <c r="J125" s="63">
        <f t="shared" si="17"/>
        <v>0.25</v>
      </c>
      <c r="K125" s="63"/>
      <c r="L125" s="197">
        <f t="shared" si="18"/>
        <v>0</v>
      </c>
      <c r="M125" s="197">
        <f t="shared" si="20"/>
        <v>0</v>
      </c>
      <c r="N125" s="63">
        <v>0.25</v>
      </c>
      <c r="O125" s="173">
        <v>1</v>
      </c>
      <c r="P125" s="304"/>
    </row>
    <row r="126" spans="1:16" s="61" customFormat="1" ht="40.5">
      <c r="A126" s="1757"/>
      <c r="B126" s="73" t="s">
        <v>933</v>
      </c>
      <c r="C126" s="62" t="s">
        <v>934</v>
      </c>
      <c r="D126" s="64" t="s">
        <v>935</v>
      </c>
      <c r="E126" s="63">
        <v>15</v>
      </c>
      <c r="F126" s="63">
        <v>15</v>
      </c>
      <c r="G126" s="63">
        <f t="shared" si="16"/>
        <v>0.75</v>
      </c>
      <c r="H126" s="63"/>
      <c r="I126" s="63">
        <v>15</v>
      </c>
      <c r="J126" s="63">
        <f t="shared" si="17"/>
        <v>0.75</v>
      </c>
      <c r="K126" s="63"/>
      <c r="L126" s="197">
        <f t="shared" si="18"/>
        <v>0</v>
      </c>
      <c r="M126" s="197">
        <f t="shared" si="20"/>
        <v>0</v>
      </c>
      <c r="N126" s="63">
        <v>0.75</v>
      </c>
      <c r="O126" s="173">
        <v>1</v>
      </c>
      <c r="P126" s="304"/>
    </row>
    <row r="127" spans="1:16" s="61" customFormat="1" ht="14.25">
      <c r="A127" s="1757"/>
      <c r="B127" s="1758" t="s">
        <v>936</v>
      </c>
      <c r="C127" s="62" t="s">
        <v>937</v>
      </c>
      <c r="D127" s="64" t="s">
        <v>938</v>
      </c>
      <c r="E127" s="63">
        <v>2</v>
      </c>
      <c r="F127" s="63">
        <v>2</v>
      </c>
      <c r="G127" s="63">
        <f t="shared" si="16"/>
        <v>0.1</v>
      </c>
      <c r="H127" s="63"/>
      <c r="I127" s="63">
        <v>2</v>
      </c>
      <c r="J127" s="63">
        <f t="shared" si="17"/>
        <v>0.1</v>
      </c>
      <c r="K127" s="63"/>
      <c r="L127" s="197">
        <f t="shared" si="18"/>
        <v>0</v>
      </c>
      <c r="M127" s="197">
        <f t="shared" si="20"/>
        <v>0</v>
      </c>
      <c r="N127" s="63">
        <v>0.1</v>
      </c>
      <c r="O127" s="173">
        <v>1</v>
      </c>
      <c r="P127" s="304"/>
    </row>
    <row r="128" spans="1:16" s="61" customFormat="1" ht="27">
      <c r="A128" s="1757"/>
      <c r="B128" s="1758"/>
      <c r="C128" s="62" t="s">
        <v>939</v>
      </c>
      <c r="D128" s="64" t="s">
        <v>940</v>
      </c>
      <c r="E128" s="63">
        <v>8</v>
      </c>
      <c r="F128" s="63">
        <v>8</v>
      </c>
      <c r="G128" s="63">
        <f t="shared" si="16"/>
        <v>0.4</v>
      </c>
      <c r="H128" s="63"/>
      <c r="I128" s="63">
        <v>8</v>
      </c>
      <c r="J128" s="63">
        <f t="shared" si="17"/>
        <v>0.4</v>
      </c>
      <c r="K128" s="63"/>
      <c r="L128" s="197">
        <f t="shared" si="18"/>
        <v>0</v>
      </c>
      <c r="M128" s="197">
        <f t="shared" si="20"/>
        <v>0</v>
      </c>
      <c r="N128" s="63">
        <v>0.4</v>
      </c>
      <c r="O128" s="173">
        <v>1</v>
      </c>
      <c r="P128" s="304"/>
    </row>
    <row r="129" spans="1:16" s="61" customFormat="1" ht="14.25">
      <c r="A129" s="1757"/>
      <c r="B129" s="1758" t="s">
        <v>941</v>
      </c>
      <c r="C129" s="62" t="s">
        <v>942</v>
      </c>
      <c r="D129" s="64" t="s">
        <v>943</v>
      </c>
      <c r="E129" s="63">
        <v>10</v>
      </c>
      <c r="F129" s="63">
        <v>10</v>
      </c>
      <c r="G129" s="63">
        <f t="shared" si="16"/>
        <v>0.5</v>
      </c>
      <c r="H129" s="63"/>
      <c r="I129" s="63">
        <v>10</v>
      </c>
      <c r="J129" s="63">
        <f t="shared" si="17"/>
        <v>0.5</v>
      </c>
      <c r="K129" s="63"/>
      <c r="L129" s="197">
        <f t="shared" si="18"/>
        <v>0</v>
      </c>
      <c r="M129" s="197">
        <f t="shared" si="20"/>
        <v>0</v>
      </c>
      <c r="N129" s="63">
        <v>0.5</v>
      </c>
      <c r="O129" s="173">
        <v>1</v>
      </c>
      <c r="P129" s="304"/>
    </row>
    <row r="130" spans="1:16" s="61" customFormat="1" ht="14.25">
      <c r="A130" s="1757"/>
      <c r="B130" s="1758"/>
      <c r="C130" s="62" t="s">
        <v>944</v>
      </c>
      <c r="D130" s="64" t="s">
        <v>945</v>
      </c>
      <c r="E130" s="63">
        <v>10</v>
      </c>
      <c r="F130" s="63">
        <v>10</v>
      </c>
      <c r="G130" s="63">
        <f t="shared" si="16"/>
        <v>0.5</v>
      </c>
      <c r="H130" s="63"/>
      <c r="I130" s="63">
        <v>10</v>
      </c>
      <c r="J130" s="63">
        <f t="shared" si="17"/>
        <v>0.5</v>
      </c>
      <c r="K130" s="63"/>
      <c r="L130" s="197">
        <f t="shared" si="18"/>
        <v>0</v>
      </c>
      <c r="M130" s="197">
        <f t="shared" si="20"/>
        <v>0</v>
      </c>
      <c r="N130" s="63">
        <v>0.5</v>
      </c>
      <c r="O130" s="173">
        <v>1</v>
      </c>
      <c r="P130" s="304"/>
    </row>
    <row r="131" spans="1:16" s="61" customFormat="1" ht="27">
      <c r="A131" s="1757"/>
      <c r="B131" s="1758"/>
      <c r="C131" s="62" t="s">
        <v>946</v>
      </c>
      <c r="D131" s="64" t="s">
        <v>947</v>
      </c>
      <c r="E131" s="63">
        <v>10</v>
      </c>
      <c r="F131" s="63">
        <v>10</v>
      </c>
      <c r="G131" s="63">
        <f t="shared" si="16"/>
        <v>0.5</v>
      </c>
      <c r="H131" s="63">
        <f>SUM(F119:F131)*0.05</f>
        <v>4.75</v>
      </c>
      <c r="I131" s="63">
        <v>10</v>
      </c>
      <c r="J131" s="63">
        <f t="shared" si="17"/>
        <v>0.5</v>
      </c>
      <c r="K131" s="63">
        <f>SUM(I119:I131)*0.05</f>
        <v>4.75</v>
      </c>
      <c r="L131" s="197">
        <f>I131-F131</f>
        <v>0</v>
      </c>
      <c r="M131" s="197">
        <f t="shared" si="20"/>
        <v>0</v>
      </c>
      <c r="N131" s="63">
        <v>0.5</v>
      </c>
      <c r="O131" s="173">
        <v>1</v>
      </c>
      <c r="P131" s="304"/>
    </row>
    <row r="132" spans="1:16" ht="27" customHeight="1">
      <c r="A132" s="1758" t="s">
        <v>948</v>
      </c>
      <c r="B132" s="1759" t="s">
        <v>949</v>
      </c>
      <c r="C132" s="1759"/>
      <c r="D132" s="1759"/>
      <c r="E132" s="1759"/>
      <c r="F132" s="74"/>
      <c r="G132" s="74"/>
      <c r="H132" s="74"/>
      <c r="I132" s="180"/>
      <c r="J132" s="74"/>
      <c r="K132" s="74"/>
      <c r="L132" s="182"/>
      <c r="M132" s="182"/>
    </row>
    <row r="133" spans="1:16" ht="27" customHeight="1">
      <c r="A133" s="1758"/>
      <c r="B133" s="1759" t="s">
        <v>950</v>
      </c>
      <c r="C133" s="1759"/>
      <c r="D133" s="1759"/>
      <c r="E133" s="1759"/>
      <c r="F133" s="74"/>
      <c r="G133" s="74"/>
      <c r="H133" s="74"/>
      <c r="I133" s="180"/>
      <c r="J133" s="74"/>
      <c r="K133" s="74"/>
      <c r="L133" s="182"/>
      <c r="M133" s="182"/>
    </row>
    <row r="134" spans="1:16" ht="27" customHeight="1">
      <c r="A134" s="1758"/>
      <c r="B134" s="1759" t="s">
        <v>951</v>
      </c>
      <c r="C134" s="1759"/>
      <c r="D134" s="1759"/>
      <c r="E134" s="1759"/>
      <c r="F134" s="74"/>
      <c r="G134" s="74"/>
      <c r="H134" s="74"/>
      <c r="I134" s="180"/>
      <c r="J134" s="74"/>
      <c r="K134" s="74"/>
      <c r="L134" s="182"/>
      <c r="M134" s="182"/>
    </row>
    <row r="135" spans="1:16" ht="27" customHeight="1">
      <c r="A135" s="1758"/>
      <c r="B135" s="1759" t="s">
        <v>952</v>
      </c>
      <c r="C135" s="1759"/>
      <c r="D135" s="1759"/>
      <c r="E135" s="1759"/>
      <c r="F135" s="74"/>
      <c r="G135" s="74"/>
      <c r="H135" s="74"/>
      <c r="I135" s="180"/>
      <c r="J135" s="74"/>
      <c r="K135" s="74"/>
      <c r="L135" s="182"/>
      <c r="M135" s="182"/>
    </row>
    <row r="136" spans="1:16" ht="13.5">
      <c r="A136" s="1758"/>
      <c r="B136" s="1759" t="s">
        <v>953</v>
      </c>
      <c r="C136" s="1759"/>
      <c r="D136" s="1759"/>
      <c r="E136" s="1759"/>
      <c r="F136" s="74"/>
      <c r="G136" s="74"/>
      <c r="H136" s="74"/>
      <c r="I136" s="180"/>
      <c r="J136" s="74"/>
      <c r="K136" s="74"/>
      <c r="L136" s="182"/>
      <c r="M136" s="182"/>
    </row>
    <row r="137" spans="1:16" ht="13.5">
      <c r="B137" s="252" t="s">
        <v>1613</v>
      </c>
      <c r="F137" s="115"/>
      <c r="G137" s="115" t="s">
        <v>1423</v>
      </c>
      <c r="H137" s="184">
        <f>SUM(H3:H136)</f>
        <v>90.1</v>
      </c>
      <c r="I137" s="115"/>
      <c r="J137" s="115"/>
      <c r="K137" s="251">
        <f>SUM(K3:K136)</f>
        <v>90.1</v>
      </c>
      <c r="N137" s="116"/>
    </row>
    <row r="138" spans="1:16" ht="13.5">
      <c r="B138" s="252" t="s">
        <v>1612</v>
      </c>
      <c r="H138" s="184">
        <f>100-H137</f>
        <v>9.9000000000000057</v>
      </c>
      <c r="K138" s="250">
        <f>100-K137</f>
        <v>9.9000000000000057</v>
      </c>
    </row>
    <row r="139" spans="1:16" ht="13.5">
      <c r="H139" s="184"/>
      <c r="K139" s="184"/>
    </row>
    <row r="140" spans="1:16" ht="13.5">
      <c r="F140" s="183" t="s">
        <v>1411</v>
      </c>
      <c r="H140" s="184">
        <f>SUMPRODUCT(G3:G131,O3:O131)</f>
        <v>90.099999999999937</v>
      </c>
      <c r="K140" s="184">
        <f>SUMPRODUCT(J3:J131,O3:O131)</f>
        <v>90.099999999999937</v>
      </c>
    </row>
    <row r="141" spans="1:16" ht="13.5">
      <c r="F141" s="183" t="s">
        <v>1288</v>
      </c>
      <c r="H141" s="184">
        <f>SUMPRODUCT(N3:N131,O3:O131)</f>
        <v>98.049999999999955</v>
      </c>
      <c r="K141" s="184">
        <f>SUMPRODUCT(N3:N131,O3:O131)</f>
        <v>98.049999999999955</v>
      </c>
    </row>
    <row r="145" spans="1:1" ht="13.5">
      <c r="A145" s="267" t="s">
        <v>1611</v>
      </c>
    </row>
    <row r="146" spans="1:1" ht="13.5">
      <c r="A146" s="277" t="s">
        <v>1655</v>
      </c>
    </row>
  </sheetData>
  <mergeCells count="52">
    <mergeCell ref="B136:E136"/>
    <mergeCell ref="A119:A131"/>
    <mergeCell ref="B119:B122"/>
    <mergeCell ref="B123:B125"/>
    <mergeCell ref="B127:B128"/>
    <mergeCell ref="B129:B131"/>
    <mergeCell ref="A132:A136"/>
    <mergeCell ref="B132:E132"/>
    <mergeCell ref="B133:E133"/>
    <mergeCell ref="B134:E134"/>
    <mergeCell ref="B135:E135"/>
    <mergeCell ref="A96:A104"/>
    <mergeCell ref="B96:B97"/>
    <mergeCell ref="B98:B101"/>
    <mergeCell ref="B102:B104"/>
    <mergeCell ref="A105:A118"/>
    <mergeCell ref="B105:B107"/>
    <mergeCell ref="B108:B115"/>
    <mergeCell ref="B116:B118"/>
    <mergeCell ref="B72:B74"/>
    <mergeCell ref="A76:A95"/>
    <mergeCell ref="B76:B79"/>
    <mergeCell ref="B80:B81"/>
    <mergeCell ref="B82:B84"/>
    <mergeCell ref="B85:B88"/>
    <mergeCell ref="B89:B91"/>
    <mergeCell ref="B92:B95"/>
    <mergeCell ref="A61:A75"/>
    <mergeCell ref="B61:B64"/>
    <mergeCell ref="B65:B66"/>
    <mergeCell ref="B67:B68"/>
    <mergeCell ref="B69:B71"/>
    <mergeCell ref="A44:A60"/>
    <mergeCell ref="B44:B47"/>
    <mergeCell ref="B48:B51"/>
    <mergeCell ref="B52:B56"/>
    <mergeCell ref="B57:B60"/>
    <mergeCell ref="A26:A43"/>
    <mergeCell ref="B26:B27"/>
    <mergeCell ref="B28:B29"/>
    <mergeCell ref="B30:B32"/>
    <mergeCell ref="B33:B34"/>
    <mergeCell ref="B35:B36"/>
    <mergeCell ref="B37:B39"/>
    <mergeCell ref="B41:B42"/>
    <mergeCell ref="A3:A14"/>
    <mergeCell ref="B3:B4"/>
    <mergeCell ref="B5:B9"/>
    <mergeCell ref="B10:B14"/>
    <mergeCell ref="A15:A25"/>
    <mergeCell ref="B16:B20"/>
    <mergeCell ref="B21:B25"/>
  </mergeCells>
  <phoneticPr fontId="3" type="noConversion"/>
  <conditionalFormatting sqref="L3:M131">
    <cfRule type="expression" dxfId="70" priority="13">
      <formula>L3&lt;0</formula>
    </cfRule>
  </conditionalFormatting>
  <conditionalFormatting sqref="L3:M131">
    <cfRule type="cellIs" dxfId="69" priority="11" stopIfTrue="1" operator="lessThan">
      <formula>0</formula>
    </cfRule>
    <cfRule type="cellIs" dxfId="68" priority="12" operator="greaterThan">
      <formula>0</formula>
    </cfRule>
  </conditionalFormatting>
  <hyperlinks>
    <hyperlink ref="A145" location="权重!A1" display="权重!A1"/>
    <hyperlink ref="A146" location="目录!A1" display="目录!A1"/>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sheetPr>
    <tabColor theme="7"/>
  </sheetPr>
  <dimension ref="A1:M33"/>
  <sheetViews>
    <sheetView workbookViewId="0">
      <pane xSplit="7" ySplit="2" topLeftCell="H21" activePane="bottomRight" state="frozen"/>
      <selection activeCell="A3" sqref="A3:B3"/>
      <selection pane="topRight" activeCell="A3" sqref="A3:B3"/>
      <selection pane="bottomLeft" activeCell="A3" sqref="A3:B3"/>
      <selection pane="bottomRight" activeCell="J28" sqref="J28"/>
    </sheetView>
  </sheetViews>
  <sheetFormatPr defaultColWidth="9" defaultRowHeight="13.5" outlineLevelCol="1"/>
  <cols>
    <col min="1" max="1" width="23.25" customWidth="1" outlineLevel="1"/>
    <col min="2" max="3" width="9" customWidth="1" outlineLevel="1"/>
    <col min="4" max="4" width="22.625" customWidth="1" outlineLevel="1"/>
    <col min="5" max="5" width="10.875" customWidth="1" outlineLevel="1"/>
    <col min="6" max="6" width="9.875" customWidth="1"/>
    <col min="7" max="7" width="13.75" customWidth="1"/>
    <col min="8" max="8" width="10.875" style="14" customWidth="1"/>
    <col min="9" max="10" width="7" customWidth="1"/>
    <col min="11" max="12" width="6.125" customWidth="1"/>
  </cols>
  <sheetData>
    <row r="1" spans="1:13" s="14" customFormat="1" ht="31.5" customHeight="1">
      <c r="A1" s="269"/>
      <c r="B1" s="269"/>
      <c r="C1" s="269"/>
      <c r="D1" s="269"/>
      <c r="E1" s="269"/>
      <c r="F1" s="269" t="s">
        <v>1015</v>
      </c>
      <c r="G1" s="269"/>
      <c r="H1" s="269"/>
      <c r="I1" s="269"/>
      <c r="J1" s="123"/>
      <c r="K1" s="87"/>
      <c r="L1" s="87"/>
      <c r="M1" s="87"/>
    </row>
    <row r="2" spans="1:13" s="89" customFormat="1" ht="24.75" customHeight="1">
      <c r="A2" s="88" t="s">
        <v>1019</v>
      </c>
      <c r="B2" s="1766" t="s">
        <v>1020</v>
      </c>
      <c r="C2" s="1767"/>
      <c r="D2" s="1767"/>
      <c r="E2" s="1768"/>
      <c r="F2" s="88" t="s">
        <v>1016</v>
      </c>
      <c r="G2" s="88" t="s">
        <v>1017</v>
      </c>
      <c r="H2" s="103" t="s">
        <v>650</v>
      </c>
      <c r="I2" s="88" t="s">
        <v>1018</v>
      </c>
      <c r="J2" s="88" t="s">
        <v>2270</v>
      </c>
      <c r="K2" s="88" t="s">
        <v>2271</v>
      </c>
      <c r="L2" s="253"/>
      <c r="M2" s="280" t="s">
        <v>1657</v>
      </c>
    </row>
    <row r="3" spans="1:13" ht="42" customHeight="1">
      <c r="A3" s="79" t="s">
        <v>1023</v>
      </c>
      <c r="B3" s="1763" t="s">
        <v>1024</v>
      </c>
      <c r="C3" s="1764"/>
      <c r="D3" s="1764"/>
      <c r="E3" s="1765"/>
      <c r="F3" s="1769" t="s">
        <v>1021</v>
      </c>
      <c r="G3" s="90" t="s">
        <v>1022</v>
      </c>
      <c r="H3" s="104" t="s">
        <v>1073</v>
      </c>
      <c r="I3" s="119">
        <v>3</v>
      </c>
      <c r="J3" s="104" t="s">
        <v>2486</v>
      </c>
      <c r="K3" s="104" t="s">
        <v>1073</v>
      </c>
      <c r="L3" s="254"/>
      <c r="M3" s="279" t="e">
        <f>K3-J3</f>
        <v>#VALUE!</v>
      </c>
    </row>
    <row r="4" spans="1:13" ht="39" customHeight="1">
      <c r="A4" s="93" t="s">
        <v>1026</v>
      </c>
      <c r="B4" s="1756" t="s">
        <v>1027</v>
      </c>
      <c r="C4" s="1772"/>
      <c r="D4" s="1772"/>
      <c r="E4" s="1773"/>
      <c r="F4" s="1770"/>
      <c r="G4" s="91" t="s">
        <v>1025</v>
      </c>
      <c r="H4" s="104" t="s">
        <v>1073</v>
      </c>
      <c r="I4" s="92">
        <v>4</v>
      </c>
      <c r="J4" s="104" t="s">
        <v>1080</v>
      </c>
      <c r="K4" s="104" t="s">
        <v>1073</v>
      </c>
      <c r="L4" s="254"/>
      <c r="M4" s="197" t="e">
        <f t="shared" ref="M4:M5" si="0">K4-J4</f>
        <v>#VALUE!</v>
      </c>
    </row>
    <row r="5" spans="1:13" ht="30" customHeight="1">
      <c r="A5" s="93" t="s">
        <v>1029</v>
      </c>
      <c r="B5" s="1674" t="s">
        <v>1030</v>
      </c>
      <c r="C5" s="1774"/>
      <c r="D5" s="1774"/>
      <c r="E5" s="1775"/>
      <c r="F5" s="1770"/>
      <c r="G5" s="1793" t="s">
        <v>1028</v>
      </c>
      <c r="H5" s="1741" t="s">
        <v>1073</v>
      </c>
      <c r="I5" s="1791">
        <v>4</v>
      </c>
      <c r="J5" s="1787" t="s">
        <v>1080</v>
      </c>
      <c r="K5" s="1787" t="s">
        <v>1073</v>
      </c>
      <c r="L5" s="254"/>
      <c r="M5" s="1696" t="e">
        <f t="shared" si="0"/>
        <v>#VALUE!</v>
      </c>
    </row>
    <row r="6" spans="1:13" ht="30" customHeight="1">
      <c r="A6" s="93" t="s">
        <v>1031</v>
      </c>
      <c r="B6" s="1676"/>
      <c r="C6" s="1776"/>
      <c r="D6" s="1776"/>
      <c r="E6" s="1777"/>
      <c r="F6" s="1770"/>
      <c r="G6" s="1794"/>
      <c r="H6" s="1743"/>
      <c r="I6" s="1792"/>
      <c r="J6" s="1787"/>
      <c r="K6" s="1787"/>
      <c r="L6" s="254"/>
      <c r="M6" s="1698"/>
    </row>
    <row r="7" spans="1:13" ht="54" customHeight="1">
      <c r="A7" s="93" t="s">
        <v>1033</v>
      </c>
      <c r="B7" s="1760" t="s">
        <v>1034</v>
      </c>
      <c r="C7" s="1761"/>
      <c r="D7" s="1761"/>
      <c r="E7" s="1762"/>
      <c r="F7" s="1770"/>
      <c r="G7" s="91" t="s">
        <v>1032</v>
      </c>
      <c r="H7" s="105" t="s">
        <v>1074</v>
      </c>
      <c r="I7" s="92">
        <v>4</v>
      </c>
      <c r="J7" s="126">
        <v>4</v>
      </c>
      <c r="K7" s="126">
        <v>4</v>
      </c>
      <c r="L7" s="256"/>
      <c r="M7" s="197">
        <f>J7-K7</f>
        <v>0</v>
      </c>
    </row>
    <row r="8" spans="1:13" ht="30" customHeight="1">
      <c r="A8" s="95" t="s">
        <v>1036</v>
      </c>
      <c r="B8" s="1778" t="s">
        <v>1037</v>
      </c>
      <c r="C8" s="1779"/>
      <c r="D8" s="1779"/>
      <c r="E8" s="1780"/>
      <c r="F8" s="1770"/>
      <c r="G8" s="94" t="s">
        <v>1035</v>
      </c>
      <c r="H8" s="105" t="s">
        <v>1074</v>
      </c>
      <c r="I8" s="120">
        <v>2</v>
      </c>
      <c r="J8" s="126">
        <v>2</v>
      </c>
      <c r="K8" s="126">
        <v>2</v>
      </c>
      <c r="L8" s="256"/>
      <c r="M8" s="197">
        <f t="shared" ref="M8:M20" si="1">J8-K8</f>
        <v>0</v>
      </c>
    </row>
    <row r="9" spans="1:13" ht="30" customHeight="1">
      <c r="A9" s="95" t="s">
        <v>1039</v>
      </c>
      <c r="B9" s="1781" t="s">
        <v>1040</v>
      </c>
      <c r="C9" s="1782"/>
      <c r="D9" s="1782"/>
      <c r="E9" s="1783"/>
      <c r="F9" s="1770"/>
      <c r="G9" s="1793" t="s">
        <v>1038</v>
      </c>
      <c r="H9" s="1791" t="s">
        <v>230</v>
      </c>
      <c r="I9" s="1791">
        <v>3</v>
      </c>
      <c r="J9" s="1788">
        <v>1</v>
      </c>
      <c r="K9" s="1788">
        <v>1</v>
      </c>
      <c r="L9" s="254"/>
      <c r="M9" s="197">
        <f t="shared" si="1"/>
        <v>0</v>
      </c>
    </row>
    <row r="10" spans="1:13" ht="23.25" customHeight="1">
      <c r="A10" s="80" t="s">
        <v>1041</v>
      </c>
      <c r="B10" s="1784"/>
      <c r="C10" s="1785"/>
      <c r="D10" s="1785"/>
      <c r="E10" s="1786"/>
      <c r="F10" s="1771"/>
      <c r="G10" s="1794"/>
      <c r="H10" s="1792"/>
      <c r="I10" s="1792"/>
      <c r="J10" s="1789"/>
      <c r="K10" s="1789"/>
      <c r="L10" s="254"/>
      <c r="M10" s="197">
        <f t="shared" si="1"/>
        <v>0</v>
      </c>
    </row>
    <row r="11" spans="1:13" s="97" customFormat="1" ht="44.1" customHeight="1">
      <c r="A11" s="334" t="s">
        <v>1044</v>
      </c>
      <c r="B11" s="1763" t="s">
        <v>2273</v>
      </c>
      <c r="C11" s="1764"/>
      <c r="D11" s="1764"/>
      <c r="E11" s="1765"/>
      <c r="F11" s="1769" t="s">
        <v>1042</v>
      </c>
      <c r="G11" s="91" t="s">
        <v>1043</v>
      </c>
      <c r="H11" s="105" t="s">
        <v>1074</v>
      </c>
      <c r="I11" s="96">
        <v>5</v>
      </c>
      <c r="J11" s="124">
        <v>4</v>
      </c>
      <c r="K11" s="124">
        <v>4.5</v>
      </c>
      <c r="L11" s="191"/>
      <c r="M11" s="179">
        <f>J11-K11</f>
        <v>-0.5</v>
      </c>
    </row>
    <row r="12" spans="1:13" s="97" customFormat="1" ht="44.1" customHeight="1">
      <c r="A12" s="80" t="s">
        <v>1046</v>
      </c>
      <c r="B12" s="1763" t="s">
        <v>1047</v>
      </c>
      <c r="C12" s="1764"/>
      <c r="D12" s="1764"/>
      <c r="E12" s="1765"/>
      <c r="F12" s="1770"/>
      <c r="G12" s="91" t="s">
        <v>1045</v>
      </c>
      <c r="H12" s="105" t="s">
        <v>1074</v>
      </c>
      <c r="I12" s="96">
        <v>5</v>
      </c>
      <c r="J12" s="127">
        <v>5</v>
      </c>
      <c r="K12" s="127">
        <v>5</v>
      </c>
      <c r="L12" s="255"/>
      <c r="M12" s="197">
        <f t="shared" si="1"/>
        <v>0</v>
      </c>
    </row>
    <row r="13" spans="1:13" s="97" customFormat="1" ht="44.1" customHeight="1">
      <c r="A13" s="80" t="s">
        <v>1049</v>
      </c>
      <c r="B13" s="1763" t="s">
        <v>1050</v>
      </c>
      <c r="C13" s="1764"/>
      <c r="D13" s="1764"/>
      <c r="E13" s="1765"/>
      <c r="F13" s="1770"/>
      <c r="G13" s="91" t="s">
        <v>1048</v>
      </c>
      <c r="H13" s="105" t="s">
        <v>1074</v>
      </c>
      <c r="I13" s="96">
        <v>5</v>
      </c>
      <c r="J13" s="127">
        <v>5</v>
      </c>
      <c r="K13" s="127">
        <v>5</v>
      </c>
      <c r="L13" s="255"/>
      <c r="M13" s="197">
        <f t="shared" si="1"/>
        <v>0</v>
      </c>
    </row>
    <row r="14" spans="1:13" s="97" customFormat="1" ht="47.1" customHeight="1">
      <c r="A14" s="80" t="s">
        <v>1052</v>
      </c>
      <c r="B14" s="1763" t="s">
        <v>1053</v>
      </c>
      <c r="C14" s="1764"/>
      <c r="D14" s="1764"/>
      <c r="E14" s="1765"/>
      <c r="F14" s="1770"/>
      <c r="G14" s="98" t="s">
        <v>1051</v>
      </c>
      <c r="H14" s="105" t="s">
        <v>1074</v>
      </c>
      <c r="I14" s="96">
        <v>10</v>
      </c>
      <c r="J14" s="127">
        <v>10</v>
      </c>
      <c r="K14" s="127">
        <v>10</v>
      </c>
      <c r="L14" s="255"/>
      <c r="M14" s="197">
        <f t="shared" si="1"/>
        <v>0</v>
      </c>
    </row>
    <row r="15" spans="1:13" s="97" customFormat="1" ht="47.1" customHeight="1">
      <c r="A15" s="64" t="s">
        <v>1055</v>
      </c>
      <c r="B15" s="1763" t="s">
        <v>2272</v>
      </c>
      <c r="C15" s="1764"/>
      <c r="D15" s="1764"/>
      <c r="E15" s="1765"/>
      <c r="F15" s="1771"/>
      <c r="G15" s="91" t="s">
        <v>1054</v>
      </c>
      <c r="H15" s="105" t="s">
        <v>1074</v>
      </c>
      <c r="I15" s="96">
        <v>5</v>
      </c>
      <c r="J15" s="124">
        <v>4</v>
      </c>
      <c r="K15" s="124">
        <v>4</v>
      </c>
      <c r="L15" s="255"/>
      <c r="M15" s="197">
        <f t="shared" si="1"/>
        <v>0</v>
      </c>
    </row>
    <row r="16" spans="1:13" ht="84.75" customHeight="1">
      <c r="A16" s="93" t="s">
        <v>1058</v>
      </c>
      <c r="B16" s="1760" t="s">
        <v>1059</v>
      </c>
      <c r="C16" s="1761"/>
      <c r="D16" s="1761"/>
      <c r="E16" s="1762"/>
      <c r="F16" s="1795" t="s">
        <v>1056</v>
      </c>
      <c r="G16" s="99" t="s">
        <v>1057</v>
      </c>
      <c r="H16" s="104" t="s">
        <v>1073</v>
      </c>
      <c r="I16" s="92">
        <v>10</v>
      </c>
      <c r="J16" s="104" t="s">
        <v>1080</v>
      </c>
      <c r="K16" s="104" t="s">
        <v>1073</v>
      </c>
      <c r="L16" s="254"/>
      <c r="M16" s="197" t="e">
        <f t="shared" si="1"/>
        <v>#VALUE!</v>
      </c>
    </row>
    <row r="17" spans="1:13" ht="111" customHeight="1">
      <c r="A17" s="93" t="s">
        <v>1061</v>
      </c>
      <c r="B17" s="1760" t="s">
        <v>1062</v>
      </c>
      <c r="C17" s="1761"/>
      <c r="D17" s="1761"/>
      <c r="E17" s="1762"/>
      <c r="F17" s="1796"/>
      <c r="G17" s="106" t="s">
        <v>1060</v>
      </c>
      <c r="H17" s="105" t="s">
        <v>1074</v>
      </c>
      <c r="I17" s="92">
        <v>10</v>
      </c>
      <c r="J17" s="128">
        <v>10</v>
      </c>
      <c r="K17" s="128">
        <v>10</v>
      </c>
      <c r="L17" s="256"/>
      <c r="M17" s="197">
        <f t="shared" si="1"/>
        <v>0</v>
      </c>
    </row>
    <row r="18" spans="1:13" ht="109.5" customHeight="1">
      <c r="A18" s="93" t="s">
        <v>1064</v>
      </c>
      <c r="B18" s="1760" t="s">
        <v>1065</v>
      </c>
      <c r="C18" s="1761"/>
      <c r="D18" s="1761"/>
      <c r="E18" s="1762"/>
      <c r="F18" s="1796"/>
      <c r="G18" s="106" t="s">
        <v>1063</v>
      </c>
      <c r="H18" s="105" t="s">
        <v>1074</v>
      </c>
      <c r="I18" s="92">
        <v>20</v>
      </c>
      <c r="J18" s="128">
        <v>20</v>
      </c>
      <c r="K18" s="128">
        <v>20</v>
      </c>
      <c r="L18" s="256"/>
      <c r="M18" s="197">
        <f t="shared" si="1"/>
        <v>0</v>
      </c>
    </row>
    <row r="19" spans="1:13" ht="30" customHeight="1">
      <c r="A19" s="93" t="s">
        <v>1067</v>
      </c>
      <c r="B19" s="1760" t="s">
        <v>1068</v>
      </c>
      <c r="C19" s="1761"/>
      <c r="D19" s="1761"/>
      <c r="E19" s="1762"/>
      <c r="F19" s="1796"/>
      <c r="G19" s="99" t="s">
        <v>1066</v>
      </c>
      <c r="H19" s="105" t="s">
        <v>1074</v>
      </c>
      <c r="I19" s="92">
        <v>5</v>
      </c>
      <c r="J19" s="128">
        <v>5</v>
      </c>
      <c r="K19" s="128">
        <v>5</v>
      </c>
      <c r="L19" s="256"/>
      <c r="M19" s="197">
        <f t="shared" si="1"/>
        <v>0</v>
      </c>
    </row>
    <row r="20" spans="1:13" ht="31.5" customHeight="1">
      <c r="A20" s="80" t="s">
        <v>1070</v>
      </c>
      <c r="B20" s="1763" t="s">
        <v>1071</v>
      </c>
      <c r="C20" s="1764"/>
      <c r="D20" s="1764"/>
      <c r="E20" s="1765"/>
      <c r="F20" s="1797"/>
      <c r="G20" s="91" t="s">
        <v>1069</v>
      </c>
      <c r="H20" s="105" t="s">
        <v>1074</v>
      </c>
      <c r="I20" s="96">
        <v>5</v>
      </c>
      <c r="J20" s="128">
        <v>5</v>
      </c>
      <c r="K20" s="128">
        <v>5</v>
      </c>
      <c r="L20" s="256"/>
      <c r="M20" s="197">
        <f t="shared" si="1"/>
        <v>0</v>
      </c>
    </row>
    <row r="21" spans="1:13">
      <c r="A21" s="107"/>
      <c r="B21" s="107"/>
      <c r="C21" s="107"/>
      <c r="D21" s="107"/>
      <c r="E21" s="107"/>
      <c r="F21" s="1790" t="s">
        <v>411</v>
      </c>
      <c r="G21" s="1790"/>
      <c r="H21" s="85"/>
      <c r="I21" s="108">
        <f>SUM(I3:I20)</f>
        <v>100</v>
      </c>
      <c r="J21" s="108">
        <f>SUM(J3:J20)</f>
        <v>75</v>
      </c>
      <c r="K21" s="108">
        <f>SUM(K3:K20)</f>
        <v>75.5</v>
      </c>
      <c r="L21" s="257"/>
    </row>
    <row r="23" spans="1:13">
      <c r="J23" s="110">
        <f>SUBTOTAL(9,J3:J20)</f>
        <v>75</v>
      </c>
      <c r="K23" s="110">
        <f>SUBTOTAL(9,K3:K20)</f>
        <v>75.5</v>
      </c>
      <c r="L23" s="110"/>
    </row>
    <row r="24" spans="1:13" ht="14.25">
      <c r="G24" s="198" t="s">
        <v>229</v>
      </c>
      <c r="J24" s="268">
        <f>J23</f>
        <v>75</v>
      </c>
      <c r="K24" s="268">
        <v>75.5</v>
      </c>
      <c r="L24" s="109"/>
    </row>
    <row r="25" spans="1:13" ht="14.25">
      <c r="G25" s="198" t="s">
        <v>461</v>
      </c>
      <c r="J25" s="268">
        <v>0</v>
      </c>
      <c r="K25" s="268">
        <v>0</v>
      </c>
      <c r="L25" s="109"/>
    </row>
    <row r="26" spans="1:13" ht="14.25">
      <c r="G26" s="198" t="s">
        <v>463</v>
      </c>
      <c r="J26" s="268">
        <v>21</v>
      </c>
      <c r="K26" s="268">
        <v>21</v>
      </c>
      <c r="L26" s="109"/>
    </row>
    <row r="27" spans="1:13" ht="14.25">
      <c r="G27" s="198" t="s">
        <v>462</v>
      </c>
      <c r="J27" s="268">
        <v>0</v>
      </c>
      <c r="K27" s="268">
        <v>0</v>
      </c>
      <c r="L27" s="109"/>
    </row>
    <row r="28" spans="1:13" ht="14.25">
      <c r="G28" s="198" t="s">
        <v>464</v>
      </c>
      <c r="J28" s="268">
        <f>100-SUM(J24:J27)</f>
        <v>4</v>
      </c>
      <c r="K28" s="268">
        <f>100-SUM(K24:K27)</f>
        <v>3.5</v>
      </c>
      <c r="L28" s="109"/>
    </row>
    <row r="32" spans="1:13">
      <c r="F32" s="249" t="s">
        <v>1611</v>
      </c>
    </row>
    <row r="33" spans="6:6">
      <c r="F33" s="277" t="s">
        <v>1655</v>
      </c>
    </row>
  </sheetData>
  <mergeCells count="32">
    <mergeCell ref="M5:M6"/>
    <mergeCell ref="J5:J6"/>
    <mergeCell ref="J9:J10"/>
    <mergeCell ref="F21:G21"/>
    <mergeCell ref="I5:I6"/>
    <mergeCell ref="I9:I10"/>
    <mergeCell ref="H5:H6"/>
    <mergeCell ref="G5:G6"/>
    <mergeCell ref="K5:K6"/>
    <mergeCell ref="H9:H10"/>
    <mergeCell ref="K9:K10"/>
    <mergeCell ref="F16:F20"/>
    <mergeCell ref="G9:G10"/>
    <mergeCell ref="B15:E15"/>
    <mergeCell ref="B2:E2"/>
    <mergeCell ref="F3:F10"/>
    <mergeCell ref="B3:E3"/>
    <mergeCell ref="B4:E4"/>
    <mergeCell ref="B5:E6"/>
    <mergeCell ref="B7:E7"/>
    <mergeCell ref="B8:E8"/>
    <mergeCell ref="B9:E10"/>
    <mergeCell ref="F11:F15"/>
    <mergeCell ref="B11:E11"/>
    <mergeCell ref="B12:E12"/>
    <mergeCell ref="B13:E13"/>
    <mergeCell ref="B14:E14"/>
    <mergeCell ref="B16:E16"/>
    <mergeCell ref="B17:E17"/>
    <mergeCell ref="B18:E18"/>
    <mergeCell ref="B19:E19"/>
    <mergeCell ref="B20:E20"/>
  </mergeCells>
  <phoneticPr fontId="3" type="noConversion"/>
  <conditionalFormatting sqref="M7:M20">
    <cfRule type="expression" dxfId="67" priority="52">
      <formula>M7&lt;0</formula>
    </cfRule>
  </conditionalFormatting>
  <conditionalFormatting sqref="M7:M20">
    <cfRule type="cellIs" dxfId="66" priority="50" stopIfTrue="1" operator="lessThan">
      <formula>0</formula>
    </cfRule>
    <cfRule type="cellIs" dxfId="65" priority="51" operator="greaterThan">
      <formula>0</formula>
    </cfRule>
  </conditionalFormatting>
  <conditionalFormatting sqref="M7:M20">
    <cfRule type="cellIs" dxfId="64" priority="48" operator="lessThan">
      <formula>0</formula>
    </cfRule>
    <cfRule type="cellIs" dxfId="63" priority="49" stopIfTrue="1" operator="greaterThan">
      <formula>0</formula>
    </cfRule>
  </conditionalFormatting>
  <conditionalFormatting sqref="M7:M20">
    <cfRule type="cellIs" dxfId="62" priority="46" operator="lessThan">
      <formula>0</formula>
    </cfRule>
    <cfRule type="cellIs" dxfId="61" priority="47" operator="greaterThan">
      <formula>0</formula>
    </cfRule>
  </conditionalFormatting>
  <conditionalFormatting sqref="M7:M20">
    <cfRule type="cellIs" dxfId="60" priority="44" stopIfTrue="1" operator="lessThan">
      <formula>0</formula>
    </cfRule>
    <cfRule type="cellIs" dxfId="59" priority="45" operator="greaterThan">
      <formula>0</formula>
    </cfRule>
  </conditionalFormatting>
  <conditionalFormatting sqref="M7:M20">
    <cfRule type="cellIs" dxfId="58" priority="42" operator="lessThan">
      <formula>0</formula>
    </cfRule>
    <cfRule type="cellIs" dxfId="57" priority="43" stopIfTrue="1" operator="greaterThan">
      <formula>0</formula>
    </cfRule>
  </conditionalFormatting>
  <conditionalFormatting sqref="M7:M20">
    <cfRule type="cellIs" dxfId="56" priority="40" operator="lessThan">
      <formula>0</formula>
    </cfRule>
    <cfRule type="cellIs" dxfId="55" priority="41" operator="greaterThan">
      <formula>0</formula>
    </cfRule>
  </conditionalFormatting>
  <conditionalFormatting sqref="M17:M20">
    <cfRule type="expression" dxfId="54" priority="39">
      <formula>M17&lt;0</formula>
    </cfRule>
  </conditionalFormatting>
  <conditionalFormatting sqref="M17:M20">
    <cfRule type="cellIs" dxfId="53" priority="37" stopIfTrue="1" operator="lessThan">
      <formula>0</formula>
    </cfRule>
    <cfRule type="cellIs" dxfId="52" priority="38" operator="greaterThan">
      <formula>0</formula>
    </cfRule>
  </conditionalFormatting>
  <conditionalFormatting sqref="M17:M20">
    <cfRule type="cellIs" dxfId="51" priority="35" operator="lessThan">
      <formula>0</formula>
    </cfRule>
    <cfRule type="cellIs" dxfId="50" priority="36" stopIfTrue="1" operator="greaterThan">
      <formula>0</formula>
    </cfRule>
  </conditionalFormatting>
  <conditionalFormatting sqref="M17:M20">
    <cfRule type="cellIs" dxfId="49" priority="33" operator="lessThan">
      <formula>0</formula>
    </cfRule>
    <cfRule type="cellIs" dxfId="48" priority="34" operator="greaterThan">
      <formula>0</formula>
    </cfRule>
  </conditionalFormatting>
  <conditionalFormatting sqref="M17:M20">
    <cfRule type="cellIs" dxfId="47" priority="31" stopIfTrue="1" operator="lessThan">
      <formula>0</formula>
    </cfRule>
    <cfRule type="cellIs" dxfId="46" priority="32" operator="greaterThan">
      <formula>0</formula>
    </cfRule>
  </conditionalFormatting>
  <conditionalFormatting sqref="M17:M20">
    <cfRule type="cellIs" dxfId="45" priority="29" operator="lessThan">
      <formula>0</formula>
    </cfRule>
    <cfRule type="cellIs" dxfId="44" priority="30" stopIfTrue="1" operator="greaterThan">
      <formula>0</formula>
    </cfRule>
  </conditionalFormatting>
  <conditionalFormatting sqref="M17:M20">
    <cfRule type="cellIs" dxfId="43" priority="27" operator="lessThan">
      <formula>0</formula>
    </cfRule>
    <cfRule type="cellIs" dxfId="42" priority="28" operator="greaterThan">
      <formula>0</formula>
    </cfRule>
  </conditionalFormatting>
  <conditionalFormatting sqref="M16">
    <cfRule type="expression" dxfId="41" priority="26">
      <formula>M16&lt;0</formula>
    </cfRule>
  </conditionalFormatting>
  <conditionalFormatting sqref="M16">
    <cfRule type="cellIs" dxfId="40" priority="24" stopIfTrue="1" operator="lessThan">
      <formula>0</formula>
    </cfRule>
    <cfRule type="cellIs" dxfId="39" priority="25" operator="greaterThan">
      <formula>0</formula>
    </cfRule>
  </conditionalFormatting>
  <conditionalFormatting sqref="M16">
    <cfRule type="cellIs" dxfId="38" priority="22" operator="lessThan">
      <formula>0</formula>
    </cfRule>
    <cfRule type="cellIs" dxfId="37" priority="23" stopIfTrue="1" operator="greaterThan">
      <formula>0</formula>
    </cfRule>
  </conditionalFormatting>
  <conditionalFormatting sqref="M16">
    <cfRule type="cellIs" dxfId="36" priority="20" operator="lessThan">
      <formula>0</formula>
    </cfRule>
    <cfRule type="cellIs" dxfId="35" priority="21" operator="greaterThan">
      <formula>0</formula>
    </cfRule>
  </conditionalFormatting>
  <conditionalFormatting sqref="M16">
    <cfRule type="cellIs" dxfId="34" priority="18" stopIfTrue="1" operator="lessThan">
      <formula>0</formula>
    </cfRule>
    <cfRule type="cellIs" dxfId="33" priority="19" operator="greaterThan">
      <formula>0</formula>
    </cfRule>
  </conditionalFormatting>
  <conditionalFormatting sqref="M16">
    <cfRule type="cellIs" dxfId="32" priority="16" operator="lessThan">
      <formula>0</formula>
    </cfRule>
    <cfRule type="cellIs" dxfId="31" priority="17" stopIfTrue="1" operator="greaterThan">
      <formula>0</formula>
    </cfRule>
  </conditionalFormatting>
  <conditionalFormatting sqref="M16">
    <cfRule type="cellIs" dxfId="30" priority="14" operator="lessThan">
      <formula>0</formula>
    </cfRule>
    <cfRule type="cellIs" dxfId="29" priority="15" operator="greaterThan">
      <formula>0</formula>
    </cfRule>
  </conditionalFormatting>
  <conditionalFormatting sqref="M3:M5">
    <cfRule type="expression" dxfId="28" priority="13">
      <formula>M3&lt;0</formula>
    </cfRule>
  </conditionalFormatting>
  <conditionalFormatting sqref="M3:M5">
    <cfRule type="cellIs" dxfId="27" priority="11" stopIfTrue="1" operator="lessThan">
      <formula>0</formula>
    </cfRule>
    <cfRule type="cellIs" dxfId="26" priority="12" operator="greaterThan">
      <formula>0</formula>
    </cfRule>
  </conditionalFormatting>
  <conditionalFormatting sqref="M3:M5">
    <cfRule type="cellIs" dxfId="25" priority="9" operator="lessThan">
      <formula>0</formula>
    </cfRule>
    <cfRule type="cellIs" dxfId="24" priority="10" stopIfTrue="1" operator="greaterThan">
      <formula>0</formula>
    </cfRule>
  </conditionalFormatting>
  <conditionalFormatting sqref="M3:M5">
    <cfRule type="cellIs" dxfId="23" priority="7" operator="lessThan">
      <formula>0</formula>
    </cfRule>
    <cfRule type="cellIs" dxfId="22" priority="8" operator="greaterThan">
      <formula>0</formula>
    </cfRule>
  </conditionalFormatting>
  <conditionalFormatting sqref="M3:M5">
    <cfRule type="cellIs" dxfId="21" priority="5" stopIfTrue="1" operator="lessThan">
      <formula>0</formula>
    </cfRule>
    <cfRule type="cellIs" dxfId="20" priority="6" operator="greaterThan">
      <formula>0</formula>
    </cfRule>
  </conditionalFormatting>
  <conditionalFormatting sqref="M3:M5">
    <cfRule type="cellIs" dxfId="19" priority="3" operator="lessThan">
      <formula>0</formula>
    </cfRule>
    <cfRule type="cellIs" dxfId="18" priority="4" stopIfTrue="1" operator="greaterThan">
      <formula>0</formula>
    </cfRule>
  </conditionalFormatting>
  <conditionalFormatting sqref="M3:M5">
    <cfRule type="cellIs" dxfId="17" priority="1" operator="lessThan">
      <formula>0</formula>
    </cfRule>
    <cfRule type="cellIs" dxfId="16" priority="2" operator="greaterThan">
      <formula>0</formula>
    </cfRule>
  </conditionalFormatting>
  <hyperlinks>
    <hyperlink ref="F32" location="权重!A1" display="权重!A1"/>
    <hyperlink ref="F33" location="目录!A1" display="目录!A1"/>
  </hyperlinks>
  <printOptions horizontalCentered="1"/>
  <pageMargins left="0.43307086614173229" right="0.43307086614173229" top="0.59055118110236227" bottom="0.39370078740157483" header="0.31496062992125984" footer="0.31496062992125984"/>
  <pageSetup paperSize="9" orientation="landscape" r:id="rId1"/>
  <legacyDrawing r:id="rId2"/>
</worksheet>
</file>

<file path=xl/worksheets/sheet25.xml><?xml version="1.0" encoding="utf-8"?>
<worksheet xmlns="http://schemas.openxmlformats.org/spreadsheetml/2006/main" xmlns:r="http://schemas.openxmlformats.org/officeDocument/2006/relationships">
  <sheetPr codeName="Sheet9">
    <tabColor theme="7"/>
  </sheetPr>
  <dimension ref="A1:N47"/>
  <sheetViews>
    <sheetView zoomScale="110" zoomScaleNormal="110" workbookViewId="0">
      <pane xSplit="2" ySplit="2" topLeftCell="C3" activePane="bottomRight" state="frozen"/>
      <selection activeCell="B3" sqref="B3"/>
      <selection pane="topRight" activeCell="B3" sqref="B3"/>
      <selection pane="bottomLeft" activeCell="B3" sqref="B3"/>
      <selection pane="bottomRight" activeCell="D32" sqref="D32"/>
    </sheetView>
  </sheetViews>
  <sheetFormatPr defaultRowHeight="13.5"/>
  <cols>
    <col min="1" max="2" width="11.5" customWidth="1"/>
    <col min="3" max="3" width="7.75" customWidth="1"/>
    <col min="4" max="4" width="8.625" bestFit="1" customWidth="1"/>
    <col min="5" max="5" width="8.5" customWidth="1"/>
    <col min="6" max="7" width="9.5" bestFit="1" customWidth="1"/>
    <col min="8" max="8" width="8" customWidth="1"/>
    <col min="9" max="9" width="8.875" customWidth="1"/>
    <col min="10" max="10" width="7.75" customWidth="1"/>
    <col min="11" max="11" width="8" bestFit="1" customWidth="1"/>
    <col min="12" max="12" width="25.25" customWidth="1"/>
    <col min="13" max="13" width="41.875" style="37" customWidth="1"/>
    <col min="14" max="14" width="27.25" customWidth="1"/>
  </cols>
  <sheetData>
    <row r="1" spans="1:14" ht="24.75">
      <c r="A1" s="1808" t="s">
        <v>1679</v>
      </c>
      <c r="B1" s="1808"/>
      <c r="C1" s="1808"/>
      <c r="D1" s="1808"/>
      <c r="E1" s="336"/>
      <c r="F1" s="305"/>
      <c r="G1" s="305"/>
      <c r="H1" s="305"/>
      <c r="I1" s="308"/>
      <c r="J1" s="307"/>
      <c r="K1" s="307"/>
      <c r="L1" s="307"/>
      <c r="M1" s="306"/>
    </row>
    <row r="2" spans="1:14">
      <c r="A2" s="1809" t="s">
        <v>413</v>
      </c>
      <c r="B2" s="1809"/>
      <c r="C2" s="31" t="s">
        <v>414</v>
      </c>
      <c r="D2" s="1466" t="s">
        <v>2464</v>
      </c>
      <c r="E2" s="1466" t="s">
        <v>2161</v>
      </c>
      <c r="F2" s="1466" t="s">
        <v>2162</v>
      </c>
      <c r="G2" s="1466" t="s">
        <v>2013</v>
      </c>
      <c r="H2" s="1466" t="s">
        <v>2465</v>
      </c>
      <c r="I2" s="1466" t="s">
        <v>2168</v>
      </c>
      <c r="J2" s="1466" t="s">
        <v>2134</v>
      </c>
      <c r="K2" s="1466" t="s">
        <v>2014</v>
      </c>
      <c r="L2" s="31" t="s">
        <v>415</v>
      </c>
      <c r="M2" s="31" t="s">
        <v>416</v>
      </c>
    </row>
    <row r="3" spans="1:14">
      <c r="A3" s="1801" t="s">
        <v>417</v>
      </c>
      <c r="B3" s="1802"/>
      <c r="C3" s="82">
        <v>10</v>
      </c>
      <c r="D3" s="343">
        <v>12821.000000000004</v>
      </c>
      <c r="E3" s="121">
        <v>-126895.5185839998</v>
      </c>
      <c r="F3" s="121">
        <v>134920.519783</v>
      </c>
      <c r="G3" s="121">
        <v>9602</v>
      </c>
      <c r="H3" s="40">
        <f>IF(D3&gt;0,$C$3,0)</f>
        <v>10</v>
      </c>
      <c r="I3" s="40">
        <f>IF(E3&gt;0,$C$3,0)</f>
        <v>0</v>
      </c>
      <c r="J3" s="40">
        <f>IF(F3&gt;0,$C$3,0)</f>
        <v>10</v>
      </c>
      <c r="K3" s="40">
        <f>IF(G3&gt;0,$C$3,0)</f>
        <v>10</v>
      </c>
      <c r="L3" s="34" t="s">
        <v>418</v>
      </c>
      <c r="M3" s="35" t="s">
        <v>419</v>
      </c>
    </row>
    <row r="4" spans="1:14">
      <c r="A4" s="1805" t="s">
        <v>420</v>
      </c>
      <c r="B4" s="32" t="s">
        <v>426</v>
      </c>
      <c r="C4" s="82">
        <v>2</v>
      </c>
      <c r="D4" s="344">
        <v>9150.4461782947474</v>
      </c>
      <c r="E4" s="39">
        <v>44120.393604723125</v>
      </c>
      <c r="F4" s="39">
        <v>4151.3732675207866</v>
      </c>
      <c r="G4" s="39">
        <v>-18025.396416611533</v>
      </c>
      <c r="H4" s="40">
        <f>IF(D4&gt;0,$C$4,0)</f>
        <v>2</v>
      </c>
      <c r="I4" s="40">
        <f>IF(E4&gt;0,$C$4,0)</f>
        <v>2</v>
      </c>
      <c r="J4" s="40">
        <f>IF(F4&gt;0,$C$4,0)</f>
        <v>2</v>
      </c>
      <c r="K4" s="40">
        <f>IF(G4&gt;0,$C$4,0)</f>
        <v>0</v>
      </c>
      <c r="L4" s="1798" t="s">
        <v>421</v>
      </c>
      <c r="M4" s="1810" t="s">
        <v>2147</v>
      </c>
      <c r="N4" s="36"/>
    </row>
    <row r="5" spans="1:14">
      <c r="A5" s="1806"/>
      <c r="B5" s="32" t="s">
        <v>427</v>
      </c>
      <c r="C5" s="82">
        <v>2</v>
      </c>
      <c r="D5" s="344">
        <v>73454.141853420995</v>
      </c>
      <c r="E5" s="39">
        <v>75851.484003261518</v>
      </c>
      <c r="F5" s="39">
        <v>115230.28215347065</v>
      </c>
      <c r="G5" s="39">
        <v>95583.626504319531</v>
      </c>
      <c r="H5" s="40">
        <f>IF(D5&gt;0,$C$5,0)</f>
        <v>2</v>
      </c>
      <c r="I5" s="40">
        <f>IF(E5&gt;0,$C$5,0)</f>
        <v>2</v>
      </c>
      <c r="J5" s="40">
        <f>IF(F5&gt;0,$C$5,0)</f>
        <v>2</v>
      </c>
      <c r="K5" s="40">
        <f>IF(G5&gt;0,$C$5,0)</f>
        <v>2</v>
      </c>
      <c r="L5" s="1799"/>
      <c r="M5" s="1811"/>
      <c r="N5" s="36"/>
    </row>
    <row r="6" spans="1:14">
      <c r="A6" s="1806"/>
      <c r="B6" s="32" t="s">
        <v>428</v>
      </c>
      <c r="C6" s="82">
        <v>2</v>
      </c>
      <c r="D6" s="344">
        <v>74572.405636193755</v>
      </c>
      <c r="E6" s="39">
        <v>65669.676442953729</v>
      </c>
      <c r="F6" s="39">
        <v>74703.812768040923</v>
      </c>
      <c r="G6" s="39">
        <v>113515.45783861028</v>
      </c>
      <c r="H6" s="40">
        <f>IF(D6&gt;0,$C$6,0)</f>
        <v>2</v>
      </c>
      <c r="I6" s="40">
        <f>IF(E6&gt;0,$C$6,0)</f>
        <v>2</v>
      </c>
      <c r="J6" s="40">
        <f>IF(F6&gt;0,$C$6,0)</f>
        <v>2</v>
      </c>
      <c r="K6" s="40">
        <f>IF(G6&gt;0,$C$6,0)</f>
        <v>2</v>
      </c>
      <c r="L6" s="1799"/>
      <c r="M6" s="1811"/>
      <c r="N6" s="36"/>
    </row>
    <row r="7" spans="1:14">
      <c r="A7" s="1806"/>
      <c r="B7" s="32" t="s">
        <v>429</v>
      </c>
      <c r="C7" s="82">
        <v>2</v>
      </c>
      <c r="D7" s="344">
        <v>117314.35327537669</v>
      </c>
      <c r="E7" s="39">
        <v>74251.052421423068</v>
      </c>
      <c r="F7" s="39">
        <v>63654.328741349294</v>
      </c>
      <c r="G7" s="39">
        <v>81758.816802082132</v>
      </c>
      <c r="H7" s="40">
        <f>IF(D7&gt;0,$C$7,0)</f>
        <v>2</v>
      </c>
      <c r="I7" s="40">
        <f>IF(E7&gt;0,$C$7,0)</f>
        <v>2</v>
      </c>
      <c r="J7" s="40">
        <f>IF(F7&gt;0,$C$7,0)</f>
        <v>2</v>
      </c>
      <c r="K7" s="40">
        <f>IF(G7&gt;0,$C$7,0)</f>
        <v>2</v>
      </c>
      <c r="L7" s="1799"/>
      <c r="M7" s="1811"/>
      <c r="N7" s="36"/>
    </row>
    <row r="8" spans="1:14">
      <c r="A8" s="1806"/>
      <c r="B8" s="32" t="s">
        <v>430</v>
      </c>
      <c r="C8" s="82">
        <v>1</v>
      </c>
      <c r="D8" s="344">
        <v>337611.85286890873</v>
      </c>
      <c r="E8" s="39">
        <v>297304.98718889034</v>
      </c>
      <c r="F8" s="39">
        <v>248415.72204374679</v>
      </c>
      <c r="G8" s="121">
        <v>365268.10202554276</v>
      </c>
      <c r="H8" s="40">
        <f>IF(D8&gt;0,$C$8,0)</f>
        <v>1</v>
      </c>
      <c r="I8" s="40">
        <f>IF(E8&gt;0,$C$8,0)</f>
        <v>1</v>
      </c>
      <c r="J8" s="40">
        <f>IF(F8&gt;0,$C$8,0)</f>
        <v>1</v>
      </c>
      <c r="K8" s="40">
        <f>IF(G8&gt;0,$C$8,0)</f>
        <v>1</v>
      </c>
      <c r="L8" s="1799"/>
      <c r="M8" s="1811"/>
      <c r="N8" s="36"/>
    </row>
    <row r="9" spans="1:14">
      <c r="A9" s="1807"/>
      <c r="B9" s="32" t="s">
        <v>431</v>
      </c>
      <c r="C9" s="82">
        <v>1</v>
      </c>
      <c r="D9" s="344">
        <v>381272.41879056895</v>
      </c>
      <c r="E9" s="39">
        <v>361079.31428025133</v>
      </c>
      <c r="F9" s="39">
        <v>353339.09253268526</v>
      </c>
      <c r="G9" s="121">
        <v>280005.84635961737</v>
      </c>
      <c r="H9" s="40">
        <f>IF(D9&gt;0,$C$9,0)</f>
        <v>1</v>
      </c>
      <c r="I9" s="40">
        <f>IF(E9&gt;0,$C$9,0)</f>
        <v>1</v>
      </c>
      <c r="J9" s="40">
        <f>IF(F9&gt;0,$C$9,0)</f>
        <v>1</v>
      </c>
      <c r="K9" s="40">
        <f>IF(G9&gt;0,$C$9,0)</f>
        <v>1</v>
      </c>
      <c r="L9" s="1800"/>
      <c r="M9" s="1812"/>
      <c r="N9" s="36"/>
    </row>
    <row r="10" spans="1:14">
      <c r="A10" s="1805" t="s">
        <v>432</v>
      </c>
      <c r="B10" s="32" t="s">
        <v>426</v>
      </c>
      <c r="C10" s="82">
        <v>1</v>
      </c>
      <c r="D10" s="344">
        <v>-19923.616503487399</v>
      </c>
      <c r="E10" s="39">
        <v>13315.7291503007</v>
      </c>
      <c r="F10" s="39">
        <v>-25215.841755034489</v>
      </c>
      <c r="G10" s="39">
        <v>-48390.658817392192</v>
      </c>
      <c r="H10" s="40">
        <f>IF(D10&gt;0,$C$10,0)</f>
        <v>0</v>
      </c>
      <c r="I10" s="40">
        <f>IF(E10&gt;0,$C$10,0)</f>
        <v>1</v>
      </c>
      <c r="J10" s="40">
        <f>IF(F10&gt;0,$C$10,0)</f>
        <v>0</v>
      </c>
      <c r="K10" s="40">
        <f>IF(G10&gt;0,$C$10,0)</f>
        <v>0</v>
      </c>
      <c r="L10" s="1798" t="s">
        <v>422</v>
      </c>
      <c r="M10" s="1810" t="s">
        <v>423</v>
      </c>
    </row>
    <row r="11" spans="1:14">
      <c r="A11" s="1806"/>
      <c r="B11" s="32" t="s">
        <v>427</v>
      </c>
      <c r="C11" s="82">
        <v>1</v>
      </c>
      <c r="D11" s="344">
        <v>41630.938251476335</v>
      </c>
      <c r="E11" s="39">
        <v>47675.817019053604</v>
      </c>
      <c r="F11" s="39">
        <v>84963.795514332422</v>
      </c>
      <c r="G11" s="39">
        <v>60252.474784776867</v>
      </c>
      <c r="H11" s="40">
        <f>IF(D11&gt;0,$C$11,0)</f>
        <v>1</v>
      </c>
      <c r="I11" s="40">
        <f>IF(E11&gt;0,$C$11,0)</f>
        <v>1</v>
      </c>
      <c r="J11" s="40">
        <f>IF(F11&gt;0,$C$11,0)</f>
        <v>1</v>
      </c>
      <c r="K11" s="40">
        <f>IF(G11&gt;0,$C$11,0)</f>
        <v>1</v>
      </c>
      <c r="L11" s="1799"/>
      <c r="M11" s="1811"/>
    </row>
    <row r="12" spans="1:14">
      <c r="A12" s="1806"/>
      <c r="B12" s="32" t="s">
        <v>428</v>
      </c>
      <c r="C12" s="82">
        <v>1</v>
      </c>
      <c r="D12" s="344">
        <v>37388.058299835684</v>
      </c>
      <c r="E12" s="39">
        <v>35644.749341452756</v>
      </c>
      <c r="F12" s="39">
        <v>48330.142865501111</v>
      </c>
      <c r="G12" s="39">
        <v>79106.860572965408</v>
      </c>
      <c r="H12" s="40">
        <f>IF(D12&gt;0,$C$12,0)</f>
        <v>1</v>
      </c>
      <c r="I12" s="40">
        <f>IF(E12&gt;0,$C$12,0)</f>
        <v>1</v>
      </c>
      <c r="J12" s="40">
        <f>IF(F12&gt;0,$C$12,0)</f>
        <v>1</v>
      </c>
      <c r="K12" s="40">
        <f>IF(G12&gt;0,$C$12,0)</f>
        <v>1</v>
      </c>
      <c r="L12" s="1799"/>
      <c r="M12" s="1811"/>
    </row>
    <row r="13" spans="1:14">
      <c r="A13" s="1806"/>
      <c r="B13" s="32" t="s">
        <v>429</v>
      </c>
      <c r="C13" s="82">
        <v>1</v>
      </c>
      <c r="D13" s="344">
        <v>83715.826897146588</v>
      </c>
      <c r="E13" s="39">
        <v>38940.884801265063</v>
      </c>
      <c r="F13" s="39">
        <v>36349.858466459518</v>
      </c>
      <c r="G13" s="39">
        <v>50458.921098354607</v>
      </c>
      <c r="H13" s="40">
        <f>IF(D13&gt;0,$C$13,0)</f>
        <v>1</v>
      </c>
      <c r="I13" s="40">
        <f>IF(E13&gt;0,$C$13,0)</f>
        <v>1</v>
      </c>
      <c r="J13" s="40">
        <f>IF(F13&gt;0,$C$13,0)</f>
        <v>1</v>
      </c>
      <c r="K13" s="40">
        <f>IF(G13&gt;0,$C$13,0)</f>
        <v>1</v>
      </c>
      <c r="L13" s="1799"/>
      <c r="M13" s="1811"/>
    </row>
    <row r="14" spans="1:14">
      <c r="A14" s="1806"/>
      <c r="B14" s="32" t="s">
        <v>430</v>
      </c>
      <c r="C14" s="82">
        <v>0.5</v>
      </c>
      <c r="D14" s="344">
        <v>177161.51836294751</v>
      </c>
      <c r="E14" s="39">
        <v>127043.40836695876</v>
      </c>
      <c r="F14" s="39">
        <v>68950.552354985091</v>
      </c>
      <c r="G14" s="39">
        <v>220271.18669354453</v>
      </c>
      <c r="H14" s="40">
        <f>IF(D14&gt;0,$C$14,0)</f>
        <v>0.5</v>
      </c>
      <c r="I14" s="40">
        <f>IF(E14&gt;0,$C$14,0)</f>
        <v>0.5</v>
      </c>
      <c r="J14" s="40">
        <f>IF(F14&gt;0,$C$14,0)</f>
        <v>0.5</v>
      </c>
      <c r="K14" s="40">
        <f>IF(G14&gt;0,$C$14,0)</f>
        <v>0.5</v>
      </c>
      <c r="L14" s="1799"/>
      <c r="M14" s="1811"/>
    </row>
    <row r="15" spans="1:14">
      <c r="A15" s="1807"/>
      <c r="B15" s="32" t="s">
        <v>431</v>
      </c>
      <c r="C15" s="82">
        <v>0.5</v>
      </c>
      <c r="D15" s="344">
        <v>105748.0138119161</v>
      </c>
      <c r="E15" s="39">
        <v>74439.519376250712</v>
      </c>
      <c r="F15" s="39">
        <v>56502.774983636227</v>
      </c>
      <c r="G15" s="39">
        <v>58533.814536986465</v>
      </c>
      <c r="H15" s="40">
        <f>IF(D15&gt;0,$C$15,0)</f>
        <v>0.5</v>
      </c>
      <c r="I15" s="40">
        <f>IF(E15&gt;0,$C$15,0)</f>
        <v>0.5</v>
      </c>
      <c r="J15" s="40">
        <f>IF(F15&gt;0,$C$15,0)</f>
        <v>0.5</v>
      </c>
      <c r="K15" s="40">
        <f>IF(G15&gt;0,$C$15,0)</f>
        <v>0.5</v>
      </c>
      <c r="L15" s="1799"/>
      <c r="M15" s="1811"/>
    </row>
    <row r="16" spans="1:14">
      <c r="A16" s="1805" t="s">
        <v>450</v>
      </c>
      <c r="B16" s="32" t="s">
        <v>426</v>
      </c>
      <c r="C16" s="82">
        <v>1</v>
      </c>
      <c r="D16" s="344">
        <v>-6097.3264574837813</v>
      </c>
      <c r="E16" s="39">
        <v>28212.174401320619</v>
      </c>
      <c r="F16" s="39">
        <v>-8111.9801912976109</v>
      </c>
      <c r="G16" s="39">
        <v>-31835.76107846183</v>
      </c>
      <c r="H16" s="40">
        <f>IF(D16&gt;0,$C$16,0)</f>
        <v>0</v>
      </c>
      <c r="I16" s="40">
        <f>IF(E16&gt;0,$C$16,0)</f>
        <v>1</v>
      </c>
      <c r="J16" s="40">
        <f>IF(F16&gt;0,$C$16,0)</f>
        <v>0</v>
      </c>
      <c r="K16" s="40">
        <f>IF(G16&gt;0,$C$16,0)</f>
        <v>0</v>
      </c>
      <c r="L16" s="1799"/>
      <c r="M16" s="1811"/>
    </row>
    <row r="17" spans="1:13">
      <c r="A17" s="1806"/>
      <c r="B17" s="32" t="s">
        <v>427</v>
      </c>
      <c r="C17" s="82">
        <v>1</v>
      </c>
      <c r="D17" s="344">
        <v>61271.659646218657</v>
      </c>
      <c r="E17" s="39">
        <v>65961.291351859021</v>
      </c>
      <c r="F17" s="39">
        <v>99440.974426620349</v>
      </c>
      <c r="G17" s="39">
        <v>84158.399511328273</v>
      </c>
      <c r="H17" s="40">
        <f>IF(D17&gt;0,$C$17,0)</f>
        <v>1</v>
      </c>
      <c r="I17" s="40">
        <f>IF(E17&gt;0,$C$17,0)</f>
        <v>1</v>
      </c>
      <c r="J17" s="40">
        <f>IF(F17&gt;0,$C$17,0)</f>
        <v>1</v>
      </c>
      <c r="K17" s="40">
        <f>IF(G17&gt;0,$C$17,0)</f>
        <v>1</v>
      </c>
      <c r="L17" s="1799"/>
      <c r="M17" s="1811"/>
    </row>
    <row r="18" spans="1:13">
      <c r="A18" s="1806"/>
      <c r="B18" s="32" t="s">
        <v>428</v>
      </c>
      <c r="C18" s="82">
        <v>1</v>
      </c>
      <c r="D18" s="344">
        <v>66288.826346610935</v>
      </c>
      <c r="E18" s="39">
        <v>55058.124501551232</v>
      </c>
      <c r="F18" s="39">
        <v>64878.44510019062</v>
      </c>
      <c r="G18" s="39">
        <v>99310.163810759987</v>
      </c>
      <c r="H18" s="40">
        <f>IF(D18&gt;0,$C$18,0)</f>
        <v>1</v>
      </c>
      <c r="I18" s="40">
        <f>IF(E18&gt;0,$C$18,0)</f>
        <v>1</v>
      </c>
      <c r="J18" s="40">
        <f>IF(F18&gt;0,$C$18,0)</f>
        <v>1</v>
      </c>
      <c r="K18" s="40">
        <f>IF(G18&gt;0,$C$18,0)</f>
        <v>1</v>
      </c>
      <c r="L18" s="1799"/>
      <c r="M18" s="1811"/>
    </row>
    <row r="19" spans="1:13">
      <c r="A19" s="1806"/>
      <c r="B19" s="32" t="s">
        <v>429</v>
      </c>
      <c r="C19" s="82">
        <v>1</v>
      </c>
      <c r="D19" s="344">
        <v>102846.06606310132</v>
      </c>
      <c r="E19" s="39">
        <v>66289.86628127248</v>
      </c>
      <c r="F19" s="39">
        <v>53161.810640498996</v>
      </c>
      <c r="G19" s="39">
        <v>71968.198114231825</v>
      </c>
      <c r="H19" s="40">
        <f>IF(D19&gt;0,$C$19,0)</f>
        <v>1</v>
      </c>
      <c r="I19" s="40">
        <f>IF(E19&gt;0,$C$19,0)</f>
        <v>1</v>
      </c>
      <c r="J19" s="40">
        <f>IF(F19&gt;0,$C$19,0)</f>
        <v>1</v>
      </c>
      <c r="K19" s="40">
        <f>IF(G19&gt;0,$C$19,0)</f>
        <v>1</v>
      </c>
      <c r="L19" s="1799"/>
      <c r="M19" s="1811"/>
    </row>
    <row r="20" spans="1:13">
      <c r="A20" s="1806"/>
      <c r="B20" s="32" t="s">
        <v>430</v>
      </c>
      <c r="C20" s="82">
        <v>0.5</v>
      </c>
      <c r="D20" s="344">
        <v>299751.27571980376</v>
      </c>
      <c r="E20" s="39">
        <v>267976.63725253224</v>
      </c>
      <c r="F20" s="39">
        <v>227919.02247234559</v>
      </c>
      <c r="G20" s="39">
        <v>318792.57965500059</v>
      </c>
      <c r="H20" s="40">
        <f>IF(D20&gt;0,$C$20,0)</f>
        <v>0.5</v>
      </c>
      <c r="I20" s="40">
        <f>IF(E20&gt;0,$C$20,0)</f>
        <v>0.5</v>
      </c>
      <c r="J20" s="40">
        <f>IF(F20&gt;0,$C$20,0)</f>
        <v>0.5</v>
      </c>
      <c r="K20" s="40">
        <f>IF(G20&gt;0,$C$20,0)</f>
        <v>0.5</v>
      </c>
      <c r="L20" s="1799"/>
      <c r="M20" s="1811"/>
    </row>
    <row r="21" spans="1:13">
      <c r="A21" s="1807"/>
      <c r="B21" s="32" t="s">
        <v>431</v>
      </c>
      <c r="C21" s="82">
        <v>0.5</v>
      </c>
      <c r="D21" s="344">
        <v>355772.78560513351</v>
      </c>
      <c r="E21" s="39">
        <v>340562.98266868736</v>
      </c>
      <c r="F21" s="39">
        <v>334116.97390128404</v>
      </c>
      <c r="G21" s="39">
        <v>259799.7495902162</v>
      </c>
      <c r="H21" s="40">
        <f>IF(D21&gt;0,$C$21,0)</f>
        <v>0.5</v>
      </c>
      <c r="I21" s="40">
        <f>IF(E21&gt;0,$C$21,0)</f>
        <v>0.5</v>
      </c>
      <c r="J21" s="40">
        <f>IF(F21&gt;0,$C$21,0)</f>
        <v>0.5</v>
      </c>
      <c r="K21" s="40">
        <f>IF(G21&gt;0,$C$21,0)</f>
        <v>0.5</v>
      </c>
      <c r="L21" s="1800"/>
      <c r="M21" s="1812"/>
    </row>
    <row r="22" spans="1:13">
      <c r="A22" s="1805" t="s">
        <v>424</v>
      </c>
      <c r="B22" s="32" t="s">
        <v>433</v>
      </c>
      <c r="C22" s="82">
        <v>6</v>
      </c>
      <c r="D22" s="356">
        <v>3.3976145416810706</v>
      </c>
      <c r="E22" s="130">
        <v>7.5736407144417139</v>
      </c>
      <c r="F22" s="130">
        <v>3.3500164194963071</v>
      </c>
      <c r="G22" s="130">
        <v>2.3987747834683866</v>
      </c>
      <c r="H22" s="40">
        <f>IF(D22&gt;1,$C$22,0)</f>
        <v>6</v>
      </c>
      <c r="I22" s="40">
        <f>IF(E22&gt;1,$C$22,0)</f>
        <v>6</v>
      </c>
      <c r="J22" s="40">
        <f>IF(F22&gt;1,$C$22,0)</f>
        <v>6</v>
      </c>
      <c r="K22" s="40">
        <f>IF(G22&gt;1,$C$22,0)</f>
        <v>6</v>
      </c>
      <c r="L22" s="1798" t="s">
        <v>425</v>
      </c>
      <c r="M22" s="1798" t="s">
        <v>2021</v>
      </c>
    </row>
    <row r="23" spans="1:13">
      <c r="A23" s="1806"/>
      <c r="B23" s="32" t="s">
        <v>434</v>
      </c>
      <c r="C23" s="82">
        <v>6</v>
      </c>
      <c r="D23" s="356">
        <v>47.132872188166488</v>
      </c>
      <c r="E23" s="130">
        <v>-55.201434752652212</v>
      </c>
      <c r="F23" s="130">
        <v>131.78153681612324</v>
      </c>
      <c r="G23" s="130">
        <v>23.721145408591529</v>
      </c>
      <c r="H23" s="40">
        <v>6</v>
      </c>
      <c r="I23" s="40">
        <v>6</v>
      </c>
      <c r="J23" s="40">
        <f>IF(F23&gt;1,$C$23,0)</f>
        <v>6</v>
      </c>
      <c r="K23" s="40">
        <f>IF(G23&gt;1,$C$23,0)</f>
        <v>6</v>
      </c>
      <c r="L23" s="1799"/>
      <c r="M23" s="1799"/>
    </row>
    <row r="24" spans="1:13">
      <c r="A24" s="1806"/>
      <c r="B24" s="32" t="s">
        <v>441</v>
      </c>
      <c r="C24" s="82">
        <v>6</v>
      </c>
      <c r="D24" s="356">
        <v>-1.7314288622891747</v>
      </c>
      <c r="E24" s="130">
        <v>-1.4262586867230063</v>
      </c>
      <c r="F24" s="130">
        <v>-1.5095299175651344</v>
      </c>
      <c r="G24" s="130">
        <v>-2.136148204063939</v>
      </c>
      <c r="H24" s="41">
        <v>6</v>
      </c>
      <c r="I24" s="41">
        <v>6</v>
      </c>
      <c r="J24" s="41">
        <v>6</v>
      </c>
      <c r="K24" s="41">
        <v>6</v>
      </c>
      <c r="L24" s="1799"/>
      <c r="M24" s="1799"/>
    </row>
    <row r="25" spans="1:13">
      <c r="A25" s="1806"/>
      <c r="B25" s="32" t="s">
        <v>442</v>
      </c>
      <c r="C25" s="82">
        <v>6</v>
      </c>
      <c r="D25" s="356">
        <v>-4.5383184676880255</v>
      </c>
      <c r="E25" s="130">
        <v>-3.560206989602607</v>
      </c>
      <c r="F25" s="130">
        <v>-3.1166022711341097</v>
      </c>
      <c r="G25" s="130">
        <v>-2.7944415979203843</v>
      </c>
      <c r="H25" s="41">
        <v>6</v>
      </c>
      <c r="I25" s="41">
        <v>6</v>
      </c>
      <c r="J25" s="41">
        <v>6</v>
      </c>
      <c r="K25" s="41">
        <v>6</v>
      </c>
      <c r="L25" s="1799"/>
      <c r="M25" s="1799"/>
    </row>
    <row r="26" spans="1:13">
      <c r="A26" s="1807"/>
      <c r="B26" s="32" t="s">
        <v>443</v>
      </c>
      <c r="C26" s="82">
        <v>6</v>
      </c>
      <c r="D26" s="356">
        <v>0.1801026937497191</v>
      </c>
      <c r="E26" s="130">
        <v>0.16362567300399733</v>
      </c>
      <c r="F26" s="130">
        <v>0.16131043464132258</v>
      </c>
      <c r="G26" s="130">
        <v>0.14966583186442678</v>
      </c>
      <c r="H26" s="40">
        <f>IF(D26&gt;1,$C$23,0)</f>
        <v>0</v>
      </c>
      <c r="I26" s="40">
        <f>IF(E26&gt;1,$C$23,0)</f>
        <v>0</v>
      </c>
      <c r="J26" s="40">
        <f>IF(F26&gt;1,$C$23,0)</f>
        <v>0</v>
      </c>
      <c r="K26" s="40">
        <f>IF(G26&gt;1,$C$23,0)</f>
        <v>0</v>
      </c>
      <c r="L26" s="1800"/>
      <c r="M26" s="1800"/>
    </row>
    <row r="27" spans="1:13">
      <c r="A27" s="1803" t="s">
        <v>446</v>
      </c>
      <c r="B27" s="38" t="s">
        <v>445</v>
      </c>
      <c r="C27" s="82">
        <v>7.5</v>
      </c>
      <c r="D27" s="345">
        <v>18.439546136780155</v>
      </c>
      <c r="E27" s="122">
        <v>21.020188483257819</v>
      </c>
      <c r="F27" s="122">
        <v>22.340032836622143</v>
      </c>
      <c r="G27" s="122">
        <v>14.455181313392098</v>
      </c>
      <c r="H27" s="33">
        <v>7.5</v>
      </c>
      <c r="I27" s="33">
        <v>7.5</v>
      </c>
      <c r="J27" s="33">
        <v>7.5</v>
      </c>
      <c r="K27" s="33">
        <v>7.5</v>
      </c>
      <c r="L27" s="1798" t="s">
        <v>444</v>
      </c>
      <c r="M27" s="1798" t="s">
        <v>456</v>
      </c>
    </row>
    <row r="28" spans="1:13">
      <c r="A28" s="1804"/>
      <c r="B28" s="38" t="s">
        <v>447</v>
      </c>
      <c r="C28" s="82">
        <v>7.5</v>
      </c>
      <c r="D28" s="345">
        <v>4.4167020396913399</v>
      </c>
      <c r="E28" s="122">
        <v>3.6106097279975304</v>
      </c>
      <c r="F28" s="122">
        <v>4.729595080464712</v>
      </c>
      <c r="G28" s="122">
        <v>5.181125844768439</v>
      </c>
      <c r="H28" s="33">
        <v>7.5</v>
      </c>
      <c r="I28" s="33">
        <v>7.5</v>
      </c>
      <c r="J28" s="33">
        <v>7.5</v>
      </c>
      <c r="K28" s="33">
        <v>7.5</v>
      </c>
      <c r="L28" s="1799"/>
      <c r="M28" s="1799"/>
    </row>
    <row r="29" spans="1:13">
      <c r="A29" s="1803" t="s">
        <v>448</v>
      </c>
      <c r="B29" s="38" t="s">
        <v>445</v>
      </c>
      <c r="C29" s="82">
        <v>7.5</v>
      </c>
      <c r="D29" s="345">
        <v>17.767971474986346</v>
      </c>
      <c r="E29" s="122">
        <v>20.225630808506406</v>
      </c>
      <c r="F29" s="122">
        <v>21.58552136353909</v>
      </c>
      <c r="G29" s="122">
        <v>16.593543530419563</v>
      </c>
      <c r="H29" s="33">
        <v>7.5</v>
      </c>
      <c r="I29" s="33">
        <v>7.5</v>
      </c>
      <c r="J29" s="33">
        <v>7.5</v>
      </c>
      <c r="K29" s="33">
        <v>7.5</v>
      </c>
      <c r="L29" s="1799"/>
      <c r="M29" s="1799"/>
    </row>
    <row r="30" spans="1:13">
      <c r="A30" s="1804"/>
      <c r="B30" s="38" t="s">
        <v>447</v>
      </c>
      <c r="C30" s="82">
        <v>7.5</v>
      </c>
      <c r="D30" s="345">
        <v>8.9199650880456591</v>
      </c>
      <c r="E30" s="122">
        <v>7.4071907995145363</v>
      </c>
      <c r="F30" s="122">
        <v>11.93464734054224</v>
      </c>
      <c r="G30" s="122">
        <v>21.275332035408606</v>
      </c>
      <c r="H30" s="33">
        <v>7.5</v>
      </c>
      <c r="I30" s="33">
        <v>7.5</v>
      </c>
      <c r="J30" s="33">
        <v>7.5</v>
      </c>
      <c r="K30" s="33">
        <v>7.5</v>
      </c>
      <c r="L30" s="1800"/>
      <c r="M30" s="1800"/>
    </row>
    <row r="31" spans="1:13">
      <c r="A31" s="43" t="s">
        <v>457</v>
      </c>
      <c r="B31" s="42"/>
      <c r="C31" s="42"/>
      <c r="D31" s="42"/>
      <c r="E31" s="42"/>
      <c r="F31" s="42"/>
      <c r="G31" s="42"/>
      <c r="H31" s="44">
        <f>SUM(H3:H30)</f>
        <v>82</v>
      </c>
      <c r="I31" s="44">
        <f>SUM(I3:I30)</f>
        <v>74</v>
      </c>
      <c r="J31" s="44">
        <f>SUM(J3:J30)</f>
        <v>82</v>
      </c>
      <c r="K31" s="44">
        <f>SUM(K3:K30)</f>
        <v>80</v>
      </c>
    </row>
    <row r="32" spans="1:13">
      <c r="A32" s="43" t="s">
        <v>458</v>
      </c>
      <c r="B32" s="42"/>
      <c r="C32" s="42"/>
      <c r="D32" s="42"/>
      <c r="E32" s="42"/>
      <c r="F32" s="42"/>
      <c r="G32" s="42"/>
      <c r="H32" s="44">
        <f>90-H31</f>
        <v>8</v>
      </c>
      <c r="I32" s="44">
        <f>90-I31</f>
        <v>16</v>
      </c>
      <c r="J32" s="44">
        <f>90-J31</f>
        <v>8</v>
      </c>
      <c r="K32" s="44">
        <f>90-K31</f>
        <v>10</v>
      </c>
    </row>
    <row r="33" spans="1:12">
      <c r="A33" s="43" t="s">
        <v>459</v>
      </c>
      <c r="B33" s="42"/>
      <c r="C33" s="42"/>
      <c r="D33" s="42"/>
      <c r="E33" s="42"/>
      <c r="F33" s="42"/>
      <c r="G33" s="42"/>
      <c r="H33" s="44">
        <f>H31/90*100</f>
        <v>91.111111111111114</v>
      </c>
      <c r="I33" s="44">
        <f>I31/90*100</f>
        <v>82.222222222222214</v>
      </c>
      <c r="J33" s="44">
        <f>J31/90*100</f>
        <v>91.111111111111114</v>
      </c>
      <c r="K33" s="44">
        <f>K31/90*100</f>
        <v>88.888888888888886</v>
      </c>
    </row>
    <row r="34" spans="1:12">
      <c r="A34" s="43" t="s">
        <v>460</v>
      </c>
      <c r="B34" s="42"/>
      <c r="C34" s="42"/>
      <c r="D34" s="42"/>
      <c r="E34" s="42"/>
      <c r="F34" s="42"/>
      <c r="G34" s="42"/>
      <c r="H34" s="44">
        <f>-H32/90*100*0.25</f>
        <v>-2.2222222222222223</v>
      </c>
      <c r="I34" s="44">
        <f>-I32/90*100*0.25</f>
        <v>-4.4444444444444446</v>
      </c>
      <c r="J34" s="44">
        <f>-J32/90*100*0.25</f>
        <v>-2.2222222222222223</v>
      </c>
      <c r="K34" s="44">
        <f>-K32/90*100*0.25</f>
        <v>-2.7777777777777777</v>
      </c>
    </row>
    <row r="36" spans="1:12" ht="14.25">
      <c r="A36" s="7" t="s">
        <v>229</v>
      </c>
      <c r="H36" s="45">
        <f>H33</f>
        <v>91.111111111111114</v>
      </c>
      <c r="I36" s="45">
        <f>I33</f>
        <v>82.222222222222214</v>
      </c>
      <c r="J36" s="45">
        <f>J33</f>
        <v>91.111111111111114</v>
      </c>
      <c r="K36" s="45">
        <f>K33</f>
        <v>88.888888888888886</v>
      </c>
      <c r="L36" s="47"/>
    </row>
    <row r="37" spans="1:12" ht="14.25">
      <c r="A37" s="7" t="s">
        <v>461</v>
      </c>
      <c r="H37" s="45">
        <v>0</v>
      </c>
      <c r="I37" s="45">
        <v>0</v>
      </c>
      <c r="J37" s="45">
        <v>0</v>
      </c>
      <c r="K37" s="45">
        <v>0</v>
      </c>
    </row>
    <row r="38" spans="1:12" ht="14.25">
      <c r="A38" s="7" t="s">
        <v>463</v>
      </c>
      <c r="H38" s="45">
        <v>0</v>
      </c>
      <c r="I38" s="45">
        <v>0</v>
      </c>
      <c r="J38" s="45">
        <v>0</v>
      </c>
      <c r="K38" s="45">
        <v>0</v>
      </c>
    </row>
    <row r="39" spans="1:12" ht="14.25">
      <c r="A39" s="7" t="s">
        <v>462</v>
      </c>
      <c r="H39" s="45">
        <v>0</v>
      </c>
      <c r="I39" s="45">
        <v>0</v>
      </c>
      <c r="J39" s="45">
        <v>0</v>
      </c>
      <c r="K39" s="45">
        <v>0</v>
      </c>
    </row>
    <row r="40" spans="1:12" ht="14.25">
      <c r="A40" s="7" t="s">
        <v>464</v>
      </c>
      <c r="H40" s="45">
        <f>100-SUM(H36:H39)</f>
        <v>8.8888888888888857</v>
      </c>
      <c r="I40" s="45">
        <f>100-SUM(I36:I39)</f>
        <v>17.777777777777786</v>
      </c>
      <c r="J40" s="45">
        <f>100-SUM(J36:J39)</f>
        <v>8.8888888888888857</v>
      </c>
      <c r="K40" s="45">
        <f>100-SUM(K36:K39)</f>
        <v>11.111111111111114</v>
      </c>
      <c r="L40" s="46"/>
    </row>
    <row r="42" spans="1:12">
      <c r="D42" s="320"/>
      <c r="E42" s="320"/>
      <c r="F42" s="320"/>
      <c r="G42" s="320"/>
      <c r="H42" s="320"/>
    </row>
    <row r="46" spans="1:12">
      <c r="A46" s="249" t="s">
        <v>1611</v>
      </c>
    </row>
    <row r="47" spans="1:12">
      <c r="A47" s="277" t="s">
        <v>1655</v>
      </c>
    </row>
  </sheetData>
  <mergeCells count="17">
    <mergeCell ref="A1:D1"/>
    <mergeCell ref="A2:B2"/>
    <mergeCell ref="M4:M9"/>
    <mergeCell ref="L4:L9"/>
    <mergeCell ref="A10:A15"/>
    <mergeCell ref="M10:M21"/>
    <mergeCell ref="L10:L21"/>
    <mergeCell ref="A4:A9"/>
    <mergeCell ref="M27:M30"/>
    <mergeCell ref="L27:L30"/>
    <mergeCell ref="A3:B3"/>
    <mergeCell ref="A27:A28"/>
    <mergeCell ref="A29:A30"/>
    <mergeCell ref="A16:A21"/>
    <mergeCell ref="A22:A26"/>
    <mergeCell ref="L22:L26"/>
    <mergeCell ref="M22:M26"/>
  </mergeCells>
  <phoneticPr fontId="3" type="noConversion"/>
  <conditionalFormatting sqref="K3">
    <cfRule type="cellIs" dxfId="15" priority="17" operator="notEqual">
      <formula>$C3</formula>
    </cfRule>
  </conditionalFormatting>
  <conditionalFormatting sqref="K4:K23 K26">
    <cfRule type="cellIs" dxfId="14" priority="16" operator="notEqual">
      <formula>$C4</formula>
    </cfRule>
  </conditionalFormatting>
  <conditionalFormatting sqref="J3">
    <cfRule type="cellIs" dxfId="13" priority="15" operator="notEqual">
      <formula>$C3</formula>
    </cfRule>
  </conditionalFormatting>
  <conditionalFormatting sqref="J4:J23 J26">
    <cfRule type="cellIs" dxfId="12" priority="14" operator="notEqual">
      <formula>$C4</formula>
    </cfRule>
  </conditionalFormatting>
  <conditionalFormatting sqref="I3">
    <cfRule type="cellIs" dxfId="11" priority="4" operator="notEqual">
      <formula>$C3</formula>
    </cfRule>
  </conditionalFormatting>
  <conditionalFormatting sqref="I4:I23 I26">
    <cfRule type="cellIs" dxfId="10" priority="3" operator="notEqual">
      <formula>$C4</formula>
    </cfRule>
  </conditionalFormatting>
  <conditionalFormatting sqref="H3">
    <cfRule type="cellIs" dxfId="9" priority="2" operator="notEqual">
      <formula>$C3</formula>
    </cfRule>
  </conditionalFormatting>
  <conditionalFormatting sqref="H4:H23 H26">
    <cfRule type="cellIs" dxfId="8" priority="1" operator="notEqual">
      <formula>$C4</formula>
    </cfRule>
  </conditionalFormatting>
  <hyperlinks>
    <hyperlink ref="A46" location="权重!A1" display="权重!A1"/>
    <hyperlink ref="A47" location="目录!A1" display="目录!A1"/>
  </hyperlinks>
  <pageMargins left="0.70866141732283472" right="0.70866141732283472" top="0.74803149606299213" bottom="0.74803149606299213" header="0.31496062992125984" footer="0.31496062992125984"/>
  <pageSetup paperSize="9" scale="90" orientation="landscape" r:id="rId1"/>
  <legacyDrawing r:id="rId2"/>
</worksheet>
</file>

<file path=xl/worksheets/sheet26.xml><?xml version="1.0" encoding="utf-8"?>
<worksheet xmlns="http://schemas.openxmlformats.org/spreadsheetml/2006/main" xmlns:r="http://schemas.openxmlformats.org/officeDocument/2006/relationships">
  <sheetPr>
    <tabColor theme="5" tint="0.39997558519241921"/>
  </sheetPr>
  <dimension ref="A1:M102"/>
  <sheetViews>
    <sheetView zoomScale="84" zoomScaleNormal="84" workbookViewId="0">
      <pane xSplit="2" ySplit="3" topLeftCell="D58" activePane="bottomRight" state="frozen"/>
      <selection activeCell="A3" sqref="A3:B3"/>
      <selection pane="topRight" activeCell="A3" sqref="A3:B3"/>
      <selection pane="bottomLeft" activeCell="A3" sqref="A3:B3"/>
      <selection pane="bottomRight" activeCell="I4" sqref="I4:J80"/>
    </sheetView>
  </sheetViews>
  <sheetFormatPr defaultColWidth="8.875" defaultRowHeight="13.5"/>
  <cols>
    <col min="1" max="1" width="12.375" style="49" customWidth="1"/>
    <col min="2" max="2" width="41.625" style="49" customWidth="1"/>
    <col min="3" max="3" width="69.5" style="49" customWidth="1"/>
    <col min="4" max="4" width="11.375" style="49" customWidth="1"/>
    <col min="5" max="5" width="11.25" style="49" customWidth="1"/>
    <col min="6" max="6" width="8.375" style="49" customWidth="1"/>
    <col min="7" max="7" width="10.25" style="49" bestFit="1" customWidth="1"/>
    <col min="8" max="8" width="8.25" style="49" customWidth="1"/>
    <col min="9" max="9" width="10.875" style="49" bestFit="1" customWidth="1"/>
    <col min="10" max="16384" width="8.875" style="49"/>
  </cols>
  <sheetData>
    <row r="1" spans="1:13" ht="21" customHeight="1">
      <c r="A1" s="48" t="s">
        <v>490</v>
      </c>
    </row>
    <row r="2" spans="1:13" ht="27" customHeight="1">
      <c r="A2" s="186" t="s">
        <v>491</v>
      </c>
      <c r="B2" s="186"/>
      <c r="C2" s="186"/>
      <c r="D2" s="186"/>
      <c r="E2" s="1813">
        <v>2016</v>
      </c>
      <c r="F2" s="1813"/>
      <c r="G2" s="1813">
        <v>2017</v>
      </c>
      <c r="H2" s="1813"/>
      <c r="I2" s="1813">
        <v>2018</v>
      </c>
      <c r="J2" s="1813"/>
      <c r="K2" s="50"/>
      <c r="L2" s="50"/>
      <c r="M2" s="50"/>
    </row>
    <row r="3" spans="1:13" ht="21" customHeight="1">
      <c r="A3" s="51" t="s">
        <v>488</v>
      </c>
      <c r="B3" s="51" t="s">
        <v>492</v>
      </c>
      <c r="C3" s="51" t="s">
        <v>493</v>
      </c>
      <c r="D3" s="51" t="s">
        <v>489</v>
      </c>
      <c r="E3" s="51" t="s">
        <v>494</v>
      </c>
      <c r="F3" s="51" t="s">
        <v>495</v>
      </c>
      <c r="G3" s="341" t="s">
        <v>1564</v>
      </c>
      <c r="H3" s="341" t="s">
        <v>495</v>
      </c>
      <c r="I3" s="341" t="s">
        <v>494</v>
      </c>
      <c r="J3" s="341" t="s">
        <v>495</v>
      </c>
      <c r="K3" s="50"/>
      <c r="L3" s="50"/>
      <c r="M3" s="50"/>
    </row>
    <row r="4" spans="1:13" ht="21" customHeight="1">
      <c r="A4" s="1817" t="s">
        <v>496</v>
      </c>
      <c r="B4" s="52" t="s">
        <v>497</v>
      </c>
      <c r="C4" s="52" t="s">
        <v>498</v>
      </c>
      <c r="D4" s="53">
        <v>1</v>
      </c>
      <c r="E4" s="53" t="s">
        <v>499</v>
      </c>
      <c r="F4" s="54">
        <f>D4</f>
        <v>1</v>
      </c>
      <c r="G4" s="53" t="s">
        <v>1565</v>
      </c>
      <c r="H4" s="231">
        <v>1</v>
      </c>
      <c r="I4" s="1268" t="s">
        <v>1565</v>
      </c>
      <c r="J4" s="231">
        <v>1</v>
      </c>
    </row>
    <row r="5" spans="1:13" ht="21" customHeight="1">
      <c r="A5" s="1817"/>
      <c r="B5" s="1818" t="s">
        <v>500</v>
      </c>
      <c r="C5" s="52" t="s">
        <v>501</v>
      </c>
      <c r="D5" s="53">
        <v>1</v>
      </c>
      <c r="E5" s="53" t="s">
        <v>499</v>
      </c>
      <c r="F5" s="54">
        <f t="shared" ref="F5:F17" si="0">D5</f>
        <v>1</v>
      </c>
      <c r="G5" s="53" t="s">
        <v>1565</v>
      </c>
      <c r="H5" s="231">
        <v>1</v>
      </c>
      <c r="I5" s="1268" t="s">
        <v>1565</v>
      </c>
      <c r="J5" s="231">
        <v>1</v>
      </c>
    </row>
    <row r="6" spans="1:13" ht="21" customHeight="1">
      <c r="A6" s="1817"/>
      <c r="B6" s="1818"/>
      <c r="C6" s="52" t="s">
        <v>502</v>
      </c>
      <c r="D6" s="53">
        <v>1</v>
      </c>
      <c r="E6" s="53" t="s">
        <v>499</v>
      </c>
      <c r="F6" s="54">
        <f t="shared" si="0"/>
        <v>1</v>
      </c>
      <c r="G6" s="53" t="s">
        <v>1565</v>
      </c>
      <c r="H6" s="231">
        <v>1</v>
      </c>
      <c r="I6" s="1268" t="s">
        <v>1565</v>
      </c>
      <c r="J6" s="231">
        <v>1</v>
      </c>
    </row>
    <row r="7" spans="1:13" ht="21" customHeight="1">
      <c r="A7" s="1817"/>
      <c r="B7" s="1818" t="s">
        <v>503</v>
      </c>
      <c r="C7" s="52" t="s">
        <v>504</v>
      </c>
      <c r="D7" s="53">
        <v>1</v>
      </c>
      <c r="E7" s="53" t="s">
        <v>499</v>
      </c>
      <c r="F7" s="54">
        <f t="shared" si="0"/>
        <v>1</v>
      </c>
      <c r="G7" s="53" t="s">
        <v>1565</v>
      </c>
      <c r="H7" s="231">
        <v>1</v>
      </c>
      <c r="I7" s="1268" t="s">
        <v>1565</v>
      </c>
      <c r="J7" s="231">
        <v>1</v>
      </c>
    </row>
    <row r="8" spans="1:13" ht="21" customHeight="1">
      <c r="A8" s="1817"/>
      <c r="B8" s="1818"/>
      <c r="C8" s="52" t="s">
        <v>505</v>
      </c>
      <c r="D8" s="53">
        <v>1</v>
      </c>
      <c r="E8" s="53" t="s">
        <v>499</v>
      </c>
      <c r="F8" s="54">
        <f t="shared" si="0"/>
        <v>1</v>
      </c>
      <c r="G8" s="53" t="s">
        <v>1565</v>
      </c>
      <c r="H8" s="231">
        <v>1</v>
      </c>
      <c r="I8" s="1268" t="s">
        <v>1565</v>
      </c>
      <c r="J8" s="231">
        <v>1</v>
      </c>
    </row>
    <row r="9" spans="1:13" ht="21" customHeight="1">
      <c r="A9" s="1817"/>
      <c r="B9" s="52" t="s">
        <v>506</v>
      </c>
      <c r="C9" s="52" t="s">
        <v>507</v>
      </c>
      <c r="D9" s="53">
        <v>1</v>
      </c>
      <c r="E9" s="53" t="s">
        <v>499</v>
      </c>
      <c r="F9" s="54">
        <f t="shared" si="0"/>
        <v>1</v>
      </c>
      <c r="G9" s="53" t="s">
        <v>1565</v>
      </c>
      <c r="H9" s="231">
        <v>1</v>
      </c>
      <c r="I9" s="1268" t="s">
        <v>1565</v>
      </c>
      <c r="J9" s="231">
        <v>1</v>
      </c>
    </row>
    <row r="10" spans="1:13" ht="21" customHeight="1">
      <c r="A10" s="1817"/>
      <c r="B10" s="52" t="s">
        <v>508</v>
      </c>
      <c r="C10" s="52" t="s">
        <v>509</v>
      </c>
      <c r="D10" s="53">
        <v>1</v>
      </c>
      <c r="E10" s="53" t="s">
        <v>499</v>
      </c>
      <c r="F10" s="54">
        <f t="shared" si="0"/>
        <v>1</v>
      </c>
      <c r="G10" s="53" t="s">
        <v>1565</v>
      </c>
      <c r="H10" s="231">
        <v>1</v>
      </c>
      <c r="I10" s="1268" t="s">
        <v>1565</v>
      </c>
      <c r="J10" s="231">
        <v>1</v>
      </c>
    </row>
    <row r="11" spans="1:13" ht="21" customHeight="1">
      <c r="A11" s="1817" t="s">
        <v>510</v>
      </c>
      <c r="B11" s="1818" t="s">
        <v>511</v>
      </c>
      <c r="C11" s="52" t="s">
        <v>512</v>
      </c>
      <c r="D11" s="53">
        <v>2</v>
      </c>
      <c r="E11" s="53" t="s">
        <v>499</v>
      </c>
      <c r="F11" s="54">
        <f t="shared" si="0"/>
        <v>2</v>
      </c>
      <c r="G11" s="53" t="s">
        <v>1565</v>
      </c>
      <c r="H11" s="231">
        <v>2</v>
      </c>
      <c r="I11" s="1268" t="s">
        <v>1565</v>
      </c>
      <c r="J11" s="231">
        <v>2</v>
      </c>
    </row>
    <row r="12" spans="1:13" ht="21" customHeight="1">
      <c r="A12" s="1817"/>
      <c r="B12" s="1818"/>
      <c r="C12" s="52" t="s">
        <v>513</v>
      </c>
      <c r="D12" s="53">
        <v>2</v>
      </c>
      <c r="E12" s="53" t="s">
        <v>499</v>
      </c>
      <c r="F12" s="54">
        <f t="shared" si="0"/>
        <v>2</v>
      </c>
      <c r="G12" s="53" t="s">
        <v>1565</v>
      </c>
      <c r="H12" s="231">
        <v>2</v>
      </c>
      <c r="I12" s="1268" t="s">
        <v>1565</v>
      </c>
      <c r="J12" s="231">
        <v>2</v>
      </c>
    </row>
    <row r="13" spans="1:13" ht="21" customHeight="1">
      <c r="A13" s="1817"/>
      <c r="B13" s="1818" t="s">
        <v>514</v>
      </c>
      <c r="C13" s="52" t="s">
        <v>515</v>
      </c>
      <c r="D13" s="53">
        <v>1</v>
      </c>
      <c r="E13" s="53" t="s">
        <v>499</v>
      </c>
      <c r="F13" s="54">
        <f t="shared" si="0"/>
        <v>1</v>
      </c>
      <c r="G13" s="53" t="s">
        <v>1565</v>
      </c>
      <c r="H13" s="231">
        <v>1</v>
      </c>
      <c r="I13" s="1268" t="s">
        <v>1565</v>
      </c>
      <c r="J13" s="231">
        <v>1</v>
      </c>
    </row>
    <row r="14" spans="1:13" ht="21" customHeight="1">
      <c r="A14" s="1817"/>
      <c r="B14" s="1818"/>
      <c r="C14" s="52" t="s">
        <v>516</v>
      </c>
      <c r="D14" s="53">
        <v>1</v>
      </c>
      <c r="E14" s="53" t="s">
        <v>499</v>
      </c>
      <c r="F14" s="54">
        <f t="shared" si="0"/>
        <v>1</v>
      </c>
      <c r="G14" s="53" t="s">
        <v>1565</v>
      </c>
      <c r="H14" s="231">
        <v>1</v>
      </c>
      <c r="I14" s="1268" t="s">
        <v>1565</v>
      </c>
      <c r="J14" s="231">
        <v>1</v>
      </c>
    </row>
    <row r="15" spans="1:13" ht="21" customHeight="1">
      <c r="A15" s="1817"/>
      <c r="B15" s="52" t="s">
        <v>517</v>
      </c>
      <c r="C15" s="52" t="s">
        <v>518</v>
      </c>
      <c r="D15" s="53">
        <v>1</v>
      </c>
      <c r="E15" s="53" t="s">
        <v>519</v>
      </c>
      <c r="F15" s="54"/>
      <c r="G15" s="53" t="s">
        <v>1566</v>
      </c>
      <c r="H15" s="231"/>
      <c r="I15" s="1268" t="s">
        <v>519</v>
      </c>
      <c r="J15" s="231"/>
    </row>
    <row r="16" spans="1:13" ht="21" customHeight="1">
      <c r="A16" s="1817"/>
      <c r="B16" s="1818" t="s">
        <v>520</v>
      </c>
      <c r="C16" s="52" t="s">
        <v>521</v>
      </c>
      <c r="D16" s="53">
        <v>1</v>
      </c>
      <c r="E16" s="53" t="s">
        <v>499</v>
      </c>
      <c r="F16" s="54">
        <f t="shared" si="0"/>
        <v>1</v>
      </c>
      <c r="G16" s="53" t="s">
        <v>1565</v>
      </c>
      <c r="H16" s="231">
        <v>1</v>
      </c>
      <c r="I16" s="1268" t="s">
        <v>1565</v>
      </c>
      <c r="J16" s="231">
        <v>1</v>
      </c>
    </row>
    <row r="17" spans="1:10">
      <c r="A17" s="1817"/>
      <c r="B17" s="1818"/>
      <c r="C17" s="52" t="s">
        <v>522</v>
      </c>
      <c r="D17" s="53">
        <v>2</v>
      </c>
      <c r="E17" s="53" t="s">
        <v>499</v>
      </c>
      <c r="F17" s="54">
        <f t="shared" si="0"/>
        <v>2</v>
      </c>
      <c r="G17" s="53" t="s">
        <v>1565</v>
      </c>
      <c r="H17" s="231">
        <v>2</v>
      </c>
      <c r="I17" s="1268" t="s">
        <v>1565</v>
      </c>
      <c r="J17" s="231">
        <v>2</v>
      </c>
    </row>
    <row r="18" spans="1:10">
      <c r="A18" s="1817"/>
      <c r="B18" s="235" t="s">
        <v>523</v>
      </c>
      <c r="C18" s="52" t="s">
        <v>524</v>
      </c>
      <c r="D18" s="53">
        <v>1</v>
      </c>
      <c r="E18" s="55" t="s">
        <v>525</v>
      </c>
      <c r="F18" s="56">
        <v>0</v>
      </c>
      <c r="G18" s="229" t="s">
        <v>1565</v>
      </c>
      <c r="H18" s="232">
        <v>1</v>
      </c>
      <c r="I18" s="229" t="s">
        <v>1565</v>
      </c>
      <c r="J18" s="232">
        <v>1</v>
      </c>
    </row>
    <row r="19" spans="1:10">
      <c r="A19" s="1817"/>
      <c r="B19" s="1818" t="s">
        <v>526</v>
      </c>
      <c r="C19" s="52" t="s">
        <v>527</v>
      </c>
      <c r="D19" s="53">
        <v>2</v>
      </c>
      <c r="E19" s="53" t="s">
        <v>499</v>
      </c>
      <c r="F19" s="54">
        <f>D19</f>
        <v>2</v>
      </c>
      <c r="G19" s="53" t="s">
        <v>1565</v>
      </c>
      <c r="H19" s="231">
        <v>2</v>
      </c>
      <c r="I19" s="1268" t="s">
        <v>1565</v>
      </c>
      <c r="J19" s="231">
        <v>2</v>
      </c>
    </row>
    <row r="20" spans="1:10">
      <c r="A20" s="1817"/>
      <c r="B20" s="1818"/>
      <c r="C20" s="52" t="s">
        <v>528</v>
      </c>
      <c r="D20" s="53">
        <v>2</v>
      </c>
      <c r="E20" s="53" t="s">
        <v>499</v>
      </c>
      <c r="F20" s="54">
        <f t="shared" ref="F20:F37" si="1">D20</f>
        <v>2</v>
      </c>
      <c r="G20" s="53" t="s">
        <v>1565</v>
      </c>
      <c r="H20" s="231">
        <v>2</v>
      </c>
      <c r="I20" s="1268" t="s">
        <v>1565</v>
      </c>
      <c r="J20" s="231">
        <v>2</v>
      </c>
    </row>
    <row r="21" spans="1:10">
      <c r="A21" s="1817" t="s">
        <v>529</v>
      </c>
      <c r="B21" s="1818" t="s">
        <v>530</v>
      </c>
      <c r="C21" s="52" t="s">
        <v>531</v>
      </c>
      <c r="D21" s="53">
        <v>2</v>
      </c>
      <c r="E21" s="53" t="s">
        <v>499</v>
      </c>
      <c r="F21" s="54">
        <f t="shared" si="1"/>
        <v>2</v>
      </c>
      <c r="G21" s="53" t="s">
        <v>1565</v>
      </c>
      <c r="H21" s="231">
        <v>2</v>
      </c>
      <c r="I21" s="1268" t="s">
        <v>1565</v>
      </c>
      <c r="J21" s="231">
        <v>2</v>
      </c>
    </row>
    <row r="22" spans="1:10">
      <c r="A22" s="1817"/>
      <c r="B22" s="1818"/>
      <c r="C22" s="52" t="s">
        <v>532</v>
      </c>
      <c r="D22" s="53">
        <v>2</v>
      </c>
      <c r="E22" s="53" t="s">
        <v>499</v>
      </c>
      <c r="F22" s="54">
        <f t="shared" si="1"/>
        <v>2</v>
      </c>
      <c r="G22" s="53" t="s">
        <v>1565</v>
      </c>
      <c r="H22" s="231">
        <v>2</v>
      </c>
      <c r="I22" s="1268" t="s">
        <v>1565</v>
      </c>
      <c r="J22" s="231">
        <v>2</v>
      </c>
    </row>
    <row r="23" spans="1:10">
      <c r="A23" s="1817"/>
      <c r="B23" s="1818" t="s">
        <v>533</v>
      </c>
      <c r="C23" s="52" t="s">
        <v>534</v>
      </c>
      <c r="D23" s="53">
        <v>1</v>
      </c>
      <c r="E23" s="53" t="s">
        <v>499</v>
      </c>
      <c r="F23" s="54">
        <f t="shared" si="1"/>
        <v>1</v>
      </c>
      <c r="G23" s="53" t="s">
        <v>1565</v>
      </c>
      <c r="H23" s="231">
        <v>1</v>
      </c>
      <c r="I23" s="1268" t="s">
        <v>1565</v>
      </c>
      <c r="J23" s="231">
        <v>1</v>
      </c>
    </row>
    <row r="24" spans="1:10" ht="27">
      <c r="A24" s="1817"/>
      <c r="B24" s="1818"/>
      <c r="C24" s="52" t="s">
        <v>535</v>
      </c>
      <c r="D24" s="53">
        <v>1</v>
      </c>
      <c r="E24" s="53" t="s">
        <v>499</v>
      </c>
      <c r="F24" s="54">
        <f t="shared" si="1"/>
        <v>1</v>
      </c>
      <c r="G24" s="53" t="s">
        <v>1565</v>
      </c>
      <c r="H24" s="231">
        <v>1</v>
      </c>
      <c r="I24" s="1268" t="s">
        <v>1565</v>
      </c>
      <c r="J24" s="231">
        <v>1</v>
      </c>
    </row>
    <row r="25" spans="1:10">
      <c r="A25" s="1817"/>
      <c r="B25" s="1818"/>
      <c r="C25" s="52" t="s">
        <v>536</v>
      </c>
      <c r="D25" s="53">
        <v>1</v>
      </c>
      <c r="E25" s="53" t="s">
        <v>499</v>
      </c>
      <c r="F25" s="54">
        <f t="shared" si="1"/>
        <v>1</v>
      </c>
      <c r="G25" s="53" t="s">
        <v>1565</v>
      </c>
      <c r="H25" s="231">
        <v>1</v>
      </c>
      <c r="I25" s="1268" t="s">
        <v>1565</v>
      </c>
      <c r="J25" s="231">
        <v>1</v>
      </c>
    </row>
    <row r="26" spans="1:10">
      <c r="A26" s="1817" t="s">
        <v>537</v>
      </c>
      <c r="B26" s="1818" t="s">
        <v>538</v>
      </c>
      <c r="C26" s="52" t="s">
        <v>539</v>
      </c>
      <c r="D26" s="53">
        <v>1</v>
      </c>
      <c r="E26" s="53" t="s">
        <v>499</v>
      </c>
      <c r="F26" s="54">
        <f t="shared" si="1"/>
        <v>1</v>
      </c>
      <c r="G26" s="53" t="s">
        <v>1565</v>
      </c>
      <c r="H26" s="231">
        <v>1</v>
      </c>
      <c r="I26" s="1268" t="s">
        <v>1565</v>
      </c>
      <c r="J26" s="231">
        <v>1</v>
      </c>
    </row>
    <row r="27" spans="1:10">
      <c r="A27" s="1817"/>
      <c r="B27" s="1818"/>
      <c r="C27" s="52" t="s">
        <v>540</v>
      </c>
      <c r="D27" s="53">
        <v>2</v>
      </c>
      <c r="E27" s="53" t="s">
        <v>499</v>
      </c>
      <c r="F27" s="54">
        <f t="shared" si="1"/>
        <v>2</v>
      </c>
      <c r="G27" s="53" t="s">
        <v>1565</v>
      </c>
      <c r="H27" s="231">
        <v>2</v>
      </c>
      <c r="I27" s="1268" t="s">
        <v>1565</v>
      </c>
      <c r="J27" s="231">
        <v>2</v>
      </c>
    </row>
    <row r="28" spans="1:10">
      <c r="A28" s="1817"/>
      <c r="B28" s="1818"/>
      <c r="C28" s="52" t="s">
        <v>541</v>
      </c>
      <c r="D28" s="53">
        <v>2</v>
      </c>
      <c r="E28" s="53" t="s">
        <v>499</v>
      </c>
      <c r="F28" s="54">
        <f t="shared" si="1"/>
        <v>2</v>
      </c>
      <c r="G28" s="53" t="s">
        <v>1565</v>
      </c>
      <c r="H28" s="231">
        <v>2</v>
      </c>
      <c r="I28" s="1268" t="s">
        <v>1565</v>
      </c>
      <c r="J28" s="231">
        <v>2</v>
      </c>
    </row>
    <row r="29" spans="1:10">
      <c r="A29" s="1817"/>
      <c r="B29" s="1818" t="s">
        <v>542</v>
      </c>
      <c r="C29" s="52" t="s">
        <v>543</v>
      </c>
      <c r="D29" s="53">
        <v>2</v>
      </c>
      <c r="E29" s="53" t="s">
        <v>499</v>
      </c>
      <c r="F29" s="54">
        <f t="shared" si="1"/>
        <v>2</v>
      </c>
      <c r="G29" s="53" t="s">
        <v>1565</v>
      </c>
      <c r="H29" s="231">
        <v>2</v>
      </c>
      <c r="I29" s="1268" t="s">
        <v>1565</v>
      </c>
      <c r="J29" s="231">
        <v>2</v>
      </c>
    </row>
    <row r="30" spans="1:10">
      <c r="A30" s="1817"/>
      <c r="B30" s="1818"/>
      <c r="C30" s="52" t="s">
        <v>544</v>
      </c>
      <c r="D30" s="53">
        <v>2</v>
      </c>
      <c r="E30" s="53" t="s">
        <v>499</v>
      </c>
      <c r="F30" s="54">
        <f t="shared" si="1"/>
        <v>2</v>
      </c>
      <c r="G30" s="53" t="s">
        <v>1565</v>
      </c>
      <c r="H30" s="231">
        <v>2</v>
      </c>
      <c r="I30" s="1268" t="s">
        <v>1565</v>
      </c>
      <c r="J30" s="231">
        <v>2</v>
      </c>
    </row>
    <row r="31" spans="1:10">
      <c r="A31" s="1817"/>
      <c r="B31" s="52" t="s">
        <v>545</v>
      </c>
      <c r="C31" s="52" t="s">
        <v>546</v>
      </c>
      <c r="D31" s="53">
        <v>2</v>
      </c>
      <c r="E31" s="53" t="s">
        <v>499</v>
      </c>
      <c r="F31" s="54">
        <f t="shared" si="1"/>
        <v>2</v>
      </c>
      <c r="G31" s="53" t="s">
        <v>1565</v>
      </c>
      <c r="H31" s="231">
        <v>2</v>
      </c>
      <c r="I31" s="1268" t="s">
        <v>1565</v>
      </c>
      <c r="J31" s="231">
        <v>2</v>
      </c>
    </row>
    <row r="32" spans="1:10">
      <c r="A32" s="1817"/>
      <c r="B32" s="1818" t="s">
        <v>547</v>
      </c>
      <c r="C32" s="52" t="s">
        <v>548</v>
      </c>
      <c r="D32" s="53">
        <v>1</v>
      </c>
      <c r="E32" s="53" t="s">
        <v>499</v>
      </c>
      <c r="F32" s="54">
        <f t="shared" si="1"/>
        <v>1</v>
      </c>
      <c r="G32" s="53" t="s">
        <v>1565</v>
      </c>
      <c r="H32" s="231">
        <v>1</v>
      </c>
      <c r="I32" s="1268" t="s">
        <v>1565</v>
      </c>
      <c r="J32" s="231">
        <v>1</v>
      </c>
    </row>
    <row r="33" spans="1:10">
      <c r="A33" s="1817"/>
      <c r="B33" s="1818"/>
      <c r="C33" s="52" t="s">
        <v>549</v>
      </c>
      <c r="D33" s="53">
        <v>1</v>
      </c>
      <c r="E33" s="53" t="s">
        <v>499</v>
      </c>
      <c r="F33" s="54">
        <f t="shared" si="1"/>
        <v>1</v>
      </c>
      <c r="G33" s="53" t="s">
        <v>1565</v>
      </c>
      <c r="H33" s="231">
        <v>1</v>
      </c>
      <c r="I33" s="1268" t="s">
        <v>1565</v>
      </c>
      <c r="J33" s="231">
        <v>1</v>
      </c>
    </row>
    <row r="34" spans="1:10">
      <c r="A34" s="1817"/>
      <c r="B34" s="1818"/>
      <c r="C34" s="52" t="s">
        <v>550</v>
      </c>
      <c r="D34" s="53">
        <v>1</v>
      </c>
      <c r="E34" s="53" t="s">
        <v>499</v>
      </c>
      <c r="F34" s="54">
        <f t="shared" si="1"/>
        <v>1</v>
      </c>
      <c r="G34" s="53" t="s">
        <v>1565</v>
      </c>
      <c r="H34" s="231">
        <v>1</v>
      </c>
      <c r="I34" s="1268" t="s">
        <v>1565</v>
      </c>
      <c r="J34" s="231">
        <v>1</v>
      </c>
    </row>
    <row r="35" spans="1:10">
      <c r="A35" s="1817"/>
      <c r="B35" s="52" t="s">
        <v>551</v>
      </c>
      <c r="C35" s="52" t="s">
        <v>552</v>
      </c>
      <c r="D35" s="53">
        <v>1</v>
      </c>
      <c r="E35" s="53" t="s">
        <v>499</v>
      </c>
      <c r="F35" s="54">
        <f t="shared" si="1"/>
        <v>1</v>
      </c>
      <c r="G35" s="53" t="s">
        <v>1565</v>
      </c>
      <c r="H35" s="231">
        <v>1</v>
      </c>
      <c r="I35" s="1268" t="s">
        <v>1565</v>
      </c>
      <c r="J35" s="231">
        <v>1</v>
      </c>
    </row>
    <row r="36" spans="1:10">
      <c r="A36" s="1817"/>
      <c r="B36" s="1818" t="s">
        <v>553</v>
      </c>
      <c r="C36" s="52" t="s">
        <v>554</v>
      </c>
      <c r="D36" s="53">
        <v>1</v>
      </c>
      <c r="E36" s="53" t="s">
        <v>499</v>
      </c>
      <c r="F36" s="54">
        <f t="shared" si="1"/>
        <v>1</v>
      </c>
      <c r="G36" s="53" t="s">
        <v>1565</v>
      </c>
      <c r="H36" s="231">
        <v>1</v>
      </c>
      <c r="I36" s="1268" t="s">
        <v>1565</v>
      </c>
      <c r="J36" s="231">
        <v>1</v>
      </c>
    </row>
    <row r="37" spans="1:10">
      <c r="A37" s="1817"/>
      <c r="B37" s="1818"/>
      <c r="C37" s="52" t="s">
        <v>555</v>
      </c>
      <c r="D37" s="53">
        <v>1</v>
      </c>
      <c r="E37" s="53" t="s">
        <v>499</v>
      </c>
      <c r="F37" s="54">
        <f t="shared" si="1"/>
        <v>1</v>
      </c>
      <c r="G37" s="53" t="s">
        <v>1565</v>
      </c>
      <c r="H37" s="231">
        <v>1</v>
      </c>
      <c r="I37" s="1268" t="s">
        <v>1565</v>
      </c>
      <c r="J37" s="231">
        <v>1</v>
      </c>
    </row>
    <row r="38" spans="1:10" ht="27" customHeight="1">
      <c r="A38" s="1817"/>
      <c r="B38" s="52" t="s">
        <v>556</v>
      </c>
      <c r="C38" s="52" t="s">
        <v>557</v>
      </c>
      <c r="D38" s="53">
        <v>2</v>
      </c>
      <c r="E38" s="53" t="s">
        <v>519</v>
      </c>
      <c r="F38" s="54"/>
      <c r="G38" s="53" t="s">
        <v>1566</v>
      </c>
      <c r="H38" s="231"/>
      <c r="I38" s="1268" t="s">
        <v>519</v>
      </c>
      <c r="J38" s="231"/>
    </row>
    <row r="39" spans="1:10">
      <c r="A39" s="1817"/>
      <c r="B39" s="1818" t="s">
        <v>558</v>
      </c>
      <c r="C39" s="52" t="s">
        <v>559</v>
      </c>
      <c r="D39" s="53">
        <v>1</v>
      </c>
      <c r="E39" s="53" t="s">
        <v>519</v>
      </c>
      <c r="F39" s="54"/>
      <c r="G39" s="53" t="s">
        <v>1566</v>
      </c>
      <c r="H39" s="231"/>
      <c r="I39" s="1268" t="s">
        <v>519</v>
      </c>
      <c r="J39" s="231"/>
    </row>
    <row r="40" spans="1:10">
      <c r="A40" s="1817"/>
      <c r="B40" s="1818"/>
      <c r="C40" s="52" t="s">
        <v>560</v>
      </c>
      <c r="D40" s="53">
        <v>1</v>
      </c>
      <c r="E40" s="53" t="s">
        <v>519</v>
      </c>
      <c r="F40" s="54"/>
      <c r="G40" s="53" t="s">
        <v>1566</v>
      </c>
      <c r="H40" s="231"/>
      <c r="I40" s="1268" t="s">
        <v>519</v>
      </c>
      <c r="J40" s="231"/>
    </row>
    <row r="41" spans="1:10">
      <c r="A41" s="1817"/>
      <c r="B41" s="1818"/>
      <c r="C41" s="52" t="s">
        <v>561</v>
      </c>
      <c r="D41" s="53">
        <v>1</v>
      </c>
      <c r="E41" s="53" t="s">
        <v>519</v>
      </c>
      <c r="F41" s="54"/>
      <c r="G41" s="53" t="s">
        <v>1566</v>
      </c>
      <c r="H41" s="231"/>
      <c r="I41" s="1268" t="s">
        <v>519</v>
      </c>
      <c r="J41" s="231"/>
    </row>
    <row r="42" spans="1:10">
      <c r="A42" s="1817"/>
      <c r="B42" s="1818"/>
      <c r="C42" s="57" t="s">
        <v>562</v>
      </c>
      <c r="D42" s="53">
        <v>1</v>
      </c>
      <c r="E42" s="53" t="s">
        <v>519</v>
      </c>
      <c r="F42" s="54"/>
      <c r="G42" s="53" t="s">
        <v>1566</v>
      </c>
      <c r="H42" s="231"/>
      <c r="I42" s="1268" t="s">
        <v>519</v>
      </c>
      <c r="J42" s="231"/>
    </row>
    <row r="43" spans="1:10">
      <c r="A43" s="1817"/>
      <c r="B43" s="1818" t="s">
        <v>563</v>
      </c>
      <c r="C43" s="52" t="s">
        <v>564</v>
      </c>
      <c r="D43" s="53">
        <v>1</v>
      </c>
      <c r="E43" s="53" t="s">
        <v>499</v>
      </c>
      <c r="F43" s="54">
        <f>D43</f>
        <v>1</v>
      </c>
      <c r="G43" s="53" t="s">
        <v>1565</v>
      </c>
      <c r="H43" s="231">
        <v>1</v>
      </c>
      <c r="I43" s="1268" t="s">
        <v>1565</v>
      </c>
      <c r="J43" s="231">
        <v>1</v>
      </c>
    </row>
    <row r="44" spans="1:10" ht="27" customHeight="1">
      <c r="A44" s="1817"/>
      <c r="B44" s="1818"/>
      <c r="C44" s="52" t="s">
        <v>565</v>
      </c>
      <c r="D44" s="53">
        <v>1</v>
      </c>
      <c r="E44" s="53" t="s">
        <v>499</v>
      </c>
      <c r="F44" s="54">
        <f t="shared" ref="F44:F65" si="2">D44</f>
        <v>1</v>
      </c>
      <c r="G44" s="53" t="s">
        <v>1565</v>
      </c>
      <c r="H44" s="231">
        <v>1</v>
      </c>
      <c r="I44" s="1268" t="s">
        <v>1565</v>
      </c>
      <c r="J44" s="231">
        <v>1</v>
      </c>
    </row>
    <row r="45" spans="1:10">
      <c r="A45" s="1817"/>
      <c r="B45" s="1818"/>
      <c r="C45" s="52" t="s">
        <v>566</v>
      </c>
      <c r="D45" s="53">
        <v>1</v>
      </c>
      <c r="E45" s="53" t="s">
        <v>499</v>
      </c>
      <c r="F45" s="54">
        <f t="shared" si="2"/>
        <v>1</v>
      </c>
      <c r="G45" s="53" t="s">
        <v>1565</v>
      </c>
      <c r="H45" s="231">
        <v>1</v>
      </c>
      <c r="I45" s="1268" t="s">
        <v>1565</v>
      </c>
      <c r="J45" s="231">
        <v>1</v>
      </c>
    </row>
    <row r="46" spans="1:10">
      <c r="A46" s="1817"/>
      <c r="B46" s="1818"/>
      <c r="C46" s="52" t="s">
        <v>567</v>
      </c>
      <c r="D46" s="53">
        <v>1</v>
      </c>
      <c r="E46" s="53" t="s">
        <v>499</v>
      </c>
      <c r="F46" s="54">
        <f t="shared" si="2"/>
        <v>1</v>
      </c>
      <c r="G46" s="53" t="s">
        <v>1565</v>
      </c>
      <c r="H46" s="231">
        <v>1</v>
      </c>
      <c r="I46" s="1268" t="s">
        <v>1565</v>
      </c>
      <c r="J46" s="231">
        <v>1</v>
      </c>
    </row>
    <row r="47" spans="1:10">
      <c r="A47" s="1817"/>
      <c r="B47" s="1818"/>
      <c r="C47" s="52" t="s">
        <v>568</v>
      </c>
      <c r="D47" s="53">
        <v>1</v>
      </c>
      <c r="E47" s="53" t="s">
        <v>499</v>
      </c>
      <c r="F47" s="54">
        <f t="shared" si="2"/>
        <v>1</v>
      </c>
      <c r="G47" s="53" t="s">
        <v>1565</v>
      </c>
      <c r="H47" s="231">
        <v>1</v>
      </c>
      <c r="I47" s="1268" t="s">
        <v>1565</v>
      </c>
      <c r="J47" s="231">
        <v>1</v>
      </c>
    </row>
    <row r="48" spans="1:10">
      <c r="A48" s="1817"/>
      <c r="B48" s="1818" t="s">
        <v>569</v>
      </c>
      <c r="C48" s="52" t="s">
        <v>570</v>
      </c>
      <c r="D48" s="53">
        <v>1</v>
      </c>
      <c r="E48" s="53" t="s">
        <v>499</v>
      </c>
      <c r="F48" s="54">
        <f t="shared" si="2"/>
        <v>1</v>
      </c>
      <c r="G48" s="53" t="s">
        <v>1565</v>
      </c>
      <c r="H48" s="231">
        <v>1</v>
      </c>
      <c r="I48" s="1268" t="s">
        <v>1565</v>
      </c>
      <c r="J48" s="231">
        <v>1</v>
      </c>
    </row>
    <row r="49" spans="1:10">
      <c r="A49" s="1817"/>
      <c r="B49" s="1818"/>
      <c r="C49" s="52" t="s">
        <v>571</v>
      </c>
      <c r="D49" s="53">
        <v>1</v>
      </c>
      <c r="E49" s="53" t="s">
        <v>499</v>
      </c>
      <c r="F49" s="54">
        <f t="shared" si="2"/>
        <v>1</v>
      </c>
      <c r="G49" s="53" t="s">
        <v>1565</v>
      </c>
      <c r="H49" s="231">
        <v>1</v>
      </c>
      <c r="I49" s="1268" t="s">
        <v>1565</v>
      </c>
      <c r="J49" s="231">
        <v>1</v>
      </c>
    </row>
    <row r="50" spans="1:10" ht="27">
      <c r="A50" s="1817"/>
      <c r="B50" s="1818"/>
      <c r="C50" s="52" t="s">
        <v>572</v>
      </c>
      <c r="D50" s="53">
        <v>1</v>
      </c>
      <c r="E50" s="53" t="s">
        <v>499</v>
      </c>
      <c r="F50" s="54">
        <f t="shared" si="2"/>
        <v>1</v>
      </c>
      <c r="G50" s="53" t="s">
        <v>1565</v>
      </c>
      <c r="H50" s="231">
        <v>1</v>
      </c>
      <c r="I50" s="1268" t="s">
        <v>1565</v>
      </c>
      <c r="J50" s="231">
        <v>1</v>
      </c>
    </row>
    <row r="51" spans="1:10">
      <c r="A51" s="1817" t="s">
        <v>537</v>
      </c>
      <c r="B51" s="52" t="s">
        <v>569</v>
      </c>
      <c r="C51" s="52" t="s">
        <v>573</v>
      </c>
      <c r="D51" s="53">
        <v>1</v>
      </c>
      <c r="E51" s="53" t="s">
        <v>499</v>
      </c>
      <c r="F51" s="54">
        <f t="shared" si="2"/>
        <v>1</v>
      </c>
      <c r="G51" s="53" t="s">
        <v>1565</v>
      </c>
      <c r="H51" s="231">
        <v>1</v>
      </c>
      <c r="I51" s="1268" t="s">
        <v>1565</v>
      </c>
      <c r="J51" s="231">
        <v>1</v>
      </c>
    </row>
    <row r="52" spans="1:10">
      <c r="A52" s="1817"/>
      <c r="B52" s="1818" t="s">
        <v>574</v>
      </c>
      <c r="C52" s="52" t="s">
        <v>575</v>
      </c>
      <c r="D52" s="53">
        <v>1</v>
      </c>
      <c r="E52" s="53" t="s">
        <v>499</v>
      </c>
      <c r="F52" s="54">
        <f t="shared" si="2"/>
        <v>1</v>
      </c>
      <c r="G52" s="53" t="s">
        <v>1565</v>
      </c>
      <c r="H52" s="231">
        <v>1</v>
      </c>
      <c r="I52" s="1268" t="s">
        <v>1565</v>
      </c>
      <c r="J52" s="231">
        <v>1</v>
      </c>
    </row>
    <row r="53" spans="1:10">
      <c r="A53" s="1817"/>
      <c r="B53" s="1818"/>
      <c r="C53" s="52" t="s">
        <v>576</v>
      </c>
      <c r="D53" s="53">
        <v>2</v>
      </c>
      <c r="E53" s="53" t="s">
        <v>499</v>
      </c>
      <c r="F53" s="54">
        <f t="shared" si="2"/>
        <v>2</v>
      </c>
      <c r="G53" s="53" t="s">
        <v>1565</v>
      </c>
      <c r="H53" s="231">
        <v>2</v>
      </c>
      <c r="I53" s="1268" t="s">
        <v>1565</v>
      </c>
      <c r="J53" s="231">
        <v>2</v>
      </c>
    </row>
    <row r="54" spans="1:10">
      <c r="A54" s="1817"/>
      <c r="B54" s="1818"/>
      <c r="C54" s="52" t="s">
        <v>577</v>
      </c>
      <c r="D54" s="53">
        <v>2</v>
      </c>
      <c r="E54" s="53" t="s">
        <v>499</v>
      </c>
      <c r="F54" s="54">
        <f t="shared" si="2"/>
        <v>2</v>
      </c>
      <c r="G54" s="53" t="s">
        <v>1565</v>
      </c>
      <c r="H54" s="231">
        <v>2</v>
      </c>
      <c r="I54" s="1268" t="s">
        <v>1565</v>
      </c>
      <c r="J54" s="231">
        <v>2</v>
      </c>
    </row>
    <row r="55" spans="1:10">
      <c r="A55" s="1817"/>
      <c r="B55" s="1818"/>
      <c r="C55" s="52" t="s">
        <v>578</v>
      </c>
      <c r="D55" s="53">
        <v>2</v>
      </c>
      <c r="E55" s="53" t="s">
        <v>499</v>
      </c>
      <c r="F55" s="54">
        <f t="shared" si="2"/>
        <v>2</v>
      </c>
      <c r="G55" s="53" t="s">
        <v>1565</v>
      </c>
      <c r="H55" s="231">
        <v>2</v>
      </c>
      <c r="I55" s="1268" t="s">
        <v>1565</v>
      </c>
      <c r="J55" s="231">
        <v>2</v>
      </c>
    </row>
    <row r="56" spans="1:10">
      <c r="A56" s="1817"/>
      <c r="B56" s="1818"/>
      <c r="C56" s="52" t="s">
        <v>579</v>
      </c>
      <c r="D56" s="53">
        <v>2</v>
      </c>
      <c r="E56" s="53" t="s">
        <v>499</v>
      </c>
      <c r="F56" s="54">
        <f t="shared" si="2"/>
        <v>2</v>
      </c>
      <c r="G56" s="53" t="s">
        <v>1565</v>
      </c>
      <c r="H56" s="231">
        <v>2</v>
      </c>
      <c r="I56" s="1268" t="s">
        <v>1565</v>
      </c>
      <c r="J56" s="231">
        <v>2</v>
      </c>
    </row>
    <row r="57" spans="1:10">
      <c r="A57" s="1817"/>
      <c r="B57" s="1818" t="s">
        <v>580</v>
      </c>
      <c r="C57" s="58" t="s">
        <v>581</v>
      </c>
      <c r="D57" s="53">
        <v>1</v>
      </c>
      <c r="E57" s="53" t="s">
        <v>499</v>
      </c>
      <c r="F57" s="54">
        <f t="shared" si="2"/>
        <v>1</v>
      </c>
      <c r="G57" s="53" t="s">
        <v>1565</v>
      </c>
      <c r="H57" s="231">
        <v>1</v>
      </c>
      <c r="I57" s="1268" t="s">
        <v>1565</v>
      </c>
      <c r="J57" s="231">
        <v>1</v>
      </c>
    </row>
    <row r="58" spans="1:10">
      <c r="A58" s="1817"/>
      <c r="B58" s="1818"/>
      <c r="C58" s="58" t="s">
        <v>582</v>
      </c>
      <c r="D58" s="53">
        <v>1</v>
      </c>
      <c r="E58" s="53" t="s">
        <v>499</v>
      </c>
      <c r="F58" s="54">
        <f t="shared" si="2"/>
        <v>1</v>
      </c>
      <c r="G58" s="53" t="s">
        <v>1565</v>
      </c>
      <c r="H58" s="231">
        <v>1</v>
      </c>
      <c r="I58" s="1268" t="s">
        <v>1565</v>
      </c>
      <c r="J58" s="231">
        <v>1</v>
      </c>
    </row>
    <row r="59" spans="1:10" ht="27">
      <c r="A59" s="1817"/>
      <c r="B59" s="1818"/>
      <c r="C59" s="58" t="s">
        <v>583</v>
      </c>
      <c r="D59" s="53">
        <v>1</v>
      </c>
      <c r="E59" s="53" t="s">
        <v>499</v>
      </c>
      <c r="F59" s="54">
        <f t="shared" si="2"/>
        <v>1</v>
      </c>
      <c r="G59" s="53" t="s">
        <v>1565</v>
      </c>
      <c r="H59" s="231">
        <v>1</v>
      </c>
      <c r="I59" s="1268" t="s">
        <v>1565</v>
      </c>
      <c r="J59" s="231">
        <v>1</v>
      </c>
    </row>
    <row r="60" spans="1:10">
      <c r="A60" s="1817" t="s">
        <v>584</v>
      </c>
      <c r="B60" s="52" t="s">
        <v>585</v>
      </c>
      <c r="C60" s="52" t="s">
        <v>586</v>
      </c>
      <c r="D60" s="53">
        <v>1</v>
      </c>
      <c r="E60" s="53" t="s">
        <v>499</v>
      </c>
      <c r="F60" s="54">
        <f t="shared" si="2"/>
        <v>1</v>
      </c>
      <c r="G60" s="53" t="s">
        <v>1565</v>
      </c>
      <c r="H60" s="231">
        <v>1</v>
      </c>
      <c r="I60" s="1268" t="s">
        <v>1565</v>
      </c>
      <c r="J60" s="231">
        <v>1</v>
      </c>
    </row>
    <row r="61" spans="1:10">
      <c r="A61" s="1817"/>
      <c r="B61" s="1818" t="s">
        <v>587</v>
      </c>
      <c r="C61" s="52" t="s">
        <v>588</v>
      </c>
      <c r="D61" s="53">
        <v>1</v>
      </c>
      <c r="E61" s="53" t="s">
        <v>499</v>
      </c>
      <c r="F61" s="54">
        <f t="shared" si="2"/>
        <v>1</v>
      </c>
      <c r="G61" s="53" t="s">
        <v>1565</v>
      </c>
      <c r="H61" s="231">
        <v>1</v>
      </c>
      <c r="I61" s="1268" t="s">
        <v>1565</v>
      </c>
      <c r="J61" s="231">
        <v>1</v>
      </c>
    </row>
    <row r="62" spans="1:10">
      <c r="A62" s="1817"/>
      <c r="B62" s="1818"/>
      <c r="C62" s="52" t="s">
        <v>589</v>
      </c>
      <c r="D62" s="53">
        <v>1</v>
      </c>
      <c r="E62" s="53" t="s">
        <v>499</v>
      </c>
      <c r="F62" s="54">
        <f t="shared" si="2"/>
        <v>1</v>
      </c>
      <c r="G62" s="53" t="s">
        <v>1565</v>
      </c>
      <c r="H62" s="231">
        <v>1</v>
      </c>
      <c r="I62" s="1268" t="s">
        <v>1565</v>
      </c>
      <c r="J62" s="231">
        <v>1</v>
      </c>
    </row>
    <row r="63" spans="1:10" ht="27">
      <c r="A63" s="1817"/>
      <c r="B63" s="52" t="s">
        <v>590</v>
      </c>
      <c r="C63" s="52" t="s">
        <v>591</v>
      </c>
      <c r="D63" s="53">
        <v>1</v>
      </c>
      <c r="E63" s="53" t="s">
        <v>499</v>
      </c>
      <c r="F63" s="54">
        <f t="shared" si="2"/>
        <v>1</v>
      </c>
      <c r="G63" s="53" t="s">
        <v>1565</v>
      </c>
      <c r="H63" s="231">
        <v>1</v>
      </c>
      <c r="I63" s="1268" t="s">
        <v>1565</v>
      </c>
      <c r="J63" s="231">
        <v>1</v>
      </c>
    </row>
    <row r="64" spans="1:10">
      <c r="A64" s="1817"/>
      <c r="B64" s="1818" t="s">
        <v>592</v>
      </c>
      <c r="C64" s="52" t="s">
        <v>593</v>
      </c>
      <c r="D64" s="53">
        <v>1</v>
      </c>
      <c r="E64" s="53" t="s">
        <v>499</v>
      </c>
      <c r="F64" s="54">
        <f t="shared" si="2"/>
        <v>1</v>
      </c>
      <c r="G64" s="53" t="s">
        <v>1565</v>
      </c>
      <c r="H64" s="231">
        <v>1</v>
      </c>
      <c r="I64" s="1268" t="s">
        <v>1565</v>
      </c>
      <c r="J64" s="231">
        <v>1</v>
      </c>
    </row>
    <row r="65" spans="1:10">
      <c r="A65" s="1817"/>
      <c r="B65" s="1818"/>
      <c r="C65" s="52" t="s">
        <v>594</v>
      </c>
      <c r="D65" s="53">
        <v>1</v>
      </c>
      <c r="E65" s="53" t="s">
        <v>499</v>
      </c>
      <c r="F65" s="54">
        <f t="shared" si="2"/>
        <v>1</v>
      </c>
      <c r="G65" s="53" t="s">
        <v>1565</v>
      </c>
      <c r="H65" s="231">
        <v>1</v>
      </c>
      <c r="I65" s="1268" t="s">
        <v>1565</v>
      </c>
      <c r="J65" s="231">
        <v>1</v>
      </c>
    </row>
    <row r="66" spans="1:10">
      <c r="A66" s="1817"/>
      <c r="B66" s="234" t="s">
        <v>595</v>
      </c>
      <c r="C66" s="52" t="s">
        <v>596</v>
      </c>
      <c r="D66" s="53">
        <v>1</v>
      </c>
      <c r="E66" s="55" t="s">
        <v>525</v>
      </c>
      <c r="F66" s="56">
        <v>0</v>
      </c>
      <c r="G66" s="230" t="s">
        <v>525</v>
      </c>
      <c r="H66" s="233">
        <v>0</v>
      </c>
      <c r="I66" s="230" t="s">
        <v>525</v>
      </c>
      <c r="J66" s="233">
        <v>0</v>
      </c>
    </row>
    <row r="67" spans="1:10">
      <c r="A67" s="1817"/>
      <c r="B67" s="52" t="s">
        <v>597</v>
      </c>
      <c r="C67" s="52" t="s">
        <v>598</v>
      </c>
      <c r="D67" s="53">
        <v>1</v>
      </c>
      <c r="E67" s="53" t="s">
        <v>499</v>
      </c>
      <c r="F67" s="54">
        <f>D67</f>
        <v>1</v>
      </c>
      <c r="G67" s="53" t="s">
        <v>1565</v>
      </c>
      <c r="H67" s="231">
        <v>1</v>
      </c>
      <c r="I67" s="1268" t="s">
        <v>1565</v>
      </c>
      <c r="J67" s="231">
        <v>1</v>
      </c>
    </row>
    <row r="68" spans="1:10">
      <c r="A68" s="1817" t="s">
        <v>599</v>
      </c>
      <c r="B68" s="1818" t="s">
        <v>600</v>
      </c>
      <c r="C68" s="52" t="s">
        <v>601</v>
      </c>
      <c r="D68" s="53">
        <v>2</v>
      </c>
      <c r="E68" s="53" t="s">
        <v>519</v>
      </c>
      <c r="F68" s="54"/>
      <c r="G68" s="53" t="s">
        <v>1566</v>
      </c>
      <c r="H68" s="231"/>
      <c r="I68" s="1268" t="s">
        <v>519</v>
      </c>
      <c r="J68" s="231"/>
    </row>
    <row r="69" spans="1:10">
      <c r="A69" s="1817"/>
      <c r="B69" s="1818"/>
      <c r="C69" s="52" t="s">
        <v>602</v>
      </c>
      <c r="D69" s="53">
        <v>2</v>
      </c>
      <c r="E69" s="53" t="s">
        <v>519</v>
      </c>
      <c r="F69" s="54"/>
      <c r="G69" s="53" t="s">
        <v>1566</v>
      </c>
      <c r="H69" s="231"/>
      <c r="I69" s="1268" t="s">
        <v>519</v>
      </c>
      <c r="J69" s="231"/>
    </row>
    <row r="70" spans="1:10">
      <c r="A70" s="1817"/>
      <c r="B70" s="52" t="s">
        <v>603</v>
      </c>
      <c r="C70" s="52" t="s">
        <v>604</v>
      </c>
      <c r="D70" s="53">
        <v>1</v>
      </c>
      <c r="E70" s="53" t="s">
        <v>499</v>
      </c>
      <c r="F70" s="54">
        <f>D70</f>
        <v>1</v>
      </c>
      <c r="G70" s="53" t="s">
        <v>1565</v>
      </c>
      <c r="H70" s="231">
        <v>1</v>
      </c>
      <c r="I70" s="1268" t="s">
        <v>1565</v>
      </c>
      <c r="J70" s="231">
        <v>1</v>
      </c>
    </row>
    <row r="71" spans="1:10">
      <c r="A71" s="1817"/>
      <c r="B71" s="1818" t="s">
        <v>605</v>
      </c>
      <c r="C71" s="52" t="s">
        <v>606</v>
      </c>
      <c r="D71" s="53">
        <v>1</v>
      </c>
      <c r="E71" s="53" t="s">
        <v>499</v>
      </c>
      <c r="F71" s="54">
        <f t="shared" ref="F71:F80" si="3">D71</f>
        <v>1</v>
      </c>
      <c r="G71" s="53" t="s">
        <v>1565</v>
      </c>
      <c r="H71" s="231">
        <v>1</v>
      </c>
      <c r="I71" s="1268" t="s">
        <v>1565</v>
      </c>
      <c r="J71" s="231">
        <v>1</v>
      </c>
    </row>
    <row r="72" spans="1:10">
      <c r="A72" s="1817"/>
      <c r="B72" s="1818"/>
      <c r="C72" s="52" t="s">
        <v>607</v>
      </c>
      <c r="D72" s="53">
        <v>1</v>
      </c>
      <c r="E72" s="53" t="s">
        <v>499</v>
      </c>
      <c r="F72" s="54">
        <f t="shared" si="3"/>
        <v>1</v>
      </c>
      <c r="G72" s="53" t="s">
        <v>1565</v>
      </c>
      <c r="H72" s="231">
        <v>1</v>
      </c>
      <c r="I72" s="1268" t="s">
        <v>1565</v>
      </c>
      <c r="J72" s="231">
        <v>1</v>
      </c>
    </row>
    <row r="73" spans="1:10">
      <c r="A73" s="1817"/>
      <c r="B73" s="52" t="s">
        <v>608</v>
      </c>
      <c r="C73" s="52" t="s">
        <v>609</v>
      </c>
      <c r="D73" s="53">
        <v>1</v>
      </c>
      <c r="E73" s="53" t="s">
        <v>499</v>
      </c>
      <c r="F73" s="54">
        <f t="shared" si="3"/>
        <v>1</v>
      </c>
      <c r="G73" s="53" t="s">
        <v>1565</v>
      </c>
      <c r="H73" s="231">
        <v>1</v>
      </c>
      <c r="I73" s="1268" t="s">
        <v>1565</v>
      </c>
      <c r="J73" s="231">
        <v>1</v>
      </c>
    </row>
    <row r="74" spans="1:10">
      <c r="A74" s="1817"/>
      <c r="B74" s="1818" t="s">
        <v>610</v>
      </c>
      <c r="C74" s="52" t="s">
        <v>611</v>
      </c>
      <c r="D74" s="53">
        <v>2</v>
      </c>
      <c r="E74" s="53" t="s">
        <v>499</v>
      </c>
      <c r="F74" s="54">
        <f t="shared" si="3"/>
        <v>2</v>
      </c>
      <c r="G74" s="53" t="s">
        <v>1565</v>
      </c>
      <c r="H74" s="231">
        <v>2</v>
      </c>
      <c r="I74" s="1268" t="s">
        <v>1565</v>
      </c>
      <c r="J74" s="231">
        <v>2</v>
      </c>
    </row>
    <row r="75" spans="1:10">
      <c r="A75" s="1817"/>
      <c r="B75" s="1818"/>
      <c r="C75" s="52" t="s">
        <v>612</v>
      </c>
      <c r="D75" s="53">
        <v>2</v>
      </c>
      <c r="E75" s="53" t="s">
        <v>499</v>
      </c>
      <c r="F75" s="54">
        <f t="shared" si="3"/>
        <v>2</v>
      </c>
      <c r="G75" s="53" t="s">
        <v>1565</v>
      </c>
      <c r="H75" s="231">
        <v>2</v>
      </c>
      <c r="I75" s="1268" t="s">
        <v>1565</v>
      </c>
      <c r="J75" s="231">
        <v>2</v>
      </c>
    </row>
    <row r="76" spans="1:10">
      <c r="A76" s="1817" t="s">
        <v>599</v>
      </c>
      <c r="B76" s="52" t="s">
        <v>613</v>
      </c>
      <c r="C76" s="52" t="s">
        <v>614</v>
      </c>
      <c r="D76" s="53">
        <v>1</v>
      </c>
      <c r="E76" s="53" t="s">
        <v>499</v>
      </c>
      <c r="F76" s="54">
        <f t="shared" si="3"/>
        <v>1</v>
      </c>
      <c r="G76" s="53" t="s">
        <v>1565</v>
      </c>
      <c r="H76" s="231">
        <v>1</v>
      </c>
      <c r="I76" s="1268" t="s">
        <v>1565</v>
      </c>
      <c r="J76" s="231">
        <v>1</v>
      </c>
    </row>
    <row r="77" spans="1:10">
      <c r="A77" s="1817"/>
      <c r="B77" s="52" t="s">
        <v>615</v>
      </c>
      <c r="C77" s="52" t="s">
        <v>616</v>
      </c>
      <c r="D77" s="53">
        <v>1</v>
      </c>
      <c r="E77" s="53" t="s">
        <v>499</v>
      </c>
      <c r="F77" s="54">
        <f t="shared" si="3"/>
        <v>1</v>
      </c>
      <c r="G77" s="53" t="s">
        <v>1565</v>
      </c>
      <c r="H77" s="231">
        <v>1</v>
      </c>
      <c r="I77" s="1268" t="s">
        <v>1565</v>
      </c>
      <c r="J77" s="231">
        <v>1</v>
      </c>
    </row>
    <row r="78" spans="1:10">
      <c r="A78" s="1817"/>
      <c r="B78" s="52" t="s">
        <v>617</v>
      </c>
      <c r="C78" s="52" t="s">
        <v>618</v>
      </c>
      <c r="D78" s="53">
        <v>1</v>
      </c>
      <c r="E78" s="53" t="s">
        <v>499</v>
      </c>
      <c r="F78" s="54">
        <f t="shared" si="3"/>
        <v>1</v>
      </c>
      <c r="G78" s="53" t="s">
        <v>1565</v>
      </c>
      <c r="H78" s="231">
        <v>1</v>
      </c>
      <c r="I78" s="1268" t="s">
        <v>1565</v>
      </c>
      <c r="J78" s="231">
        <v>1</v>
      </c>
    </row>
    <row r="79" spans="1:10">
      <c r="A79" s="1817"/>
      <c r="B79" s="1818" t="s">
        <v>619</v>
      </c>
      <c r="C79" s="52" t="s">
        <v>620</v>
      </c>
      <c r="D79" s="53">
        <v>2</v>
      </c>
      <c r="E79" s="53" t="s">
        <v>499</v>
      </c>
      <c r="F79" s="54">
        <f t="shared" si="3"/>
        <v>2</v>
      </c>
      <c r="G79" s="53" t="s">
        <v>1565</v>
      </c>
      <c r="H79" s="231">
        <v>2</v>
      </c>
      <c r="I79" s="1268" t="s">
        <v>1565</v>
      </c>
      <c r="J79" s="231">
        <v>2</v>
      </c>
    </row>
    <row r="80" spans="1:10">
      <c r="A80" s="1817"/>
      <c r="B80" s="1818"/>
      <c r="C80" s="52" t="s">
        <v>621</v>
      </c>
      <c r="D80" s="53">
        <v>2</v>
      </c>
      <c r="E80" s="53" t="s">
        <v>499</v>
      </c>
      <c r="F80" s="54">
        <f t="shared" si="3"/>
        <v>2</v>
      </c>
      <c r="G80" s="53" t="s">
        <v>1565</v>
      </c>
      <c r="H80" s="231">
        <v>2</v>
      </c>
      <c r="I80" s="1268" t="s">
        <v>1565</v>
      </c>
      <c r="J80" s="231">
        <v>2</v>
      </c>
    </row>
    <row r="81" spans="1:10">
      <c r="A81" s="1819" t="s">
        <v>622</v>
      </c>
      <c r="B81" s="1819"/>
      <c r="C81" s="1819"/>
      <c r="D81" s="53">
        <f>SUM(D4:D80)</f>
        <v>100</v>
      </c>
      <c r="E81" s="53"/>
      <c r="F81" s="59">
        <f>SUM(F4:F80)</f>
        <v>87</v>
      </c>
      <c r="G81" s="53"/>
      <c r="H81" s="59">
        <v>88</v>
      </c>
      <c r="I81" s="342"/>
      <c r="J81" s="59">
        <v>88</v>
      </c>
    </row>
    <row r="82" spans="1:10">
      <c r="A82" s="236"/>
      <c r="B82" s="248" t="s">
        <v>1609</v>
      </c>
      <c r="C82" s="236"/>
      <c r="D82" s="53"/>
      <c r="E82" s="53"/>
      <c r="F82" s="59">
        <f>F81*100%</f>
        <v>87</v>
      </c>
      <c r="G82" s="247"/>
      <c r="H82" s="59">
        <f>H81*100%</f>
        <v>88</v>
      </c>
      <c r="J82" s="59">
        <f>J81*100%</f>
        <v>88</v>
      </c>
    </row>
    <row r="83" spans="1:10">
      <c r="A83" s="236"/>
      <c r="B83" s="248" t="s">
        <v>1610</v>
      </c>
      <c r="C83" s="236"/>
      <c r="D83" s="53"/>
      <c r="E83" s="53"/>
      <c r="F83" s="59">
        <f>F82/9</f>
        <v>9.6666666666666661</v>
      </c>
      <c r="G83" s="247"/>
      <c r="H83" s="59">
        <f>H82/9</f>
        <v>9.7777777777777786</v>
      </c>
      <c r="J83" s="59">
        <f>J82/9</f>
        <v>9.7777777777777786</v>
      </c>
    </row>
    <row r="84" spans="1:10">
      <c r="A84" s="236"/>
      <c r="B84" s="248" t="s">
        <v>1608</v>
      </c>
      <c r="C84" s="236"/>
      <c r="D84" s="53"/>
      <c r="E84" s="53"/>
      <c r="F84" s="59">
        <f>F83/2</f>
        <v>4.833333333333333</v>
      </c>
      <c r="G84" s="247"/>
      <c r="H84" s="59">
        <f>H83/2</f>
        <v>4.8888888888888893</v>
      </c>
      <c r="J84" s="59">
        <f>J83/2</f>
        <v>4.8888888888888893</v>
      </c>
    </row>
    <row r="85" spans="1:10">
      <c r="A85" s="1820" t="s">
        <v>623</v>
      </c>
      <c r="B85" s="1820"/>
      <c r="C85" s="1820"/>
      <c r="D85" s="1820"/>
      <c r="E85" s="1820"/>
      <c r="F85" s="1820"/>
      <c r="G85" s="225"/>
    </row>
    <row r="86" spans="1:10">
      <c r="A86" s="1815" t="s">
        <v>624</v>
      </c>
      <c r="B86" s="1815"/>
      <c r="C86" s="1815"/>
      <c r="D86" s="1815"/>
      <c r="E86" s="1815"/>
      <c r="F86" s="1815"/>
      <c r="G86" s="226"/>
    </row>
    <row r="87" spans="1:10">
      <c r="A87" s="1815" t="s">
        <v>625</v>
      </c>
      <c r="B87" s="1815"/>
      <c r="C87" s="1815"/>
      <c r="D87" s="1815"/>
      <c r="E87" s="1815"/>
      <c r="F87" s="1815"/>
      <c r="G87" s="226"/>
    </row>
    <row r="88" spans="1:10">
      <c r="A88" s="1815" t="s">
        <v>626</v>
      </c>
      <c r="B88" s="1815"/>
      <c r="C88" s="1815"/>
      <c r="D88" s="1815"/>
      <c r="E88" s="1815"/>
      <c r="F88" s="1815"/>
      <c r="G88" s="226"/>
    </row>
    <row r="89" spans="1:10">
      <c r="A89" s="1815" t="s">
        <v>627</v>
      </c>
      <c r="B89" s="1815"/>
      <c r="C89" s="1815"/>
      <c r="D89" s="1815"/>
      <c r="E89" s="1815"/>
      <c r="F89" s="1815"/>
      <c r="G89" s="226"/>
    </row>
    <row r="90" spans="1:10">
      <c r="A90" s="1815" t="s">
        <v>628</v>
      </c>
      <c r="B90" s="1815"/>
      <c r="C90" s="1815"/>
      <c r="D90" s="1815"/>
      <c r="E90" s="1815"/>
      <c r="F90" s="1815"/>
      <c r="G90" s="226"/>
    </row>
    <row r="91" spans="1:10">
      <c r="A91" s="1815" t="s">
        <v>629</v>
      </c>
      <c r="B91" s="1815"/>
      <c r="C91" s="1815"/>
      <c r="D91" s="1815"/>
      <c r="E91" s="1815"/>
      <c r="F91" s="1815"/>
      <c r="G91" s="226"/>
    </row>
    <row r="92" spans="1:10">
      <c r="A92" s="1815" t="s">
        <v>630</v>
      </c>
      <c r="B92" s="1815"/>
      <c r="C92" s="1815"/>
      <c r="D92" s="1815"/>
      <c r="E92" s="1815"/>
      <c r="F92" s="1815"/>
      <c r="G92" s="226"/>
    </row>
    <row r="93" spans="1:10">
      <c r="A93" s="1815" t="s">
        <v>631</v>
      </c>
      <c r="B93" s="1815"/>
      <c r="C93" s="1815"/>
      <c r="D93" s="1815"/>
      <c r="E93" s="1815"/>
      <c r="F93" s="1815"/>
      <c r="G93" s="226"/>
    </row>
    <row r="94" spans="1:10">
      <c r="A94" s="1816" t="s">
        <v>632</v>
      </c>
      <c r="B94" s="1816"/>
      <c r="C94" s="1816"/>
      <c r="D94" s="1816"/>
      <c r="E94" s="1816"/>
      <c r="F94" s="1816"/>
      <c r="G94" s="227"/>
    </row>
    <row r="95" spans="1:10">
      <c r="A95" s="1816" t="s">
        <v>633</v>
      </c>
      <c r="B95" s="1816"/>
      <c r="C95" s="1816"/>
      <c r="D95" s="1816"/>
      <c r="E95" s="1816"/>
      <c r="F95" s="1816"/>
      <c r="G95" s="227"/>
    </row>
    <row r="96" spans="1:10">
      <c r="A96" s="1814" t="s">
        <v>634</v>
      </c>
      <c r="B96" s="1814"/>
      <c r="C96" s="1814"/>
      <c r="D96" s="1814"/>
      <c r="E96" s="1814"/>
      <c r="F96" s="1814"/>
      <c r="G96" s="228"/>
    </row>
    <row r="101" spans="1:1">
      <c r="A101" s="249" t="s">
        <v>1611</v>
      </c>
    </row>
    <row r="102" spans="1:1">
      <c r="A102" s="277" t="s">
        <v>1655</v>
      </c>
    </row>
  </sheetData>
  <mergeCells count="47">
    <mergeCell ref="G2:H2"/>
    <mergeCell ref="E2:F2"/>
    <mergeCell ref="A4:A10"/>
    <mergeCell ref="B5:B6"/>
    <mergeCell ref="B7:B8"/>
    <mergeCell ref="A11:A20"/>
    <mergeCell ref="B11:B12"/>
    <mergeCell ref="B13:B14"/>
    <mergeCell ref="B16:B17"/>
    <mergeCell ref="B19:B20"/>
    <mergeCell ref="A21:A25"/>
    <mergeCell ref="B21:B22"/>
    <mergeCell ref="B23:B25"/>
    <mergeCell ref="A26:A50"/>
    <mergeCell ref="B26:B28"/>
    <mergeCell ref="B29:B30"/>
    <mergeCell ref="B32:B34"/>
    <mergeCell ref="B36:B37"/>
    <mergeCell ref="B39:B42"/>
    <mergeCell ref="B43:B47"/>
    <mergeCell ref="B48:B50"/>
    <mergeCell ref="A85:F85"/>
    <mergeCell ref="A86:F86"/>
    <mergeCell ref="A87:F87"/>
    <mergeCell ref="A88:F88"/>
    <mergeCell ref="A51:A59"/>
    <mergeCell ref="B52:B56"/>
    <mergeCell ref="B57:B59"/>
    <mergeCell ref="A60:A67"/>
    <mergeCell ref="B61:B62"/>
    <mergeCell ref="B64:B65"/>
    <mergeCell ref="I2:J2"/>
    <mergeCell ref="A96:F96"/>
    <mergeCell ref="A90:F90"/>
    <mergeCell ref="A91:F91"/>
    <mergeCell ref="A92:F92"/>
    <mergeCell ref="A93:F93"/>
    <mergeCell ref="A94:F94"/>
    <mergeCell ref="A95:F95"/>
    <mergeCell ref="A89:F89"/>
    <mergeCell ref="A68:A75"/>
    <mergeCell ref="B68:B69"/>
    <mergeCell ref="B71:B72"/>
    <mergeCell ref="B74:B75"/>
    <mergeCell ref="A76:A80"/>
    <mergeCell ref="B79:B80"/>
    <mergeCell ref="A81:C81"/>
  </mergeCells>
  <phoneticPr fontId="3" type="noConversion"/>
  <hyperlinks>
    <hyperlink ref="A101" location="权重!A1" display="权重!A1"/>
    <hyperlink ref="A102" location="目录!A1" display="目录!A1"/>
  </hyperlinks>
  <pageMargins left="0.7" right="0.7" top="0.75" bottom="0.75" header="0.3" footer="0.3"/>
  <pageSetup paperSize="9" orientation="portrait" r:id="rId1"/>
  <legacyDrawing r:id="rId2"/>
</worksheet>
</file>

<file path=xl/worksheets/sheet27.xml><?xml version="1.0" encoding="utf-8"?>
<worksheet xmlns="http://schemas.openxmlformats.org/spreadsheetml/2006/main" xmlns:r="http://schemas.openxmlformats.org/officeDocument/2006/relationships">
  <sheetPr>
    <tabColor theme="5" tint="0.39997558519241921"/>
  </sheetPr>
  <dimension ref="A1:G42"/>
  <sheetViews>
    <sheetView workbookViewId="0">
      <pane xSplit="1" ySplit="2" topLeftCell="B7" activePane="bottomRight" state="frozen"/>
      <selection activeCell="A3" sqref="A3:B3"/>
      <selection pane="topRight" activeCell="A3" sqref="A3:B3"/>
      <selection pane="bottomLeft" activeCell="A3" sqref="A3:B3"/>
      <selection pane="bottomRight" activeCell="G3" sqref="G3:G31"/>
    </sheetView>
  </sheetViews>
  <sheetFormatPr defaultColWidth="8.875" defaultRowHeight="13.5"/>
  <cols>
    <col min="1" max="1" width="12.875" bestFit="1" customWidth="1"/>
    <col min="2" max="2" width="9.75" bestFit="1" customWidth="1"/>
    <col min="3" max="3" width="28" style="86" bestFit="1" customWidth="1"/>
    <col min="4" max="4" width="9.875" customWidth="1"/>
    <col min="5" max="5" width="7" style="14" bestFit="1" customWidth="1"/>
    <col min="6" max="6" width="6" customWidth="1"/>
    <col min="7" max="7" width="7" bestFit="1" customWidth="1"/>
  </cols>
  <sheetData>
    <row r="1" spans="1:7" ht="30" customHeight="1">
      <c r="A1" s="1822" t="s">
        <v>960</v>
      </c>
      <c r="B1" s="1822"/>
      <c r="C1" s="1822"/>
      <c r="D1" s="1822"/>
      <c r="E1" s="1822"/>
      <c r="F1" s="100"/>
      <c r="G1" s="100"/>
    </row>
    <row r="2" spans="1:7" s="84" customFormat="1" ht="30" customHeight="1">
      <c r="A2" s="83" t="s">
        <v>413</v>
      </c>
      <c r="B2" s="83" t="s">
        <v>961</v>
      </c>
      <c r="C2" s="83" t="s">
        <v>962</v>
      </c>
      <c r="D2" s="83" t="s">
        <v>414</v>
      </c>
      <c r="E2" s="83" t="s">
        <v>1420</v>
      </c>
      <c r="F2" s="83" t="s">
        <v>458</v>
      </c>
      <c r="G2" s="83" t="s">
        <v>2167</v>
      </c>
    </row>
    <row r="3" spans="1:7" s="84" customFormat="1" ht="27">
      <c r="A3" s="1791" t="s">
        <v>963</v>
      </c>
      <c r="B3" s="30" t="s">
        <v>964</v>
      </c>
      <c r="C3" s="79" t="s">
        <v>965</v>
      </c>
      <c r="D3" s="30">
        <v>2</v>
      </c>
      <c r="E3" s="101">
        <v>2</v>
      </c>
      <c r="F3" s="125">
        <f>D3-E3</f>
        <v>0</v>
      </c>
      <c r="G3" s="189">
        <v>2</v>
      </c>
    </row>
    <row r="4" spans="1:7" s="84" customFormat="1">
      <c r="A4" s="1792"/>
      <c r="B4" s="30" t="s">
        <v>966</v>
      </c>
      <c r="C4" s="346" t="s">
        <v>2165</v>
      </c>
      <c r="D4" s="30">
        <v>4</v>
      </c>
      <c r="E4" s="102">
        <v>0</v>
      </c>
      <c r="F4" s="125">
        <f>D4-E4</f>
        <v>4</v>
      </c>
      <c r="G4" s="190">
        <v>2</v>
      </c>
    </row>
    <row r="5" spans="1:7" s="84" customFormat="1">
      <c r="A5" s="1821" t="s">
        <v>967</v>
      </c>
      <c r="B5" s="30" t="s">
        <v>968</v>
      </c>
      <c r="C5" s="79" t="s">
        <v>969</v>
      </c>
      <c r="D5" s="30">
        <v>2</v>
      </c>
      <c r="E5" s="101">
        <v>2</v>
      </c>
      <c r="F5" s="125">
        <f t="shared" ref="F5:F32" si="0">D5-E5</f>
        <v>0</v>
      </c>
      <c r="G5" s="189">
        <v>2</v>
      </c>
    </row>
    <row r="6" spans="1:7" s="84" customFormat="1" ht="40.5">
      <c r="A6" s="1821"/>
      <c r="B6" s="30" t="s">
        <v>970</v>
      </c>
      <c r="C6" s="346" t="s">
        <v>2166</v>
      </c>
      <c r="D6" s="30">
        <v>4</v>
      </c>
      <c r="E6" s="101">
        <v>4</v>
      </c>
      <c r="F6" s="125">
        <f t="shared" si="0"/>
        <v>0</v>
      </c>
      <c r="G6" s="189">
        <v>4</v>
      </c>
    </row>
    <row r="7" spans="1:7" s="84" customFormat="1" ht="27">
      <c r="A7" s="1821"/>
      <c r="B7" s="30" t="s">
        <v>971</v>
      </c>
      <c r="C7" s="79" t="s">
        <v>972</v>
      </c>
      <c r="D7" s="30">
        <v>2</v>
      </c>
      <c r="E7" s="101">
        <v>2</v>
      </c>
      <c r="F7" s="125">
        <f t="shared" si="0"/>
        <v>0</v>
      </c>
      <c r="G7" s="189">
        <v>2</v>
      </c>
    </row>
    <row r="8" spans="1:7" s="84" customFormat="1" ht="27">
      <c r="A8" s="1821"/>
      <c r="B8" s="30" t="s">
        <v>973</v>
      </c>
      <c r="C8" s="79" t="s">
        <v>974</v>
      </c>
      <c r="D8" s="30">
        <v>2</v>
      </c>
      <c r="E8" s="101">
        <v>2</v>
      </c>
      <c r="F8" s="125">
        <f t="shared" si="0"/>
        <v>0</v>
      </c>
      <c r="G8" s="189">
        <v>2</v>
      </c>
    </row>
    <row r="9" spans="1:7" s="84" customFormat="1">
      <c r="A9" s="1821"/>
      <c r="B9" s="29" t="s">
        <v>975</v>
      </c>
      <c r="C9" s="78"/>
      <c r="D9" s="29">
        <v>2</v>
      </c>
      <c r="E9" s="101">
        <v>2</v>
      </c>
      <c r="F9" s="125">
        <f t="shared" si="0"/>
        <v>0</v>
      </c>
      <c r="G9" s="189">
        <v>2</v>
      </c>
    </row>
    <row r="10" spans="1:7" s="84" customFormat="1">
      <c r="A10" s="1821"/>
      <c r="B10" s="29" t="s">
        <v>976</v>
      </c>
      <c r="C10" s="78"/>
      <c r="D10" s="29">
        <v>2</v>
      </c>
      <c r="E10" s="101">
        <v>2</v>
      </c>
      <c r="F10" s="125">
        <f t="shared" si="0"/>
        <v>0</v>
      </c>
      <c r="G10" s="189">
        <v>2</v>
      </c>
    </row>
    <row r="11" spans="1:7" s="84" customFormat="1">
      <c r="A11" s="1821"/>
      <c r="B11" s="29" t="s">
        <v>977</v>
      </c>
      <c r="C11" s="78"/>
      <c r="D11" s="29">
        <v>2</v>
      </c>
      <c r="E11" s="101">
        <v>2</v>
      </c>
      <c r="F11" s="125">
        <f t="shared" si="0"/>
        <v>0</v>
      </c>
      <c r="G11" s="189">
        <v>2</v>
      </c>
    </row>
    <row r="12" spans="1:7" s="84" customFormat="1">
      <c r="A12" s="1821"/>
      <c r="B12" s="29" t="s">
        <v>978</v>
      </c>
      <c r="C12" s="78"/>
      <c r="D12" s="29">
        <v>2</v>
      </c>
      <c r="E12" s="101">
        <v>2</v>
      </c>
      <c r="F12" s="125">
        <f t="shared" si="0"/>
        <v>0</v>
      </c>
      <c r="G12" s="189">
        <v>2</v>
      </c>
    </row>
    <row r="13" spans="1:7" s="84" customFormat="1">
      <c r="A13" s="1821"/>
      <c r="B13" s="29" t="s">
        <v>979</v>
      </c>
      <c r="C13" s="78"/>
      <c r="D13" s="29">
        <v>2</v>
      </c>
      <c r="E13" s="101">
        <v>2</v>
      </c>
      <c r="F13" s="125">
        <f t="shared" si="0"/>
        <v>0</v>
      </c>
      <c r="G13" s="189">
        <v>2</v>
      </c>
    </row>
    <row r="14" spans="1:7" s="84" customFormat="1">
      <c r="A14" s="1821" t="s">
        <v>980</v>
      </c>
      <c r="B14" s="30" t="s">
        <v>981</v>
      </c>
      <c r="C14" s="79" t="s">
        <v>982</v>
      </c>
      <c r="D14" s="30">
        <v>1</v>
      </c>
      <c r="E14" s="101">
        <v>1</v>
      </c>
      <c r="F14" s="125">
        <f t="shared" si="0"/>
        <v>0</v>
      </c>
      <c r="G14" s="189">
        <v>1</v>
      </c>
    </row>
    <row r="15" spans="1:7" s="84" customFormat="1">
      <c r="A15" s="1821"/>
      <c r="B15" s="1823" t="s">
        <v>983</v>
      </c>
      <c r="C15" s="79" t="s">
        <v>984</v>
      </c>
      <c r="D15" s="30">
        <v>1</v>
      </c>
      <c r="E15" s="101">
        <v>1</v>
      </c>
      <c r="F15" s="125">
        <f t="shared" si="0"/>
        <v>0</v>
      </c>
      <c r="G15" s="189">
        <v>1</v>
      </c>
    </row>
    <row r="16" spans="1:7" s="84" customFormat="1">
      <c r="A16" s="1821"/>
      <c r="B16" s="1823"/>
      <c r="C16" s="79" t="s">
        <v>985</v>
      </c>
      <c r="D16" s="30">
        <v>2</v>
      </c>
      <c r="E16" s="101">
        <v>2</v>
      </c>
      <c r="F16" s="125">
        <f t="shared" si="0"/>
        <v>0</v>
      </c>
      <c r="G16" s="189">
        <v>2</v>
      </c>
    </row>
    <row r="17" spans="1:7" s="84" customFormat="1">
      <c r="A17" s="1821"/>
      <c r="B17" s="1823"/>
      <c r="C17" s="79" t="s">
        <v>986</v>
      </c>
      <c r="D17" s="30">
        <v>2</v>
      </c>
      <c r="E17" s="101" t="s">
        <v>1072</v>
      </c>
      <c r="F17" s="125" t="e">
        <f t="shared" si="0"/>
        <v>#VALUE!</v>
      </c>
      <c r="G17" s="189" t="s">
        <v>1477</v>
      </c>
    </row>
    <row r="18" spans="1:7" s="84" customFormat="1">
      <c r="A18" s="30" t="s">
        <v>987</v>
      </c>
      <c r="B18" s="30" t="s">
        <v>988</v>
      </c>
      <c r="C18" s="79" t="s">
        <v>989</v>
      </c>
      <c r="D18" s="30">
        <v>5</v>
      </c>
      <c r="E18" s="101">
        <v>5</v>
      </c>
      <c r="F18" s="125">
        <f t="shared" si="0"/>
        <v>0</v>
      </c>
      <c r="G18" s="189">
        <v>5</v>
      </c>
    </row>
    <row r="19" spans="1:7" s="84" customFormat="1">
      <c r="A19" s="1821" t="s">
        <v>990</v>
      </c>
      <c r="B19" s="1821" t="s">
        <v>991</v>
      </c>
      <c r="C19" s="79" t="s">
        <v>992</v>
      </c>
      <c r="D19" s="30">
        <v>5</v>
      </c>
      <c r="E19" s="101">
        <v>5</v>
      </c>
      <c r="F19" s="125">
        <f t="shared" si="0"/>
        <v>0</v>
      </c>
      <c r="G19" s="189">
        <v>5</v>
      </c>
    </row>
    <row r="20" spans="1:7" s="84" customFormat="1">
      <c r="A20" s="1821"/>
      <c r="B20" s="1821"/>
      <c r="C20" s="79" t="s">
        <v>993</v>
      </c>
      <c r="D20" s="30">
        <v>1</v>
      </c>
      <c r="E20" s="101">
        <v>1</v>
      </c>
      <c r="F20" s="125">
        <f t="shared" si="0"/>
        <v>0</v>
      </c>
      <c r="G20" s="189">
        <v>1</v>
      </c>
    </row>
    <row r="21" spans="1:7" s="84" customFormat="1">
      <c r="A21" s="1821"/>
      <c r="B21" s="30" t="s">
        <v>994</v>
      </c>
      <c r="C21" s="79" t="s">
        <v>995</v>
      </c>
      <c r="D21" s="30">
        <v>5</v>
      </c>
      <c r="E21" s="101">
        <v>5</v>
      </c>
      <c r="F21" s="125">
        <f t="shared" si="0"/>
        <v>0</v>
      </c>
      <c r="G21" s="189">
        <v>5</v>
      </c>
    </row>
    <row r="22" spans="1:7" s="84" customFormat="1">
      <c r="A22" s="1821"/>
      <c r="B22" s="30" t="s">
        <v>996</v>
      </c>
      <c r="C22" s="79" t="s">
        <v>997</v>
      </c>
      <c r="D22" s="30">
        <v>5</v>
      </c>
      <c r="E22" s="101">
        <v>5</v>
      </c>
      <c r="F22" s="125">
        <f t="shared" si="0"/>
        <v>0</v>
      </c>
      <c r="G22" s="96">
        <v>5</v>
      </c>
    </row>
    <row r="23" spans="1:7" s="84" customFormat="1">
      <c r="A23" s="1821"/>
      <c r="B23" s="1821" t="s">
        <v>998</v>
      </c>
      <c r="C23" s="79" t="s">
        <v>999</v>
      </c>
      <c r="D23" s="30">
        <v>2</v>
      </c>
      <c r="E23" s="101">
        <v>2</v>
      </c>
      <c r="F23" s="125">
        <f t="shared" si="0"/>
        <v>0</v>
      </c>
      <c r="G23" s="96">
        <v>2</v>
      </c>
    </row>
    <row r="24" spans="1:7" s="84" customFormat="1">
      <c r="A24" s="1821"/>
      <c r="B24" s="1821"/>
      <c r="C24" s="79" t="s">
        <v>1000</v>
      </c>
      <c r="D24" s="30">
        <v>6</v>
      </c>
      <c r="E24" s="101">
        <v>6</v>
      </c>
      <c r="F24" s="125">
        <f t="shared" si="0"/>
        <v>0</v>
      </c>
      <c r="G24" s="96">
        <v>6</v>
      </c>
    </row>
    <row r="25" spans="1:7" s="84" customFormat="1" ht="27">
      <c r="A25" s="1821"/>
      <c r="B25" s="1821" t="s">
        <v>1001</v>
      </c>
      <c r="C25" s="79" t="s">
        <v>1002</v>
      </c>
      <c r="D25" s="30">
        <v>3</v>
      </c>
      <c r="E25" s="101">
        <v>3</v>
      </c>
      <c r="F25" s="125">
        <f t="shared" si="0"/>
        <v>0</v>
      </c>
      <c r="G25" s="96">
        <v>3</v>
      </c>
    </row>
    <row r="26" spans="1:7" s="84" customFormat="1">
      <c r="A26" s="1821"/>
      <c r="B26" s="1821"/>
      <c r="C26" s="79" t="s">
        <v>1003</v>
      </c>
      <c r="D26" s="30">
        <v>5</v>
      </c>
      <c r="E26" s="101">
        <v>5</v>
      </c>
      <c r="F26" s="125">
        <f t="shared" si="0"/>
        <v>0</v>
      </c>
      <c r="G26" s="96">
        <v>5</v>
      </c>
    </row>
    <row r="27" spans="1:7" s="84" customFormat="1" ht="27">
      <c r="A27" s="1821" t="s">
        <v>1004</v>
      </c>
      <c r="B27" s="85" t="s">
        <v>1005</v>
      </c>
      <c r="C27" s="79" t="s">
        <v>1006</v>
      </c>
      <c r="D27" s="30">
        <v>2</v>
      </c>
      <c r="E27" s="101">
        <v>2</v>
      </c>
      <c r="F27" s="125">
        <f t="shared" si="0"/>
        <v>0</v>
      </c>
      <c r="G27" s="96">
        <v>2</v>
      </c>
    </row>
    <row r="28" spans="1:7" s="84" customFormat="1">
      <c r="A28" s="1821"/>
      <c r="B28" s="85" t="s">
        <v>1007</v>
      </c>
      <c r="C28" s="79" t="s">
        <v>1008</v>
      </c>
      <c r="D28" s="30">
        <v>2</v>
      </c>
      <c r="E28" s="101" t="s">
        <v>1072</v>
      </c>
      <c r="F28" s="125" t="e">
        <f t="shared" si="0"/>
        <v>#VALUE!</v>
      </c>
      <c r="G28" s="189" t="s">
        <v>1477</v>
      </c>
    </row>
    <row r="29" spans="1:7" s="84" customFormat="1">
      <c r="A29" s="1821"/>
      <c r="B29" s="1821" t="s">
        <v>1009</v>
      </c>
      <c r="C29" s="79" t="s">
        <v>1010</v>
      </c>
      <c r="D29" s="30">
        <v>6</v>
      </c>
      <c r="E29" s="101">
        <v>6</v>
      </c>
      <c r="F29" s="125">
        <f t="shared" si="0"/>
        <v>0</v>
      </c>
      <c r="G29" s="189">
        <v>6</v>
      </c>
    </row>
    <row r="30" spans="1:7" s="84" customFormat="1" ht="40.5">
      <c r="A30" s="1821"/>
      <c r="B30" s="1821"/>
      <c r="C30" s="79" t="s">
        <v>1011</v>
      </c>
      <c r="D30" s="30">
        <v>6</v>
      </c>
      <c r="E30" s="101">
        <v>6</v>
      </c>
      <c r="F30" s="125">
        <f t="shared" si="0"/>
        <v>0</v>
      </c>
      <c r="G30" s="189">
        <v>6</v>
      </c>
    </row>
    <row r="31" spans="1:7" s="84" customFormat="1" ht="27">
      <c r="A31" s="30" t="s">
        <v>1012</v>
      </c>
      <c r="B31" s="85" t="s">
        <v>1013</v>
      </c>
      <c r="C31" s="79" t="s">
        <v>1014</v>
      </c>
      <c r="D31" s="30">
        <v>15</v>
      </c>
      <c r="E31" s="101">
        <v>15</v>
      </c>
      <c r="F31" s="125">
        <f t="shared" si="0"/>
        <v>0</v>
      </c>
      <c r="G31" s="189">
        <v>15</v>
      </c>
    </row>
    <row r="32" spans="1:7">
      <c r="A32" s="1823" t="s">
        <v>411</v>
      </c>
      <c r="B32" s="1823"/>
      <c r="C32" s="85"/>
      <c r="D32" s="85">
        <f>SUM(D3:D31)</f>
        <v>100</v>
      </c>
      <c r="E32" s="85">
        <f>SUM(E3:E31)</f>
        <v>92</v>
      </c>
      <c r="F32" s="125">
        <f t="shared" si="0"/>
        <v>8</v>
      </c>
      <c r="G32" s="189">
        <f>SUM(G3:G31)</f>
        <v>94</v>
      </c>
    </row>
    <row r="35" spans="1:7" ht="14.25">
      <c r="B35" s="7" t="s">
        <v>229</v>
      </c>
      <c r="E35" s="111">
        <f>E32</f>
        <v>92</v>
      </c>
      <c r="G35" s="111">
        <f>G32</f>
        <v>94</v>
      </c>
    </row>
    <row r="36" spans="1:7" ht="14.25">
      <c r="B36" s="7"/>
    </row>
    <row r="37" spans="1:7" ht="14.25">
      <c r="B37" s="7"/>
    </row>
    <row r="38" spans="1:7" ht="14.25">
      <c r="B38" s="7"/>
    </row>
    <row r="39" spans="1:7" ht="14.25">
      <c r="B39" s="7"/>
    </row>
    <row r="41" spans="1:7">
      <c r="A41" s="249" t="s">
        <v>1611</v>
      </c>
    </row>
    <row r="42" spans="1:7">
      <c r="A42" s="277" t="s">
        <v>1655</v>
      </c>
    </row>
  </sheetData>
  <mergeCells count="12">
    <mergeCell ref="A27:A30"/>
    <mergeCell ref="B29:B30"/>
    <mergeCell ref="A1:E1"/>
    <mergeCell ref="A32:B32"/>
    <mergeCell ref="A3:A4"/>
    <mergeCell ref="A5:A13"/>
    <mergeCell ref="A14:A17"/>
    <mergeCell ref="B15:B17"/>
    <mergeCell ref="A19:A26"/>
    <mergeCell ref="B19:B20"/>
    <mergeCell ref="B23:B24"/>
    <mergeCell ref="B25:B26"/>
  </mergeCells>
  <phoneticPr fontId="3" type="noConversion"/>
  <conditionalFormatting sqref="F3:F32">
    <cfRule type="cellIs" dxfId="7" priority="1" operator="greaterThan">
      <formula>0</formula>
    </cfRule>
  </conditionalFormatting>
  <hyperlinks>
    <hyperlink ref="A41" location="权重!A1" display="权重!A1"/>
    <hyperlink ref="A42" location="目录!A1" display="目录!A1"/>
  </hyperlinks>
  <pageMargins left="0.70866141732283472" right="0.39370078740157483" top="0.74803149606299213" bottom="0.74803149606299213" header="0.31496062992125984" footer="0.31496062992125984"/>
  <pageSetup paperSize="9" orientation="portrait" r:id="rId1"/>
</worksheet>
</file>

<file path=xl/worksheets/sheet28.xml><?xml version="1.0" encoding="utf-8"?>
<worksheet xmlns="http://schemas.openxmlformats.org/spreadsheetml/2006/main" xmlns:r="http://schemas.openxmlformats.org/officeDocument/2006/relationships">
  <sheetPr filterMode="1"/>
  <dimension ref="A1:Q55"/>
  <sheetViews>
    <sheetView workbookViewId="0">
      <selection activeCell="H9" sqref="H9"/>
    </sheetView>
  </sheetViews>
  <sheetFormatPr defaultRowHeight="13.5"/>
  <cols>
    <col min="1" max="1" width="5.75" style="712" bestFit="1" customWidth="1"/>
    <col min="2" max="2" width="11" style="712" customWidth="1"/>
    <col min="3" max="3" width="36.5" style="86" customWidth="1"/>
    <col min="4" max="4" width="12.625" style="86" customWidth="1"/>
    <col min="5" max="5" width="27.75" style="1359" customWidth="1"/>
    <col min="6" max="6" width="11.875" style="712" bestFit="1" customWidth="1"/>
    <col min="7" max="7" width="11" style="712" bestFit="1" customWidth="1"/>
    <col min="8" max="8" width="16.875" style="1359" customWidth="1"/>
    <col min="9" max="9" width="5.75" style="712" bestFit="1" customWidth="1"/>
    <col min="10" max="10" width="21.5" style="532" bestFit="1" customWidth="1"/>
    <col min="11" max="11" width="5.75" style="712" bestFit="1" customWidth="1"/>
    <col min="12" max="14" width="9" style="532"/>
    <col min="15" max="15" width="7.5" style="532" bestFit="1" customWidth="1"/>
    <col min="16" max="16384" width="9" style="532"/>
  </cols>
  <sheetData>
    <row r="1" spans="1:17" ht="27" customHeight="1">
      <c r="A1" s="1440" t="s">
        <v>2309</v>
      </c>
      <c r="B1" s="1439" t="s">
        <v>2310</v>
      </c>
      <c r="C1" s="1439" t="s">
        <v>2311</v>
      </c>
      <c r="D1" s="1439" t="s">
        <v>2312</v>
      </c>
      <c r="E1" s="1440" t="s">
        <v>2313</v>
      </c>
      <c r="F1" s="1439" t="s">
        <v>2314</v>
      </c>
      <c r="G1" s="1439" t="s">
        <v>2315</v>
      </c>
      <c r="H1" s="1440" t="s">
        <v>2316</v>
      </c>
      <c r="I1" s="1440" t="s">
        <v>2317</v>
      </c>
      <c r="J1" s="1440" t="s">
        <v>2318</v>
      </c>
      <c r="K1" s="1440" t="s">
        <v>2317</v>
      </c>
      <c r="L1" s="922"/>
      <c r="P1" s="1359"/>
      <c r="Q1" s="1359"/>
    </row>
    <row r="2" spans="1:17" ht="27" customHeight="1">
      <c r="A2" s="1445" t="s">
        <v>2440</v>
      </c>
      <c r="B2" s="1441" t="s">
        <v>2441</v>
      </c>
      <c r="C2" s="1452" t="s">
        <v>2456</v>
      </c>
      <c r="D2" s="1371" t="s">
        <v>2328</v>
      </c>
      <c r="E2" s="1442" t="s">
        <v>2455</v>
      </c>
      <c r="F2" s="877" t="s">
        <v>1087</v>
      </c>
      <c r="G2" s="877" t="s">
        <v>1415</v>
      </c>
      <c r="H2" s="1367" t="s">
        <v>2324</v>
      </c>
      <c r="I2" s="1366">
        <v>0</v>
      </c>
      <c r="J2" s="1367" t="s">
        <v>2308</v>
      </c>
      <c r="K2" s="1366">
        <v>1</v>
      </c>
      <c r="L2" s="710"/>
      <c r="P2" s="1359"/>
      <c r="Q2" s="1359"/>
    </row>
    <row r="3" spans="1:17" ht="27" customHeight="1">
      <c r="A3" s="1445" t="s">
        <v>2440</v>
      </c>
      <c r="B3" s="1441" t="s">
        <v>2441</v>
      </c>
      <c r="C3" s="1452" t="s">
        <v>2446</v>
      </c>
      <c r="D3" s="1371" t="s">
        <v>2328</v>
      </c>
      <c r="E3" s="1372" t="s">
        <v>2454</v>
      </c>
      <c r="F3" s="877" t="s">
        <v>1092</v>
      </c>
      <c r="G3" s="877" t="s">
        <v>1415</v>
      </c>
      <c r="H3" s="1447" t="s">
        <v>2340</v>
      </c>
      <c r="I3" s="702">
        <v>2</v>
      </c>
      <c r="J3" s="1367" t="s">
        <v>2324</v>
      </c>
      <c r="K3" s="1366">
        <v>0</v>
      </c>
      <c r="L3" s="710"/>
      <c r="P3" s="1359"/>
      <c r="Q3" s="1359"/>
    </row>
    <row r="4" spans="1:17" s="1443" customFormat="1" ht="27" customHeight="1">
      <c r="A4" s="1445" t="s">
        <v>2440</v>
      </c>
      <c r="B4" s="1441" t="s">
        <v>2441</v>
      </c>
      <c r="C4" s="1452" t="s">
        <v>2446</v>
      </c>
      <c r="D4" s="1371" t="s">
        <v>2328</v>
      </c>
      <c r="E4" s="1451" t="s">
        <v>2453</v>
      </c>
      <c r="F4" s="1446" t="s">
        <v>2452</v>
      </c>
      <c r="G4" s="1446" t="s">
        <v>2447</v>
      </c>
      <c r="H4" s="1360" t="s">
        <v>2340</v>
      </c>
      <c r="I4" s="702">
        <v>1</v>
      </c>
      <c r="J4" s="1367" t="s">
        <v>2324</v>
      </c>
      <c r="K4" s="1366">
        <v>0</v>
      </c>
      <c r="P4" s="1444"/>
      <c r="Q4" s="1444"/>
    </row>
    <row r="5" spans="1:17" ht="24" customHeight="1">
      <c r="A5" s="877" t="s">
        <v>2440</v>
      </c>
      <c r="B5" s="877" t="s">
        <v>2441</v>
      </c>
      <c r="C5" s="1452" t="s">
        <v>2446</v>
      </c>
      <c r="D5" s="1372" t="s">
        <v>2328</v>
      </c>
      <c r="E5" s="1367" t="s">
        <v>2450</v>
      </c>
      <c r="F5" s="877" t="s">
        <v>1089</v>
      </c>
      <c r="G5" s="1361" t="s">
        <v>1415</v>
      </c>
      <c r="H5" s="1360" t="s">
        <v>2340</v>
      </c>
      <c r="I5" s="702">
        <v>1</v>
      </c>
      <c r="J5" s="922" t="s">
        <v>2292</v>
      </c>
      <c r="K5" s="1442">
        <v>1</v>
      </c>
    </row>
    <row r="6" spans="1:17" ht="27" customHeight="1">
      <c r="A6" s="1442" t="s">
        <v>2319</v>
      </c>
      <c r="B6" s="1441" t="s">
        <v>2441</v>
      </c>
      <c r="C6" s="1452" t="s">
        <v>2446</v>
      </c>
      <c r="D6" s="1371" t="s">
        <v>2328</v>
      </c>
      <c r="E6" s="1375" t="s">
        <v>2448</v>
      </c>
      <c r="F6" s="1441" t="s">
        <v>2449</v>
      </c>
      <c r="G6" s="1441" t="s">
        <v>2447</v>
      </c>
      <c r="H6" s="1367" t="s">
        <v>2291</v>
      </c>
      <c r="I6" s="1442">
        <v>1</v>
      </c>
      <c r="J6" s="1367" t="s">
        <v>2324</v>
      </c>
      <c r="K6" s="1366">
        <v>0</v>
      </c>
      <c r="P6" s="1359"/>
      <c r="Q6" s="1359"/>
    </row>
    <row r="7" spans="1:17" s="1443" customFormat="1" ht="27" customHeight="1">
      <c r="A7" s="1442" t="s">
        <v>2319</v>
      </c>
      <c r="B7" s="1441" t="s">
        <v>2441</v>
      </c>
      <c r="C7" s="1452" t="s">
        <v>2446</v>
      </c>
      <c r="D7" s="1371" t="s">
        <v>2328</v>
      </c>
      <c r="E7" s="1375" t="s">
        <v>2444</v>
      </c>
      <c r="F7" s="1441" t="s">
        <v>2445</v>
      </c>
      <c r="G7" s="1441" t="s">
        <v>2447</v>
      </c>
      <c r="H7" s="1367" t="s">
        <v>2291</v>
      </c>
      <c r="I7" s="1442">
        <v>1</v>
      </c>
      <c r="J7" s="922" t="s">
        <v>2292</v>
      </c>
      <c r="K7" s="1442">
        <v>1</v>
      </c>
      <c r="P7" s="1444"/>
      <c r="Q7" s="1444"/>
    </row>
    <row r="8" spans="1:17" ht="42" customHeight="1">
      <c r="A8" s="1361" t="s">
        <v>2319</v>
      </c>
      <c r="B8" s="1361" t="s">
        <v>2441</v>
      </c>
      <c r="C8" s="1372" t="s">
        <v>2320</v>
      </c>
      <c r="D8" s="1372" t="s">
        <v>2321</v>
      </c>
      <c r="E8" s="1367" t="s">
        <v>2322</v>
      </c>
      <c r="F8" s="1366" t="s">
        <v>2323</v>
      </c>
      <c r="G8" s="1366" t="s">
        <v>2457</v>
      </c>
      <c r="H8" s="1367" t="s">
        <v>2321</v>
      </c>
      <c r="I8" s="1366">
        <v>1</v>
      </c>
      <c r="J8" s="1367" t="s">
        <v>2324</v>
      </c>
      <c r="K8" s="1366">
        <v>0</v>
      </c>
    </row>
    <row r="9" spans="1:17" ht="81">
      <c r="A9" s="702" t="s">
        <v>2325</v>
      </c>
      <c r="B9" s="1449" t="s">
        <v>2326</v>
      </c>
      <c r="C9" s="1372" t="s">
        <v>2327</v>
      </c>
      <c r="D9" s="1371" t="s">
        <v>2328</v>
      </c>
      <c r="E9" s="1367" t="s">
        <v>2329</v>
      </c>
      <c r="F9" s="877" t="s">
        <v>2330</v>
      </c>
      <c r="G9" s="1361" t="s">
        <v>2331</v>
      </c>
      <c r="H9" s="1367" t="s">
        <v>2291</v>
      </c>
      <c r="I9" s="702">
        <v>1</v>
      </c>
      <c r="J9" s="922" t="s">
        <v>2292</v>
      </c>
      <c r="K9" s="702">
        <v>1</v>
      </c>
    </row>
    <row r="10" spans="1:17" ht="27">
      <c r="A10" s="1361" t="s">
        <v>2319</v>
      </c>
      <c r="B10" s="702" t="s">
        <v>2332</v>
      </c>
      <c r="C10" s="1368" t="s">
        <v>2333</v>
      </c>
      <c r="D10" s="1372" t="s">
        <v>2334</v>
      </c>
      <c r="E10" s="1367" t="s">
        <v>2333</v>
      </c>
      <c r="F10" s="877" t="s">
        <v>2330</v>
      </c>
      <c r="G10" s="1361" t="s">
        <v>2331</v>
      </c>
      <c r="H10" s="1367" t="s">
        <v>2335</v>
      </c>
      <c r="I10" s="702">
        <v>1</v>
      </c>
      <c r="J10" s="922" t="s">
        <v>2294</v>
      </c>
      <c r="K10" s="702">
        <v>0</v>
      </c>
    </row>
    <row r="11" spans="1:17" ht="27">
      <c r="A11" s="877" t="s">
        <v>2325</v>
      </c>
      <c r="B11" s="877" t="s">
        <v>2336</v>
      </c>
      <c r="C11" s="1368" t="s">
        <v>2337</v>
      </c>
      <c r="D11" s="1372" t="s">
        <v>2328</v>
      </c>
      <c r="E11" s="1367" t="s">
        <v>2338</v>
      </c>
      <c r="F11" s="877" t="s">
        <v>2339</v>
      </c>
      <c r="G11" s="1361" t="s">
        <v>2331</v>
      </c>
      <c r="H11" s="1360" t="s">
        <v>2340</v>
      </c>
      <c r="I11" s="702">
        <v>1</v>
      </c>
      <c r="J11" s="922" t="s">
        <v>2341</v>
      </c>
      <c r="K11" s="702">
        <v>0</v>
      </c>
    </row>
    <row r="12" spans="1:17" ht="40.5">
      <c r="A12" s="877" t="s">
        <v>2325</v>
      </c>
      <c r="B12" s="877" t="s">
        <v>2342</v>
      </c>
      <c r="C12" s="1369" t="s">
        <v>2343</v>
      </c>
      <c r="D12" s="1368" t="s">
        <v>2328</v>
      </c>
      <c r="E12" s="1367" t="s">
        <v>2344</v>
      </c>
      <c r="F12" s="877" t="s">
        <v>2345</v>
      </c>
      <c r="G12" s="1361" t="s">
        <v>2331</v>
      </c>
      <c r="H12" s="1360" t="s">
        <v>2340</v>
      </c>
      <c r="I12" s="702">
        <v>1</v>
      </c>
      <c r="J12" s="323" t="s">
        <v>2341</v>
      </c>
      <c r="K12" s="877">
        <v>0</v>
      </c>
    </row>
    <row r="13" spans="1:17" ht="28.5" customHeight="1">
      <c r="A13" s="877" t="s">
        <v>2325</v>
      </c>
      <c r="B13" s="1361" t="s">
        <v>2342</v>
      </c>
      <c r="C13" s="1372" t="s">
        <v>2451</v>
      </c>
      <c r="D13" s="1372" t="s">
        <v>2328</v>
      </c>
      <c r="E13" s="1367" t="s">
        <v>2346</v>
      </c>
      <c r="F13" s="877" t="s">
        <v>2347</v>
      </c>
      <c r="G13" s="1361" t="s">
        <v>2331</v>
      </c>
      <c r="H13" s="1360" t="s">
        <v>2340</v>
      </c>
      <c r="I13" s="702">
        <v>1</v>
      </c>
      <c r="J13" s="323" t="s">
        <v>2341</v>
      </c>
      <c r="K13" s="877">
        <v>0</v>
      </c>
    </row>
    <row r="14" spans="1:17" ht="17.25" customHeight="1">
      <c r="A14" s="1366" t="s">
        <v>2325</v>
      </c>
      <c r="B14" s="1366" t="s">
        <v>2342</v>
      </c>
      <c r="C14" s="1369" t="s">
        <v>2348</v>
      </c>
      <c r="D14" s="1372" t="s">
        <v>2349</v>
      </c>
      <c r="E14" s="1367" t="s">
        <v>2350</v>
      </c>
      <c r="F14" s="1361" t="s">
        <v>2330</v>
      </c>
      <c r="G14" s="1361" t="s">
        <v>2331</v>
      </c>
      <c r="H14" s="1367" t="s">
        <v>2340</v>
      </c>
      <c r="I14" s="1366">
        <v>1</v>
      </c>
      <c r="J14" s="1367" t="s">
        <v>2308</v>
      </c>
      <c r="K14" s="1366">
        <v>1</v>
      </c>
    </row>
    <row r="15" spans="1:17" ht="27.75" customHeight="1">
      <c r="A15" s="1366" t="s">
        <v>2325</v>
      </c>
      <c r="B15" s="1366" t="s">
        <v>2342</v>
      </c>
      <c r="C15" s="1369" t="s">
        <v>2348</v>
      </c>
      <c r="D15" s="1372" t="s">
        <v>2349</v>
      </c>
      <c r="E15" s="1367" t="s">
        <v>2351</v>
      </c>
      <c r="F15" s="1361" t="s">
        <v>2330</v>
      </c>
      <c r="G15" s="1361" t="s">
        <v>2331</v>
      </c>
      <c r="H15" s="1367" t="s">
        <v>2291</v>
      </c>
      <c r="I15" s="1366">
        <v>2</v>
      </c>
      <c r="J15" s="1367" t="s">
        <v>2308</v>
      </c>
      <c r="K15" s="1366">
        <v>1</v>
      </c>
    </row>
    <row r="16" spans="1:17" ht="31.5" customHeight="1">
      <c r="A16" s="702" t="s">
        <v>2325</v>
      </c>
      <c r="B16" s="702" t="s">
        <v>2342</v>
      </c>
      <c r="C16" s="1369" t="s">
        <v>2348</v>
      </c>
      <c r="D16" s="1369" t="s">
        <v>2352</v>
      </c>
      <c r="E16" s="1367"/>
      <c r="F16" s="877" t="s">
        <v>2330</v>
      </c>
      <c r="G16" s="1361" t="s">
        <v>2353</v>
      </c>
      <c r="H16" s="1375" t="s">
        <v>2354</v>
      </c>
      <c r="I16" s="702"/>
      <c r="J16" s="922" t="s">
        <v>2341</v>
      </c>
      <c r="K16" s="702">
        <v>0</v>
      </c>
    </row>
    <row r="17" spans="1:11" ht="81">
      <c r="A17" s="877" t="s">
        <v>2325</v>
      </c>
      <c r="B17" s="702" t="s">
        <v>2442</v>
      </c>
      <c r="C17" s="1368" t="s">
        <v>2355</v>
      </c>
      <c r="D17" s="1369" t="s">
        <v>2328</v>
      </c>
      <c r="E17" s="1367" t="s">
        <v>2356</v>
      </c>
      <c r="F17" s="702" t="s">
        <v>2357</v>
      </c>
      <c r="G17" s="1366" t="s">
        <v>2331</v>
      </c>
      <c r="H17" s="1367" t="s">
        <v>2291</v>
      </c>
      <c r="I17" s="702">
        <v>1</v>
      </c>
      <c r="J17" s="922" t="s">
        <v>2294</v>
      </c>
      <c r="K17" s="702">
        <v>0</v>
      </c>
    </row>
    <row r="18" spans="1:11" ht="40.5">
      <c r="A18" s="877" t="s">
        <v>2325</v>
      </c>
      <c r="B18" s="702" t="s">
        <v>2443</v>
      </c>
      <c r="C18" s="1368" t="s">
        <v>2355</v>
      </c>
      <c r="D18" s="1369" t="s">
        <v>2328</v>
      </c>
      <c r="E18" s="1367" t="s">
        <v>2358</v>
      </c>
      <c r="F18" s="702" t="s">
        <v>2357</v>
      </c>
      <c r="G18" s="1366" t="s">
        <v>2331</v>
      </c>
      <c r="H18" s="1367" t="s">
        <v>2291</v>
      </c>
      <c r="I18" s="702">
        <v>1</v>
      </c>
      <c r="J18" s="922" t="s">
        <v>2294</v>
      </c>
      <c r="K18" s="702">
        <v>0</v>
      </c>
    </row>
    <row r="19" spans="1:11" ht="40.5">
      <c r="A19" s="877" t="s">
        <v>2325</v>
      </c>
      <c r="B19" s="702" t="s">
        <v>2443</v>
      </c>
      <c r="C19" s="1368" t="s">
        <v>2355</v>
      </c>
      <c r="D19" s="1369" t="s">
        <v>2328</v>
      </c>
      <c r="E19" s="1367" t="s">
        <v>2359</v>
      </c>
      <c r="F19" s="702" t="s">
        <v>2357</v>
      </c>
      <c r="G19" s="1366" t="s">
        <v>2331</v>
      </c>
      <c r="H19" s="1367" t="s">
        <v>2291</v>
      </c>
      <c r="I19" s="702">
        <v>1</v>
      </c>
      <c r="J19" s="922" t="s">
        <v>2294</v>
      </c>
      <c r="K19" s="702">
        <v>0</v>
      </c>
    </row>
    <row r="20" spans="1:11" ht="54" hidden="1">
      <c r="A20" s="877" t="s">
        <v>2366</v>
      </c>
      <c r="B20" s="877" t="s">
        <v>2360</v>
      </c>
      <c r="C20" s="1368" t="s">
        <v>2361</v>
      </c>
      <c r="D20" s="1371" t="s">
        <v>2328</v>
      </c>
      <c r="E20" s="1360" t="s">
        <v>2362</v>
      </c>
      <c r="F20" s="877" t="s">
        <v>2330</v>
      </c>
      <c r="G20" s="877" t="s">
        <v>2331</v>
      </c>
      <c r="H20" s="1367" t="s">
        <v>2291</v>
      </c>
      <c r="I20" s="1361">
        <v>1</v>
      </c>
      <c r="J20" s="922" t="s">
        <v>2292</v>
      </c>
      <c r="K20" s="702">
        <v>1</v>
      </c>
    </row>
    <row r="21" spans="1:11" ht="189" hidden="1">
      <c r="A21" s="877" t="s">
        <v>2366</v>
      </c>
      <c r="B21" s="877" t="s">
        <v>2360</v>
      </c>
      <c r="C21" s="1369" t="s">
        <v>2304</v>
      </c>
      <c r="D21" s="1372" t="s">
        <v>2328</v>
      </c>
      <c r="E21" s="1367" t="s">
        <v>2363</v>
      </c>
      <c r="F21" s="877" t="s">
        <v>2347</v>
      </c>
      <c r="G21" s="1361" t="s">
        <v>2331</v>
      </c>
      <c r="H21" s="1360" t="s">
        <v>2340</v>
      </c>
      <c r="I21" s="877">
        <v>1</v>
      </c>
      <c r="J21" s="922" t="s">
        <v>2292</v>
      </c>
      <c r="K21" s="702">
        <v>1</v>
      </c>
    </row>
    <row r="22" spans="1:11" ht="40.5" hidden="1">
      <c r="A22" s="877" t="s">
        <v>2366</v>
      </c>
      <c r="B22" s="877" t="s">
        <v>2360</v>
      </c>
      <c r="C22" s="1368" t="s">
        <v>2361</v>
      </c>
      <c r="D22" s="1372" t="s">
        <v>2334</v>
      </c>
      <c r="E22" s="1367" t="s">
        <v>2364</v>
      </c>
      <c r="F22" s="877" t="s">
        <v>2345</v>
      </c>
      <c r="G22" s="1361" t="s">
        <v>2331</v>
      </c>
      <c r="H22" s="1367" t="s">
        <v>2335</v>
      </c>
      <c r="I22" s="702">
        <v>1</v>
      </c>
      <c r="J22" s="323" t="s">
        <v>2365</v>
      </c>
      <c r="K22" s="877">
        <v>1</v>
      </c>
    </row>
    <row r="23" spans="1:11" ht="135" hidden="1">
      <c r="A23" s="1448" t="s">
        <v>2366</v>
      </c>
      <c r="B23" s="1450" t="s">
        <v>2367</v>
      </c>
      <c r="C23" s="1453" t="s">
        <v>2368</v>
      </c>
      <c r="D23" s="1364" t="s">
        <v>2369</v>
      </c>
      <c r="E23" s="1363" t="s">
        <v>2370</v>
      </c>
      <c r="F23" s="1362" t="s">
        <v>2371</v>
      </c>
      <c r="G23" s="1365" t="s">
        <v>2372</v>
      </c>
      <c r="H23" s="1363" t="s">
        <v>2341</v>
      </c>
      <c r="I23" s="1365">
        <v>0</v>
      </c>
      <c r="J23" s="1363" t="s">
        <v>2369</v>
      </c>
      <c r="K23" s="702">
        <v>1</v>
      </c>
    </row>
    <row r="24" spans="1:11" ht="57.75" hidden="1" customHeight="1">
      <c r="A24" s="702" t="s">
        <v>2366</v>
      </c>
      <c r="B24" s="877" t="s">
        <v>2367</v>
      </c>
      <c r="C24" s="1368" t="s">
        <v>2361</v>
      </c>
      <c r="D24" s="1369" t="s">
        <v>2328</v>
      </c>
      <c r="E24" s="1367" t="s">
        <v>2293</v>
      </c>
      <c r="F24" s="702" t="s">
        <v>2373</v>
      </c>
      <c r="G24" s="1366" t="s">
        <v>2331</v>
      </c>
      <c r="H24" s="1367" t="s">
        <v>2291</v>
      </c>
      <c r="I24" s="702">
        <v>1</v>
      </c>
      <c r="J24" s="922" t="s">
        <v>2294</v>
      </c>
      <c r="K24" s="702">
        <v>0</v>
      </c>
    </row>
    <row r="25" spans="1:11" ht="81" hidden="1">
      <c r="A25" s="702" t="s">
        <v>2366</v>
      </c>
      <c r="B25" s="877" t="s">
        <v>2367</v>
      </c>
      <c r="C25" s="1368" t="s">
        <v>2361</v>
      </c>
      <c r="D25" s="1369" t="s">
        <v>2328</v>
      </c>
      <c r="E25" s="1367" t="s">
        <v>2356</v>
      </c>
      <c r="F25" s="702" t="s">
        <v>2357</v>
      </c>
      <c r="G25" s="1366" t="s">
        <v>2331</v>
      </c>
      <c r="H25" s="1367" t="s">
        <v>2291</v>
      </c>
      <c r="I25" s="702">
        <v>1</v>
      </c>
      <c r="J25" s="922" t="s">
        <v>2294</v>
      </c>
      <c r="K25" s="702">
        <v>0</v>
      </c>
    </row>
    <row r="26" spans="1:11" ht="40.5" hidden="1">
      <c r="A26" s="702" t="s">
        <v>2366</v>
      </c>
      <c r="B26" s="877" t="s">
        <v>2367</v>
      </c>
      <c r="C26" s="1368" t="s">
        <v>2361</v>
      </c>
      <c r="D26" s="1369" t="s">
        <v>2328</v>
      </c>
      <c r="E26" s="1367" t="s">
        <v>2358</v>
      </c>
      <c r="F26" s="702" t="s">
        <v>2357</v>
      </c>
      <c r="G26" s="1366" t="s">
        <v>2331</v>
      </c>
      <c r="H26" s="1367" t="s">
        <v>2291</v>
      </c>
      <c r="I26" s="702">
        <v>1</v>
      </c>
      <c r="J26" s="922" t="s">
        <v>2294</v>
      </c>
      <c r="K26" s="702">
        <v>0</v>
      </c>
    </row>
    <row r="27" spans="1:11" ht="40.5" hidden="1">
      <c r="A27" s="702" t="s">
        <v>2366</v>
      </c>
      <c r="B27" s="877" t="s">
        <v>2367</v>
      </c>
      <c r="C27" s="1368" t="s">
        <v>2361</v>
      </c>
      <c r="D27" s="1369" t="s">
        <v>2328</v>
      </c>
      <c r="E27" s="1367" t="s">
        <v>2359</v>
      </c>
      <c r="F27" s="702" t="s">
        <v>2357</v>
      </c>
      <c r="G27" s="1366" t="s">
        <v>2331</v>
      </c>
      <c r="H27" s="1367" t="s">
        <v>2291</v>
      </c>
      <c r="I27" s="702">
        <v>1</v>
      </c>
      <c r="J27" s="922" t="s">
        <v>2294</v>
      </c>
      <c r="K27" s="702">
        <v>0</v>
      </c>
    </row>
    <row r="28" spans="1:11" ht="94.5" hidden="1">
      <c r="A28" s="877" t="s">
        <v>2366</v>
      </c>
      <c r="B28" s="877" t="s">
        <v>2367</v>
      </c>
      <c r="C28" s="1368" t="s">
        <v>2361</v>
      </c>
      <c r="D28" s="1369" t="s">
        <v>2328</v>
      </c>
      <c r="E28" s="1367" t="s">
        <v>2295</v>
      </c>
      <c r="F28" s="702" t="s">
        <v>2374</v>
      </c>
      <c r="G28" s="1366" t="s">
        <v>2331</v>
      </c>
      <c r="H28" s="1367" t="s">
        <v>2291</v>
      </c>
      <c r="I28" s="702">
        <v>1</v>
      </c>
      <c r="J28" s="922" t="s">
        <v>2292</v>
      </c>
      <c r="K28" s="702">
        <v>1</v>
      </c>
    </row>
    <row r="29" spans="1:11" ht="337.5" hidden="1">
      <c r="A29" s="877" t="s">
        <v>2366</v>
      </c>
      <c r="B29" s="877" t="s">
        <v>2367</v>
      </c>
      <c r="C29" s="1368" t="s">
        <v>2361</v>
      </c>
      <c r="D29" s="1369" t="s">
        <v>2328</v>
      </c>
      <c r="E29" s="1370" t="s">
        <v>2375</v>
      </c>
      <c r="F29" s="702" t="s">
        <v>2347</v>
      </c>
      <c r="G29" s="1366" t="s">
        <v>2331</v>
      </c>
      <c r="H29" s="1367" t="s">
        <v>2291</v>
      </c>
      <c r="I29" s="702">
        <v>1</v>
      </c>
      <c r="J29" s="922" t="s">
        <v>2376</v>
      </c>
      <c r="K29" s="702">
        <v>2</v>
      </c>
    </row>
    <row r="30" spans="1:11" ht="40.5" hidden="1">
      <c r="A30" s="877" t="s">
        <v>2366</v>
      </c>
      <c r="B30" s="877" t="s">
        <v>2367</v>
      </c>
      <c r="C30" s="1368" t="s">
        <v>2361</v>
      </c>
      <c r="D30" s="1369" t="s">
        <v>2328</v>
      </c>
      <c r="E30" s="1367" t="s">
        <v>2377</v>
      </c>
      <c r="F30" s="702" t="s">
        <v>2345</v>
      </c>
      <c r="G30" s="1366" t="s">
        <v>2331</v>
      </c>
      <c r="H30" s="1367" t="s">
        <v>2291</v>
      </c>
      <c r="I30" s="702">
        <v>1</v>
      </c>
      <c r="J30" s="922" t="s">
        <v>2292</v>
      </c>
      <c r="K30" s="702">
        <v>1</v>
      </c>
    </row>
    <row r="31" spans="1:11" ht="67.5" hidden="1">
      <c r="A31" s="877" t="s">
        <v>2366</v>
      </c>
      <c r="B31" s="877" t="s">
        <v>2367</v>
      </c>
      <c r="C31" s="1368" t="s">
        <v>2361</v>
      </c>
      <c r="D31" s="1369" t="s">
        <v>2328</v>
      </c>
      <c r="E31" s="1367" t="s">
        <v>2296</v>
      </c>
      <c r="F31" s="702" t="s">
        <v>2371</v>
      </c>
      <c r="G31" s="1366" t="s">
        <v>2353</v>
      </c>
      <c r="H31" s="1367" t="s">
        <v>2291</v>
      </c>
      <c r="I31" s="702">
        <v>1</v>
      </c>
      <c r="J31" s="922" t="s">
        <v>2294</v>
      </c>
      <c r="K31" s="702">
        <v>0</v>
      </c>
    </row>
    <row r="32" spans="1:11" ht="81" hidden="1">
      <c r="A32" s="877" t="s">
        <v>2366</v>
      </c>
      <c r="B32" s="877" t="s">
        <v>2367</v>
      </c>
      <c r="C32" s="1368" t="s">
        <v>2361</v>
      </c>
      <c r="D32" s="1369" t="s">
        <v>2328</v>
      </c>
      <c r="E32" s="1367" t="s">
        <v>2297</v>
      </c>
      <c r="F32" s="702" t="s">
        <v>2371</v>
      </c>
      <c r="G32" s="1366" t="s">
        <v>2331</v>
      </c>
      <c r="H32" s="1367" t="s">
        <v>2291</v>
      </c>
      <c r="I32" s="702">
        <v>1</v>
      </c>
      <c r="J32" s="922" t="s">
        <v>2292</v>
      </c>
      <c r="K32" s="702">
        <v>1</v>
      </c>
    </row>
    <row r="33" spans="1:11" ht="135" hidden="1">
      <c r="A33" s="877" t="s">
        <v>2366</v>
      </c>
      <c r="B33" s="877" t="s">
        <v>2367</v>
      </c>
      <c r="C33" s="1368" t="s">
        <v>2361</v>
      </c>
      <c r="D33" s="1369" t="s">
        <v>2328</v>
      </c>
      <c r="E33" s="1367" t="s">
        <v>2298</v>
      </c>
      <c r="F33" s="702" t="s">
        <v>2339</v>
      </c>
      <c r="G33" s="1366" t="s">
        <v>2331</v>
      </c>
      <c r="H33" s="1367" t="s">
        <v>2291</v>
      </c>
      <c r="I33" s="702">
        <v>1</v>
      </c>
      <c r="J33" s="922" t="s">
        <v>2341</v>
      </c>
      <c r="K33" s="702">
        <v>0</v>
      </c>
    </row>
    <row r="34" spans="1:11" ht="135" hidden="1">
      <c r="A34" s="877" t="s">
        <v>2366</v>
      </c>
      <c r="B34" s="877" t="s">
        <v>2367</v>
      </c>
      <c r="C34" s="1368" t="s">
        <v>2378</v>
      </c>
      <c r="D34" s="1369" t="s">
        <v>2379</v>
      </c>
      <c r="E34" s="1367" t="s">
        <v>2380</v>
      </c>
      <c r="F34" s="702" t="s">
        <v>2357</v>
      </c>
      <c r="G34" s="1366" t="s">
        <v>2381</v>
      </c>
      <c r="H34" s="1367" t="s">
        <v>2379</v>
      </c>
      <c r="I34" s="702">
        <v>1</v>
      </c>
      <c r="J34" s="922" t="s">
        <v>2341</v>
      </c>
      <c r="K34" s="702">
        <v>0</v>
      </c>
    </row>
    <row r="35" spans="1:11" ht="65.25" hidden="1" customHeight="1">
      <c r="A35" s="877" t="s">
        <v>2366</v>
      </c>
      <c r="B35" s="877" t="s">
        <v>2367</v>
      </c>
      <c r="C35" s="1368" t="s">
        <v>2378</v>
      </c>
      <c r="D35" s="1369" t="s">
        <v>2379</v>
      </c>
      <c r="E35" s="1367" t="s">
        <v>2382</v>
      </c>
      <c r="F35" s="702" t="s">
        <v>2383</v>
      </c>
      <c r="G35" s="1366" t="s">
        <v>2384</v>
      </c>
      <c r="H35" s="1367" t="s">
        <v>2341</v>
      </c>
      <c r="I35" s="702">
        <v>0</v>
      </c>
      <c r="J35" s="922" t="s">
        <v>2379</v>
      </c>
      <c r="K35" s="702">
        <v>1</v>
      </c>
    </row>
    <row r="36" spans="1:11" ht="47.25" hidden="1" customHeight="1">
      <c r="A36" s="877" t="s">
        <v>2366</v>
      </c>
      <c r="B36" s="877" t="s">
        <v>2367</v>
      </c>
      <c r="C36" s="1368" t="s">
        <v>2361</v>
      </c>
      <c r="D36" s="1369" t="s">
        <v>2385</v>
      </c>
      <c r="E36" s="1367" t="s">
        <v>2386</v>
      </c>
      <c r="F36" s="877" t="s">
        <v>2345</v>
      </c>
      <c r="G36" s="1366" t="s">
        <v>2353</v>
      </c>
      <c r="H36" s="1367" t="s">
        <v>2385</v>
      </c>
      <c r="I36" s="1366">
        <v>1</v>
      </c>
      <c r="J36" s="922" t="s">
        <v>2341</v>
      </c>
      <c r="K36" s="702">
        <v>0</v>
      </c>
    </row>
    <row r="37" spans="1:11" ht="28.5" hidden="1" customHeight="1">
      <c r="A37" s="877" t="s">
        <v>2366</v>
      </c>
      <c r="B37" s="877" t="s">
        <v>2387</v>
      </c>
      <c r="C37" s="1372" t="s">
        <v>2388</v>
      </c>
      <c r="D37" s="1369" t="s">
        <v>2328</v>
      </c>
      <c r="E37" s="1360" t="s">
        <v>2389</v>
      </c>
      <c r="F37" s="702" t="s">
        <v>2345</v>
      </c>
      <c r="G37" s="1366" t="s">
        <v>2331</v>
      </c>
      <c r="H37" s="1367" t="s">
        <v>2291</v>
      </c>
      <c r="I37" s="702">
        <v>1</v>
      </c>
      <c r="J37" s="922" t="s">
        <v>2294</v>
      </c>
      <c r="K37" s="702">
        <v>0</v>
      </c>
    </row>
    <row r="38" spans="1:11" ht="175.5" hidden="1">
      <c r="A38" s="877" t="s">
        <v>2366</v>
      </c>
      <c r="B38" s="702" t="s">
        <v>2390</v>
      </c>
      <c r="C38" s="1369" t="s">
        <v>2391</v>
      </c>
      <c r="D38" s="1369" t="s">
        <v>2328</v>
      </c>
      <c r="E38" s="1360" t="s">
        <v>2392</v>
      </c>
      <c r="F38" s="702" t="s">
        <v>2347</v>
      </c>
      <c r="G38" s="1366" t="s">
        <v>2331</v>
      </c>
      <c r="H38" s="1367" t="s">
        <v>2291</v>
      </c>
      <c r="I38" s="702">
        <v>1</v>
      </c>
      <c r="J38" s="922" t="s">
        <v>2294</v>
      </c>
      <c r="K38" s="702">
        <v>0</v>
      </c>
    </row>
    <row r="39" spans="1:11" ht="67.5" hidden="1">
      <c r="A39" s="877" t="s">
        <v>2366</v>
      </c>
      <c r="B39" s="877" t="s">
        <v>2390</v>
      </c>
      <c r="C39" s="1372" t="s">
        <v>2393</v>
      </c>
      <c r="D39" s="1369" t="s">
        <v>2328</v>
      </c>
      <c r="E39" s="1360" t="s">
        <v>2394</v>
      </c>
      <c r="F39" s="702" t="s">
        <v>2345</v>
      </c>
      <c r="G39" s="1366" t="s">
        <v>2331</v>
      </c>
      <c r="H39" s="1367" t="s">
        <v>2291</v>
      </c>
      <c r="I39" s="702">
        <v>1</v>
      </c>
      <c r="J39" s="922" t="s">
        <v>2294</v>
      </c>
      <c r="K39" s="702">
        <v>0</v>
      </c>
    </row>
    <row r="40" spans="1:11" ht="40.5" hidden="1">
      <c r="A40" s="877" t="s">
        <v>2366</v>
      </c>
      <c r="B40" s="702" t="s">
        <v>2390</v>
      </c>
      <c r="C40" s="1372" t="s">
        <v>2395</v>
      </c>
      <c r="D40" s="1372" t="s">
        <v>2396</v>
      </c>
      <c r="E40" s="1367" t="s">
        <v>2307</v>
      </c>
      <c r="F40" s="877" t="s">
        <v>2374</v>
      </c>
      <c r="G40" s="1361" t="s">
        <v>2395</v>
      </c>
      <c r="H40" s="1367" t="s">
        <v>2306</v>
      </c>
      <c r="I40" s="1366">
        <v>1</v>
      </c>
      <c r="J40" s="922" t="s">
        <v>2341</v>
      </c>
      <c r="K40" s="702">
        <v>0</v>
      </c>
    </row>
    <row r="41" spans="1:11" ht="162" hidden="1">
      <c r="A41" s="702" t="s">
        <v>2366</v>
      </c>
      <c r="B41" s="702" t="s">
        <v>2397</v>
      </c>
      <c r="C41" s="1369" t="s">
        <v>2398</v>
      </c>
      <c r="D41" s="1369" t="s">
        <v>2328</v>
      </c>
      <c r="E41" s="1367" t="s">
        <v>2399</v>
      </c>
      <c r="F41" s="702" t="s">
        <v>2374</v>
      </c>
      <c r="G41" s="1366" t="s">
        <v>2331</v>
      </c>
      <c r="H41" s="1367" t="s">
        <v>2340</v>
      </c>
      <c r="I41" s="702">
        <v>1</v>
      </c>
      <c r="J41" s="922" t="s">
        <v>2292</v>
      </c>
      <c r="K41" s="702">
        <v>1</v>
      </c>
    </row>
    <row r="42" spans="1:11" ht="409.5" hidden="1">
      <c r="A42" s="702" t="s">
        <v>2366</v>
      </c>
      <c r="B42" s="702" t="s">
        <v>2299</v>
      </c>
      <c r="C42" s="1369" t="s">
        <v>2400</v>
      </c>
      <c r="D42" s="1369" t="s">
        <v>2328</v>
      </c>
      <c r="E42" s="1367" t="s">
        <v>2401</v>
      </c>
      <c r="F42" s="702" t="s">
        <v>2347</v>
      </c>
      <c r="G42" s="1366" t="s">
        <v>2402</v>
      </c>
      <c r="H42" s="1367" t="s">
        <v>2291</v>
      </c>
      <c r="I42" s="702">
        <v>1</v>
      </c>
      <c r="J42" s="922" t="s">
        <v>2294</v>
      </c>
      <c r="K42" s="702">
        <v>0</v>
      </c>
    </row>
    <row r="43" spans="1:11" ht="54" hidden="1">
      <c r="A43" s="702" t="s">
        <v>2366</v>
      </c>
      <c r="B43" s="702" t="s">
        <v>2299</v>
      </c>
      <c r="C43" s="1369" t="s">
        <v>2403</v>
      </c>
      <c r="D43" s="1369" t="s">
        <v>2328</v>
      </c>
      <c r="E43" s="1367" t="s">
        <v>2404</v>
      </c>
      <c r="F43" s="702" t="s">
        <v>2345</v>
      </c>
      <c r="G43" s="1366" t="s">
        <v>2331</v>
      </c>
      <c r="H43" s="1367" t="s">
        <v>2291</v>
      </c>
      <c r="I43" s="702">
        <v>1</v>
      </c>
      <c r="J43" s="922" t="s">
        <v>2292</v>
      </c>
      <c r="K43" s="702">
        <v>1</v>
      </c>
    </row>
    <row r="44" spans="1:11" ht="108" hidden="1">
      <c r="A44" s="702" t="s">
        <v>2366</v>
      </c>
      <c r="B44" s="702" t="s">
        <v>2299</v>
      </c>
      <c r="C44" s="1369" t="s">
        <v>2405</v>
      </c>
      <c r="D44" s="1369" t="s">
        <v>2328</v>
      </c>
      <c r="E44" s="1367" t="s">
        <v>2406</v>
      </c>
      <c r="F44" s="702" t="s">
        <v>2339</v>
      </c>
      <c r="G44" s="1366" t="s">
        <v>2331</v>
      </c>
      <c r="H44" s="1367" t="s">
        <v>2291</v>
      </c>
      <c r="I44" s="702">
        <v>1</v>
      </c>
      <c r="J44" s="922" t="s">
        <v>2294</v>
      </c>
      <c r="K44" s="702">
        <v>0</v>
      </c>
    </row>
    <row r="45" spans="1:11" ht="54" hidden="1">
      <c r="A45" s="1378" t="s">
        <v>2366</v>
      </c>
      <c r="B45" s="1378" t="s">
        <v>2299</v>
      </c>
      <c r="C45" s="1377" t="s">
        <v>2403</v>
      </c>
      <c r="D45" s="1377" t="s">
        <v>2407</v>
      </c>
      <c r="E45" s="1373" t="s">
        <v>2408</v>
      </c>
      <c r="F45" s="1378" t="s">
        <v>2345</v>
      </c>
      <c r="G45" s="1374" t="s">
        <v>2409</v>
      </c>
      <c r="H45" s="1373" t="s">
        <v>2300</v>
      </c>
      <c r="I45" s="1378">
        <v>1</v>
      </c>
      <c r="J45" s="1376" t="s">
        <v>2294</v>
      </c>
      <c r="K45" s="1378">
        <v>0</v>
      </c>
    </row>
    <row r="46" spans="1:11" ht="108" hidden="1">
      <c r="A46" s="702" t="s">
        <v>2366</v>
      </c>
      <c r="B46" s="702" t="s">
        <v>2299</v>
      </c>
      <c r="C46" s="1369" t="s">
        <v>2403</v>
      </c>
      <c r="D46" s="1369" t="s">
        <v>2328</v>
      </c>
      <c r="E46" s="1360" t="s">
        <v>2410</v>
      </c>
      <c r="F46" s="877" t="s">
        <v>2357</v>
      </c>
      <c r="G46" s="1366" t="s">
        <v>2331</v>
      </c>
      <c r="H46" s="1367" t="s">
        <v>2291</v>
      </c>
      <c r="I46" s="702">
        <v>1</v>
      </c>
      <c r="J46" s="922" t="s">
        <v>2294</v>
      </c>
      <c r="K46" s="702">
        <v>0</v>
      </c>
    </row>
    <row r="47" spans="1:11" ht="40.5" hidden="1">
      <c r="A47" s="877" t="s">
        <v>2366</v>
      </c>
      <c r="B47" s="877" t="s">
        <v>2397</v>
      </c>
      <c r="C47" s="1372" t="s">
        <v>2395</v>
      </c>
      <c r="D47" s="1372" t="s">
        <v>2396</v>
      </c>
      <c r="E47" s="1367" t="s">
        <v>2305</v>
      </c>
      <c r="F47" s="877" t="s">
        <v>2347</v>
      </c>
      <c r="G47" s="1361" t="s">
        <v>2395</v>
      </c>
      <c r="H47" s="1367" t="s">
        <v>2306</v>
      </c>
      <c r="I47" s="1366">
        <v>1</v>
      </c>
      <c r="J47" s="922" t="s">
        <v>2341</v>
      </c>
      <c r="K47" s="702">
        <v>0</v>
      </c>
    </row>
    <row r="48" spans="1:11" ht="27" hidden="1">
      <c r="A48" s="702" t="s">
        <v>2366</v>
      </c>
      <c r="B48" s="702" t="s">
        <v>2301</v>
      </c>
      <c r="C48" s="1369" t="s">
        <v>2411</v>
      </c>
      <c r="D48" s="1369" t="s">
        <v>2328</v>
      </c>
      <c r="E48" s="1367" t="s">
        <v>2412</v>
      </c>
      <c r="F48" s="702" t="s">
        <v>2371</v>
      </c>
      <c r="G48" s="1366" t="s">
        <v>2353</v>
      </c>
      <c r="H48" s="1367" t="s">
        <v>2291</v>
      </c>
      <c r="I48" s="702">
        <v>1</v>
      </c>
      <c r="J48" s="922" t="s">
        <v>2292</v>
      </c>
      <c r="K48" s="702">
        <v>1</v>
      </c>
    </row>
    <row r="49" spans="1:11" hidden="1">
      <c r="A49" s="702" t="s">
        <v>2366</v>
      </c>
      <c r="B49" s="702" t="s">
        <v>2413</v>
      </c>
      <c r="C49" s="1369" t="s">
        <v>2414</v>
      </c>
      <c r="D49" s="1369" t="s">
        <v>2328</v>
      </c>
      <c r="E49" s="1367" t="s">
        <v>2415</v>
      </c>
      <c r="F49" s="702" t="s">
        <v>2374</v>
      </c>
      <c r="G49" s="1366" t="s">
        <v>2331</v>
      </c>
      <c r="H49" s="1367" t="s">
        <v>2340</v>
      </c>
      <c r="I49" s="702">
        <v>1</v>
      </c>
      <c r="J49" s="922" t="s">
        <v>2292</v>
      </c>
      <c r="K49" s="702">
        <v>1</v>
      </c>
    </row>
    <row r="50" spans="1:11" ht="135" hidden="1">
      <c r="A50" s="702" t="s">
        <v>2366</v>
      </c>
      <c r="B50" s="702" t="s">
        <v>2302</v>
      </c>
      <c r="C50" s="1369" t="s">
        <v>2416</v>
      </c>
      <c r="D50" s="1369" t="s">
        <v>2328</v>
      </c>
      <c r="E50" s="1367" t="s">
        <v>2417</v>
      </c>
      <c r="F50" s="702" t="s">
        <v>2347</v>
      </c>
      <c r="G50" s="1366" t="s">
        <v>2331</v>
      </c>
      <c r="H50" s="1367" t="s">
        <v>2291</v>
      </c>
      <c r="I50" s="702">
        <v>1</v>
      </c>
      <c r="J50" s="922" t="s">
        <v>2294</v>
      </c>
      <c r="K50" s="702">
        <v>0</v>
      </c>
    </row>
    <row r="51" spans="1:11" ht="202.5" hidden="1">
      <c r="A51" s="702" t="s">
        <v>2366</v>
      </c>
      <c r="B51" s="702" t="s">
        <v>2413</v>
      </c>
      <c r="C51" s="1369" t="s">
        <v>2418</v>
      </c>
      <c r="D51" s="1369" t="s">
        <v>2328</v>
      </c>
      <c r="E51" s="1367" t="s">
        <v>2419</v>
      </c>
      <c r="F51" s="702" t="s">
        <v>2347</v>
      </c>
      <c r="G51" s="1366" t="s">
        <v>2420</v>
      </c>
      <c r="H51" s="1367" t="s">
        <v>2291</v>
      </c>
      <c r="I51" s="702"/>
      <c r="J51" s="922" t="s">
        <v>2294</v>
      </c>
      <c r="K51" s="1378">
        <v>0</v>
      </c>
    </row>
    <row r="52" spans="1:11" ht="270" hidden="1">
      <c r="A52" s="702" t="s">
        <v>2366</v>
      </c>
      <c r="B52" s="702" t="s">
        <v>2302</v>
      </c>
      <c r="C52" s="1369" t="s">
        <v>2421</v>
      </c>
      <c r="D52" s="1369" t="s">
        <v>2422</v>
      </c>
      <c r="E52" s="1367" t="s">
        <v>2423</v>
      </c>
      <c r="F52" s="702" t="s">
        <v>2347</v>
      </c>
      <c r="G52" s="1366" t="s">
        <v>2424</v>
      </c>
      <c r="H52" s="1367" t="s">
        <v>2303</v>
      </c>
      <c r="I52" s="702">
        <v>1</v>
      </c>
      <c r="J52" s="922" t="s">
        <v>2294</v>
      </c>
      <c r="K52" s="702">
        <v>0</v>
      </c>
    </row>
    <row r="53" spans="1:11" ht="67.5" hidden="1">
      <c r="A53" s="702" t="s">
        <v>2366</v>
      </c>
      <c r="B53" s="702" t="s">
        <v>2302</v>
      </c>
      <c r="C53" s="1369" t="s">
        <v>2425</v>
      </c>
      <c r="D53" s="1369" t="s">
        <v>2328</v>
      </c>
      <c r="E53" s="1367" t="s">
        <v>2426</v>
      </c>
      <c r="F53" s="702" t="s">
        <v>2345</v>
      </c>
      <c r="G53" s="1366" t="s">
        <v>2331</v>
      </c>
      <c r="H53" s="1367" t="s">
        <v>2291</v>
      </c>
      <c r="I53" s="702">
        <v>1</v>
      </c>
      <c r="J53" s="922" t="s">
        <v>2292</v>
      </c>
      <c r="K53" s="702">
        <v>1</v>
      </c>
    </row>
    <row r="54" spans="1:11" ht="54" hidden="1">
      <c r="A54" s="702" t="s">
        <v>2366</v>
      </c>
      <c r="B54" s="712" t="s">
        <v>2413</v>
      </c>
      <c r="C54" s="1454" t="s">
        <v>2427</v>
      </c>
      <c r="D54" s="1369" t="s">
        <v>2328</v>
      </c>
      <c r="E54" s="1359" t="s">
        <v>2428</v>
      </c>
      <c r="F54" s="702" t="s">
        <v>2345</v>
      </c>
      <c r="G54" s="1366" t="s">
        <v>2331</v>
      </c>
      <c r="H54" s="1367" t="s">
        <v>2291</v>
      </c>
      <c r="I54" s="712">
        <v>1</v>
      </c>
      <c r="J54" s="922" t="s">
        <v>2292</v>
      </c>
      <c r="K54" s="702">
        <v>1</v>
      </c>
    </row>
    <row r="55" spans="1:11" s="1359" customFormat="1" ht="27" hidden="1">
      <c r="A55" s="702" t="s">
        <v>2366</v>
      </c>
      <c r="B55" s="702" t="s">
        <v>2413</v>
      </c>
      <c r="C55" s="1369" t="s">
        <v>2429</v>
      </c>
      <c r="D55" s="1369" t="s">
        <v>2328</v>
      </c>
      <c r="E55" s="1367" t="s">
        <v>2430</v>
      </c>
      <c r="F55" s="702" t="s">
        <v>2339</v>
      </c>
      <c r="G55" s="1366" t="s">
        <v>2331</v>
      </c>
      <c r="H55" s="1367" t="s">
        <v>2291</v>
      </c>
      <c r="I55" s="702">
        <v>1</v>
      </c>
      <c r="J55" s="922" t="s">
        <v>2294</v>
      </c>
      <c r="K55" s="702">
        <v>0</v>
      </c>
    </row>
  </sheetData>
  <autoFilter ref="A1:Q55">
    <filterColumn colId="0">
      <filters>
        <filter val="N"/>
      </filters>
    </filterColumn>
  </autoFilter>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tabColor rgb="FF00B0F0"/>
  </sheetPr>
  <dimension ref="A1:K51"/>
  <sheetViews>
    <sheetView workbookViewId="0">
      <selection activeCell="I2" sqref="I2"/>
    </sheetView>
  </sheetViews>
  <sheetFormatPr defaultRowHeight="13.5"/>
  <cols>
    <col min="1" max="2" width="9" style="325"/>
    <col min="3" max="3" width="20" style="325" customWidth="1"/>
    <col min="4" max="4" width="14.625" style="325" customWidth="1"/>
    <col min="5" max="5" width="11.375" style="320" customWidth="1"/>
    <col min="6" max="8" width="9" style="325"/>
    <col min="9" max="9" width="5.25" style="325" customWidth="1"/>
    <col min="10" max="10" width="17.375" style="325" customWidth="1"/>
    <col min="11" max="11" width="30.625" style="325" customWidth="1"/>
    <col min="12" max="12" width="30.625" style="325" bestFit="1" customWidth="1"/>
    <col min="13" max="16384" width="9" style="325"/>
  </cols>
  <sheetData>
    <row r="1" spans="1:11" ht="33" customHeight="1" thickBot="1">
      <c r="A1" s="671" t="s">
        <v>2084</v>
      </c>
      <c r="B1" s="671" t="s">
        <v>2085</v>
      </c>
      <c r="C1" s="671" t="s">
        <v>2090</v>
      </c>
      <c r="D1" s="671" t="s">
        <v>2091</v>
      </c>
      <c r="E1" s="1170" t="s">
        <v>2092</v>
      </c>
      <c r="F1" s="671" t="s">
        <v>1914</v>
      </c>
      <c r="I1" s="1514"/>
      <c r="J1" s="1514"/>
      <c r="K1" s="1514"/>
    </row>
    <row r="2" spans="1:11" ht="14.25">
      <c r="A2" s="672" t="s">
        <v>1937</v>
      </c>
      <c r="B2" s="673" t="s">
        <v>1938</v>
      </c>
      <c r="C2" s="674">
        <v>215</v>
      </c>
      <c r="D2" s="674">
        <v>219</v>
      </c>
      <c r="E2" s="1173">
        <f t="shared" ref="E2:E9" si="0">C2/D2</f>
        <v>0.9817351598173516</v>
      </c>
      <c r="F2" s="333">
        <f>IF(E2&gt;=0.95,2,IF(E2&gt;=0.9,1,0))</f>
        <v>2</v>
      </c>
      <c r="I2" s="1196"/>
      <c r="J2" s="1196" t="s">
        <v>1952</v>
      </c>
      <c r="K2" s="1196" t="s">
        <v>1953</v>
      </c>
    </row>
    <row r="3" spans="1:11" ht="14.25">
      <c r="A3" s="675" t="s">
        <v>1939</v>
      </c>
      <c r="B3" s="1160" t="s">
        <v>1938</v>
      </c>
      <c r="C3" s="677">
        <v>3</v>
      </c>
      <c r="D3" s="677">
        <v>3</v>
      </c>
      <c r="E3" s="1171">
        <f t="shared" si="0"/>
        <v>1</v>
      </c>
      <c r="F3" s="338">
        <f t="shared" ref="F3:F51" si="1">IF(E3&gt;=0.95,2,IF(E3&gt;=0.9,1,0))</f>
        <v>2</v>
      </c>
      <c r="I3" s="1169" t="s">
        <v>1867</v>
      </c>
      <c r="J3" s="1825">
        <v>2</v>
      </c>
      <c r="K3" s="1195">
        <v>0.97988150380370342</v>
      </c>
    </row>
    <row r="4" spans="1:11" ht="14.25">
      <c r="A4" s="675" t="s">
        <v>1940</v>
      </c>
      <c r="B4" s="1160" t="s">
        <v>1938</v>
      </c>
      <c r="C4" s="677">
        <v>6</v>
      </c>
      <c r="D4" s="677">
        <v>6</v>
      </c>
      <c r="E4" s="1171">
        <f t="shared" si="0"/>
        <v>1</v>
      </c>
      <c r="F4" s="338">
        <f t="shared" si="1"/>
        <v>2</v>
      </c>
      <c r="I4" s="1169" t="s">
        <v>1864</v>
      </c>
      <c r="J4" s="1825">
        <v>2</v>
      </c>
      <c r="K4" s="1195">
        <v>0.98698010554788707</v>
      </c>
    </row>
    <row r="5" spans="1:11" ht="14.25">
      <c r="A5" s="675" t="s">
        <v>1941</v>
      </c>
      <c r="B5" s="1160" t="s">
        <v>1938</v>
      </c>
      <c r="C5" s="677">
        <v>232</v>
      </c>
      <c r="D5" s="677">
        <v>235</v>
      </c>
      <c r="E5" s="1171">
        <f t="shared" si="0"/>
        <v>0.98723404255319147</v>
      </c>
      <c r="F5" s="338">
        <f t="shared" si="1"/>
        <v>2</v>
      </c>
      <c r="I5" s="1169" t="s">
        <v>1865</v>
      </c>
      <c r="J5" s="1825">
        <v>2</v>
      </c>
      <c r="K5" s="1195">
        <v>1</v>
      </c>
    </row>
    <row r="6" spans="1:11" ht="15" thickBot="1">
      <c r="A6" s="679" t="s">
        <v>1942</v>
      </c>
      <c r="B6" s="680" t="s">
        <v>1938</v>
      </c>
      <c r="C6" s="681">
        <v>15</v>
      </c>
      <c r="D6" s="681">
        <v>15</v>
      </c>
      <c r="E6" s="1174">
        <f t="shared" si="0"/>
        <v>1</v>
      </c>
      <c r="F6" s="339">
        <f t="shared" si="1"/>
        <v>2</v>
      </c>
      <c r="I6" s="1169" t="s">
        <v>1863</v>
      </c>
      <c r="J6" s="1825">
        <v>2</v>
      </c>
      <c r="K6" s="1195">
        <v>0.98898809523809528</v>
      </c>
    </row>
    <row r="7" spans="1:11" ht="14.25">
      <c r="A7" s="672" t="s">
        <v>1937</v>
      </c>
      <c r="B7" s="673" t="s">
        <v>1943</v>
      </c>
      <c r="C7" s="674">
        <v>2005</v>
      </c>
      <c r="D7" s="674">
        <v>2029</v>
      </c>
      <c r="E7" s="1173">
        <f t="shared" si="0"/>
        <v>0.98817151306062101</v>
      </c>
      <c r="F7" s="333">
        <f t="shared" si="1"/>
        <v>2</v>
      </c>
      <c r="I7" s="1169" t="s">
        <v>1866</v>
      </c>
      <c r="J7" s="1825">
        <v>1.6666666666666667</v>
      </c>
      <c r="K7" s="1195">
        <v>0.96643275924558469</v>
      </c>
    </row>
    <row r="8" spans="1:11" ht="14.25">
      <c r="A8" s="675" t="s">
        <v>1939</v>
      </c>
      <c r="B8" s="676" t="s">
        <v>1943</v>
      </c>
      <c r="C8" s="677">
        <v>14</v>
      </c>
      <c r="D8" s="677">
        <v>14</v>
      </c>
      <c r="E8" s="1171">
        <f t="shared" si="0"/>
        <v>1</v>
      </c>
      <c r="F8" s="338">
        <f t="shared" si="1"/>
        <v>2</v>
      </c>
    </row>
    <row r="9" spans="1:11" ht="14.25">
      <c r="A9" s="675" t="s">
        <v>1940</v>
      </c>
      <c r="B9" s="676" t="s">
        <v>1943</v>
      </c>
      <c r="C9" s="677">
        <v>168</v>
      </c>
      <c r="D9" s="677">
        <v>172</v>
      </c>
      <c r="E9" s="1171">
        <f t="shared" si="0"/>
        <v>0.97674418604651159</v>
      </c>
      <c r="F9" s="338">
        <f t="shared" si="1"/>
        <v>2</v>
      </c>
    </row>
    <row r="10" spans="1:11" ht="14.25">
      <c r="A10" s="675" t="s">
        <v>1941</v>
      </c>
      <c r="B10" s="676" t="s">
        <v>1943</v>
      </c>
      <c r="C10" s="690"/>
      <c r="D10" s="690"/>
      <c r="E10" s="1176"/>
      <c r="F10" s="1186"/>
    </row>
    <row r="11" spans="1:11" ht="15" thickBot="1">
      <c r="A11" s="679" t="s">
        <v>1942</v>
      </c>
      <c r="B11" s="680" t="s">
        <v>1943</v>
      </c>
      <c r="C11" s="681">
        <v>39</v>
      </c>
      <c r="D11" s="681">
        <v>39</v>
      </c>
      <c r="E11" s="1174">
        <f>C11/D11</f>
        <v>1</v>
      </c>
      <c r="F11" s="339">
        <f t="shared" si="1"/>
        <v>2</v>
      </c>
      <c r="I11" s="325" t="s">
        <v>1961</v>
      </c>
    </row>
    <row r="12" spans="1:11" ht="14.25">
      <c r="A12" s="672" t="s">
        <v>1864</v>
      </c>
      <c r="B12" s="673" t="s">
        <v>1944</v>
      </c>
      <c r="C12" s="674">
        <v>2743</v>
      </c>
      <c r="D12" s="674">
        <v>2763</v>
      </c>
      <c r="E12" s="1173">
        <f t="shared" ref="E12:E51" si="2">C12/D12</f>
        <v>0.99276149113282663</v>
      </c>
      <c r="F12" s="333">
        <f t="shared" si="1"/>
        <v>2</v>
      </c>
      <c r="I12" s="325" t="s">
        <v>1962</v>
      </c>
    </row>
    <row r="13" spans="1:11" ht="14.25">
      <c r="A13" s="675" t="s">
        <v>1865</v>
      </c>
      <c r="B13" s="676" t="s">
        <v>1944</v>
      </c>
      <c r="C13" s="690"/>
      <c r="D13" s="690"/>
      <c r="E13" s="1176"/>
      <c r="F13" s="1186"/>
      <c r="I13" s="325" t="s">
        <v>1963</v>
      </c>
    </row>
    <row r="14" spans="1:11" ht="14.25">
      <c r="A14" s="675" t="s">
        <v>1866</v>
      </c>
      <c r="B14" s="676" t="s">
        <v>1944</v>
      </c>
      <c r="C14" s="690"/>
      <c r="D14" s="690"/>
      <c r="E14" s="1176"/>
      <c r="F14" s="1186"/>
    </row>
    <row r="15" spans="1:11" ht="14.25">
      <c r="A15" s="675" t="s">
        <v>1867</v>
      </c>
      <c r="B15" s="676" t="s">
        <v>1944</v>
      </c>
      <c r="C15" s="677">
        <v>786</v>
      </c>
      <c r="D15" s="677">
        <v>795</v>
      </c>
      <c r="E15" s="1171">
        <f t="shared" si="2"/>
        <v>0.98867924528301887</v>
      </c>
      <c r="F15" s="338">
        <f t="shared" si="1"/>
        <v>2</v>
      </c>
    </row>
    <row r="16" spans="1:11" ht="15" thickBot="1">
      <c r="A16" s="679" t="s">
        <v>1863</v>
      </c>
      <c r="B16" s="680" t="s">
        <v>1944</v>
      </c>
      <c r="C16" s="681">
        <v>80</v>
      </c>
      <c r="D16" s="681">
        <v>84</v>
      </c>
      <c r="E16" s="1174">
        <f t="shared" si="2"/>
        <v>0.95238095238095233</v>
      </c>
      <c r="F16" s="339">
        <f t="shared" si="1"/>
        <v>2</v>
      </c>
    </row>
    <row r="17" spans="1:10" ht="14.25">
      <c r="A17" s="672" t="s">
        <v>1937</v>
      </c>
      <c r="B17" s="673" t="s">
        <v>1945</v>
      </c>
      <c r="C17" s="674">
        <v>310</v>
      </c>
      <c r="D17" s="674">
        <v>313</v>
      </c>
      <c r="E17" s="1173">
        <f t="shared" si="2"/>
        <v>0.99041533546325877</v>
      </c>
      <c r="F17" s="333">
        <f t="shared" si="1"/>
        <v>2</v>
      </c>
    </row>
    <row r="18" spans="1:10" ht="14.25">
      <c r="A18" s="675" t="s">
        <v>1939</v>
      </c>
      <c r="B18" s="676" t="s">
        <v>1945</v>
      </c>
      <c r="C18" s="690"/>
      <c r="D18" s="690"/>
      <c r="E18" s="1176"/>
      <c r="F18" s="1186"/>
    </row>
    <row r="19" spans="1:10" ht="14.25">
      <c r="A19" s="675" t="s">
        <v>1940</v>
      </c>
      <c r="B19" s="676" t="s">
        <v>1945</v>
      </c>
      <c r="C19" s="677">
        <v>385</v>
      </c>
      <c r="D19" s="677">
        <v>402</v>
      </c>
      <c r="E19" s="1171">
        <f t="shared" si="2"/>
        <v>0.95771144278606968</v>
      </c>
      <c r="F19" s="338">
        <f t="shared" si="1"/>
        <v>2</v>
      </c>
      <c r="J19" s="641" t="s">
        <v>1995</v>
      </c>
    </row>
    <row r="20" spans="1:10" ht="14.25">
      <c r="A20" s="675" t="s">
        <v>1941</v>
      </c>
      <c r="B20" s="676" t="s">
        <v>1945</v>
      </c>
      <c r="C20" s="690"/>
      <c r="D20" s="690"/>
      <c r="E20" s="1176"/>
      <c r="F20" s="1186"/>
      <c r="J20" s="641" t="s">
        <v>1996</v>
      </c>
    </row>
    <row r="21" spans="1:10" ht="15" thickBot="1">
      <c r="A21" s="679" t="s">
        <v>1942</v>
      </c>
      <c r="B21" s="680" t="s">
        <v>1945</v>
      </c>
      <c r="C21" s="681">
        <v>7</v>
      </c>
      <c r="D21" s="681">
        <v>7</v>
      </c>
      <c r="E21" s="1174">
        <f t="shared" si="2"/>
        <v>1</v>
      </c>
      <c r="F21" s="339">
        <f t="shared" si="1"/>
        <v>2</v>
      </c>
      <c r="J21" s="641" t="s">
        <v>1997</v>
      </c>
    </row>
    <row r="22" spans="1:10" ht="14.25">
      <c r="A22" s="672" t="s">
        <v>1937</v>
      </c>
      <c r="B22" s="673" t="s">
        <v>1946</v>
      </c>
      <c r="C22" s="674">
        <v>3074</v>
      </c>
      <c r="D22" s="674">
        <v>3106</v>
      </c>
      <c r="E22" s="1173">
        <f t="shared" si="2"/>
        <v>0.98969735994848684</v>
      </c>
      <c r="F22" s="333">
        <f t="shared" si="1"/>
        <v>2</v>
      </c>
    </row>
    <row r="23" spans="1:10" ht="14.25">
      <c r="A23" s="675" t="s">
        <v>1939</v>
      </c>
      <c r="B23" s="1160" t="s">
        <v>1946</v>
      </c>
      <c r="C23" s="677">
        <v>2</v>
      </c>
      <c r="D23" s="677">
        <v>2</v>
      </c>
      <c r="E23" s="1175">
        <f t="shared" si="2"/>
        <v>1</v>
      </c>
      <c r="F23" s="340">
        <f t="shared" si="1"/>
        <v>2</v>
      </c>
    </row>
    <row r="24" spans="1:10" ht="14.25">
      <c r="A24" s="675" t="s">
        <v>1940</v>
      </c>
      <c r="B24" s="1160" t="s">
        <v>1946</v>
      </c>
      <c r="C24" s="690"/>
      <c r="D24" s="690"/>
      <c r="E24" s="1176"/>
      <c r="F24" s="1177"/>
    </row>
    <row r="25" spans="1:10" ht="14.25">
      <c r="A25" s="675" t="s">
        <v>1941</v>
      </c>
      <c r="B25" s="1160" t="s">
        <v>1946</v>
      </c>
      <c r="C25" s="677">
        <v>668</v>
      </c>
      <c r="D25" s="677">
        <v>685</v>
      </c>
      <c r="E25" s="1171">
        <f t="shared" si="2"/>
        <v>0.97518248175182487</v>
      </c>
      <c r="F25" s="338">
        <f t="shared" si="1"/>
        <v>2</v>
      </c>
    </row>
    <row r="26" spans="1:10" ht="15" thickBot="1">
      <c r="A26" s="679" t="s">
        <v>1942</v>
      </c>
      <c r="B26" s="680" t="s">
        <v>1946</v>
      </c>
      <c r="C26" s="681">
        <v>62</v>
      </c>
      <c r="D26" s="681">
        <v>64</v>
      </c>
      <c r="E26" s="1174">
        <f t="shared" si="2"/>
        <v>0.96875</v>
      </c>
      <c r="F26" s="339">
        <f t="shared" si="1"/>
        <v>2</v>
      </c>
    </row>
    <row r="27" spans="1:10" ht="14.25">
      <c r="A27" s="672" t="s">
        <v>1937</v>
      </c>
      <c r="B27" s="673" t="s">
        <v>1947</v>
      </c>
      <c r="C27" s="674">
        <v>2179</v>
      </c>
      <c r="D27" s="674">
        <v>2203</v>
      </c>
      <c r="E27" s="1173">
        <f t="shared" si="2"/>
        <v>0.9891057648660917</v>
      </c>
      <c r="F27" s="333">
        <f t="shared" si="1"/>
        <v>2</v>
      </c>
    </row>
    <row r="28" spans="1:10" ht="14.25">
      <c r="A28" s="675" t="s">
        <v>1939</v>
      </c>
      <c r="B28" s="676" t="s">
        <v>1947</v>
      </c>
      <c r="C28" s="677">
        <v>8</v>
      </c>
      <c r="D28" s="677">
        <v>8</v>
      </c>
      <c r="E28" s="1171">
        <f t="shared" si="2"/>
        <v>1</v>
      </c>
      <c r="F28" s="338">
        <f t="shared" si="1"/>
        <v>2</v>
      </c>
    </row>
    <row r="29" spans="1:10" ht="14.25">
      <c r="A29" s="675" t="s">
        <v>1940</v>
      </c>
      <c r="B29" s="676" t="s">
        <v>1947</v>
      </c>
      <c r="C29" s="677">
        <v>135</v>
      </c>
      <c r="D29" s="677">
        <v>144</v>
      </c>
      <c r="E29" s="1171">
        <f t="shared" si="2"/>
        <v>0.9375</v>
      </c>
      <c r="F29" s="338">
        <f t="shared" si="1"/>
        <v>1</v>
      </c>
    </row>
    <row r="30" spans="1:10" ht="14.25">
      <c r="A30" s="675" t="s">
        <v>1941</v>
      </c>
      <c r="B30" s="676" t="s">
        <v>1947</v>
      </c>
      <c r="C30" s="677">
        <v>1138</v>
      </c>
      <c r="D30" s="677">
        <v>1151</v>
      </c>
      <c r="E30" s="1171">
        <f t="shared" si="2"/>
        <v>0.98870547350130322</v>
      </c>
      <c r="F30" s="338">
        <f t="shared" si="1"/>
        <v>2</v>
      </c>
    </row>
    <row r="31" spans="1:10" ht="15" thickBot="1">
      <c r="A31" s="679" t="s">
        <v>1942</v>
      </c>
      <c r="B31" s="680" t="s">
        <v>1947</v>
      </c>
      <c r="C31" s="681">
        <v>62</v>
      </c>
      <c r="D31" s="681">
        <v>64</v>
      </c>
      <c r="E31" s="1174">
        <f t="shared" si="2"/>
        <v>0.96875</v>
      </c>
      <c r="F31" s="339">
        <f t="shared" si="1"/>
        <v>2</v>
      </c>
    </row>
    <row r="32" spans="1:10" ht="14.25">
      <c r="A32" s="672" t="s">
        <v>1864</v>
      </c>
      <c r="B32" s="673" t="s">
        <v>1948</v>
      </c>
      <c r="C32" s="674">
        <v>765</v>
      </c>
      <c r="D32" s="674">
        <v>773</v>
      </c>
      <c r="E32" s="1173">
        <f t="shared" si="2"/>
        <v>0.98965071151358341</v>
      </c>
      <c r="F32" s="333">
        <f t="shared" si="1"/>
        <v>2</v>
      </c>
    </row>
    <row r="33" spans="1:6" ht="14.25">
      <c r="A33" s="675" t="s">
        <v>1865</v>
      </c>
      <c r="B33" s="676" t="s">
        <v>1948</v>
      </c>
      <c r="C33" s="690"/>
      <c r="D33" s="690"/>
      <c r="E33" s="1176"/>
      <c r="F33" s="1186"/>
    </row>
    <row r="34" spans="1:6" ht="14.25">
      <c r="A34" s="675" t="s">
        <v>1866</v>
      </c>
      <c r="B34" s="676" t="s">
        <v>1948</v>
      </c>
      <c r="C34" s="690"/>
      <c r="D34" s="690"/>
      <c r="E34" s="1176"/>
      <c r="F34" s="1186"/>
    </row>
    <row r="35" spans="1:6" ht="14.25">
      <c r="A35" s="675" t="s">
        <v>1867</v>
      </c>
      <c r="B35" s="676" t="s">
        <v>1948</v>
      </c>
      <c r="C35" s="677">
        <v>2</v>
      </c>
      <c r="D35" s="677">
        <v>2</v>
      </c>
      <c r="E35" s="1171"/>
      <c r="F35" s="338"/>
    </row>
    <row r="36" spans="1:6" ht="15" thickBot="1">
      <c r="A36" s="679" t="s">
        <v>1863</v>
      </c>
      <c r="B36" s="680" t="s">
        <v>1948</v>
      </c>
      <c r="C36" s="681">
        <v>16</v>
      </c>
      <c r="D36" s="681">
        <v>16</v>
      </c>
      <c r="E36" s="1174">
        <f t="shared" si="2"/>
        <v>1</v>
      </c>
      <c r="F36" s="339">
        <f t="shared" si="1"/>
        <v>2</v>
      </c>
    </row>
    <row r="37" spans="1:6" ht="14.25">
      <c r="A37" s="672" t="s">
        <v>1937</v>
      </c>
      <c r="B37" s="673" t="s">
        <v>1949</v>
      </c>
      <c r="C37" s="674">
        <v>1493</v>
      </c>
      <c r="D37" s="674">
        <v>1523</v>
      </c>
      <c r="E37" s="1173">
        <f t="shared" si="2"/>
        <v>0.98030203545633621</v>
      </c>
      <c r="F37" s="333">
        <f t="shared" si="1"/>
        <v>2</v>
      </c>
    </row>
    <row r="38" spans="1:6" ht="14.25">
      <c r="A38" s="675" t="s">
        <v>1939</v>
      </c>
      <c r="B38" s="1160" t="s">
        <v>1949</v>
      </c>
      <c r="C38" s="690"/>
      <c r="D38" s="690"/>
      <c r="E38" s="1176"/>
      <c r="F38" s="691"/>
    </row>
    <row r="39" spans="1:6" ht="14.25">
      <c r="A39" s="675" t="s">
        <v>1940</v>
      </c>
      <c r="B39" s="1160" t="s">
        <v>1949</v>
      </c>
      <c r="C39" s="677">
        <v>240</v>
      </c>
      <c r="D39" s="677">
        <v>259</v>
      </c>
      <c r="E39" s="1171">
        <f t="shared" si="2"/>
        <v>0.92664092664092668</v>
      </c>
      <c r="F39" s="338">
        <f t="shared" si="1"/>
        <v>1</v>
      </c>
    </row>
    <row r="40" spans="1:6" ht="14.25">
      <c r="A40" s="675" t="s">
        <v>1941</v>
      </c>
      <c r="B40" s="1160" t="s">
        <v>1949</v>
      </c>
      <c r="C40" s="677">
        <v>501</v>
      </c>
      <c r="D40" s="677">
        <v>512</v>
      </c>
      <c r="E40" s="1171">
        <f t="shared" si="2"/>
        <v>0.978515625</v>
      </c>
      <c r="F40" s="338">
        <f t="shared" si="1"/>
        <v>2</v>
      </c>
    </row>
    <row r="41" spans="1:6" ht="15" thickBot="1">
      <c r="A41" s="679" t="s">
        <v>1942</v>
      </c>
      <c r="B41" s="680" t="s">
        <v>1949</v>
      </c>
      <c r="C41" s="681">
        <v>32</v>
      </c>
      <c r="D41" s="681">
        <v>32</v>
      </c>
      <c r="E41" s="1174">
        <f t="shared" si="2"/>
        <v>1</v>
      </c>
      <c r="F41" s="339">
        <f t="shared" si="1"/>
        <v>2</v>
      </c>
    </row>
    <row r="42" spans="1:6" ht="14.25">
      <c r="A42" s="672" t="s">
        <v>1937</v>
      </c>
      <c r="B42" s="673" t="s">
        <v>1950</v>
      </c>
      <c r="C42" s="674">
        <v>718</v>
      </c>
      <c r="D42" s="674">
        <v>729</v>
      </c>
      <c r="E42" s="1173">
        <f t="shared" si="2"/>
        <v>0.98491083676268865</v>
      </c>
      <c r="F42" s="333">
        <f t="shared" si="1"/>
        <v>2</v>
      </c>
    </row>
    <row r="43" spans="1:6" ht="14.25">
      <c r="A43" s="675" t="s">
        <v>1939</v>
      </c>
      <c r="B43" s="676" t="s">
        <v>1950</v>
      </c>
      <c r="C43" s="690"/>
      <c r="D43" s="690"/>
      <c r="E43" s="1176"/>
      <c r="F43" s="1177"/>
    </row>
    <row r="44" spans="1:6" ht="11.25" customHeight="1">
      <c r="A44" s="675" t="s">
        <v>1940</v>
      </c>
      <c r="B44" s="676" t="s">
        <v>1950</v>
      </c>
      <c r="C44" s="690"/>
      <c r="D44" s="690"/>
      <c r="E44" s="1176"/>
      <c r="F44" s="1177"/>
    </row>
    <row r="45" spans="1:6" ht="14.25">
      <c r="A45" s="675" t="s">
        <v>1941</v>
      </c>
      <c r="B45" s="676" t="s">
        <v>1950</v>
      </c>
      <c r="C45" s="677">
        <v>209</v>
      </c>
      <c r="D45" s="677">
        <v>220</v>
      </c>
      <c r="E45" s="1171">
        <f t="shared" si="2"/>
        <v>0.95</v>
      </c>
      <c r="F45" s="338">
        <f t="shared" si="1"/>
        <v>2</v>
      </c>
    </row>
    <row r="46" spans="1:6" ht="15" thickBot="1">
      <c r="A46" s="679" t="s">
        <v>1942</v>
      </c>
      <c r="B46" s="680" t="s">
        <v>1950</v>
      </c>
      <c r="C46" s="681">
        <v>15</v>
      </c>
      <c r="D46" s="681">
        <v>15</v>
      </c>
      <c r="E46" s="1174">
        <f t="shared" si="2"/>
        <v>1</v>
      </c>
      <c r="F46" s="339">
        <f t="shared" si="1"/>
        <v>2</v>
      </c>
    </row>
    <row r="47" spans="1:6" ht="14.25">
      <c r="A47" s="672" t="s">
        <v>1864</v>
      </c>
      <c r="B47" s="673" t="s">
        <v>1951</v>
      </c>
      <c r="C47" s="674">
        <v>928</v>
      </c>
      <c r="D47" s="674">
        <v>944</v>
      </c>
      <c r="E47" s="1173">
        <f t="shared" si="2"/>
        <v>0.98305084745762716</v>
      </c>
      <c r="F47" s="333">
        <f t="shared" si="1"/>
        <v>2</v>
      </c>
    </row>
    <row r="48" spans="1:6" ht="14.25">
      <c r="A48" s="675" t="s">
        <v>1865</v>
      </c>
      <c r="B48" s="1160" t="s">
        <v>1951</v>
      </c>
      <c r="C48" s="677">
        <v>1</v>
      </c>
      <c r="D48" s="677">
        <v>1</v>
      </c>
      <c r="E48" s="1171">
        <f t="shared" si="2"/>
        <v>1</v>
      </c>
      <c r="F48" s="338">
        <f t="shared" si="1"/>
        <v>2</v>
      </c>
    </row>
    <row r="49" spans="1:6" ht="14.25">
      <c r="A49" s="675" t="s">
        <v>1866</v>
      </c>
      <c r="B49" s="1160" t="s">
        <v>1951</v>
      </c>
      <c r="C49" s="677">
        <v>5</v>
      </c>
      <c r="D49" s="677">
        <v>5</v>
      </c>
      <c r="E49" s="1171">
        <f t="shared" si="2"/>
        <v>1</v>
      </c>
      <c r="F49" s="338">
        <f t="shared" si="1"/>
        <v>2</v>
      </c>
    </row>
    <row r="50" spans="1:6" ht="14.25">
      <c r="A50" s="675" t="s">
        <v>1867</v>
      </c>
      <c r="B50" s="1160" t="s">
        <v>1951</v>
      </c>
      <c r="C50" s="677">
        <v>325</v>
      </c>
      <c r="D50" s="677">
        <v>328</v>
      </c>
      <c r="E50" s="1171">
        <f t="shared" si="2"/>
        <v>0.99085365853658536</v>
      </c>
      <c r="F50" s="338">
        <f t="shared" si="1"/>
        <v>2</v>
      </c>
    </row>
    <row r="51" spans="1:6" ht="15" thickBot="1">
      <c r="A51" s="679" t="s">
        <v>1863</v>
      </c>
      <c r="B51" s="680" t="s">
        <v>1951</v>
      </c>
      <c r="C51" s="681">
        <v>19</v>
      </c>
      <c r="D51" s="681">
        <v>19</v>
      </c>
      <c r="E51" s="1174">
        <f t="shared" si="2"/>
        <v>1</v>
      </c>
      <c r="F51" s="339">
        <f t="shared" si="1"/>
        <v>2</v>
      </c>
    </row>
  </sheetData>
  <mergeCells count="1">
    <mergeCell ref="I1:K1"/>
  </mergeCells>
  <phoneticPr fontId="3" type="noConversion"/>
  <conditionalFormatting sqref="F2:F9 F11:F12 F15:F17 F19 F25:F32 F45:F51 F21:F23 F36:F37 F39:F42">
    <cfRule type="cellIs" dxfId="419" priority="1" operator="lessThan">
      <formula>2</formula>
    </cfRule>
  </conditionalFormatting>
  <hyperlinks>
    <hyperlink ref="J19" location="'总公司绩效-II'!A1" display="总公司绩效-II"/>
    <hyperlink ref="J20" location="目录!A1" display="目录"/>
    <hyperlink ref="J21" location="'OR04-分公司销售、承保、保全'!A1" display="OR04"/>
  </hyperlink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00B0F0"/>
  </sheetPr>
  <dimension ref="A1:P121"/>
  <sheetViews>
    <sheetView topLeftCell="A4" workbookViewId="0">
      <selection activeCell="L36" sqref="L36"/>
    </sheetView>
  </sheetViews>
  <sheetFormatPr defaultRowHeight="13.5"/>
  <cols>
    <col min="1" max="1" width="10" style="711" bestFit="1" customWidth="1"/>
    <col min="2" max="2" width="9.875" style="711" customWidth="1"/>
    <col min="3" max="3" width="9" style="712"/>
    <col min="4" max="5" width="13.875" style="712" bestFit="1" customWidth="1"/>
    <col min="6" max="6" width="9.125" style="1194" bestFit="1" customWidth="1"/>
    <col min="7" max="7" width="9.125" style="325" bestFit="1" customWidth="1"/>
    <col min="8" max="8" width="9.75" style="325" customWidth="1"/>
    <col min="9" max="9" width="22" style="325" customWidth="1"/>
    <col min="10" max="10" width="15.375" style="325" customWidth="1"/>
    <col min="11" max="11" width="15.375" style="325" bestFit="1" customWidth="1"/>
    <col min="12" max="16384" width="9" style="325"/>
  </cols>
  <sheetData>
    <row r="1" spans="1:10">
      <c r="A1" s="684" t="s">
        <v>2052</v>
      </c>
      <c r="B1" s="684" t="s">
        <v>2071</v>
      </c>
      <c r="C1" s="684" t="s">
        <v>2053</v>
      </c>
      <c r="D1" s="684" t="s">
        <v>2054</v>
      </c>
      <c r="E1" s="684" t="s">
        <v>2055</v>
      </c>
      <c r="F1" s="1197" t="s">
        <v>2056</v>
      </c>
      <c r="G1" s="706" t="s">
        <v>2057</v>
      </c>
    </row>
    <row r="2" spans="1:10" ht="14.25">
      <c r="A2" s="707">
        <v>4</v>
      </c>
      <c r="B2" s="707" t="s">
        <v>2066</v>
      </c>
      <c r="C2" s="708" t="s">
        <v>2067</v>
      </c>
      <c r="D2" s="708">
        <v>4717310</v>
      </c>
      <c r="E2" s="708">
        <v>4776547</v>
      </c>
      <c r="F2" s="1198">
        <f>D2/E2</f>
        <v>0.98759836342026996</v>
      </c>
      <c r="G2" s="708">
        <f>IF(F2&gt;0.9,3,IF(F2&gt;0.8,1.5,0))</f>
        <v>3</v>
      </c>
    </row>
    <row r="3" spans="1:10" ht="14.25">
      <c r="A3" s="707">
        <v>4</v>
      </c>
      <c r="B3" s="707" t="s">
        <v>2066</v>
      </c>
      <c r="C3" s="708" t="s">
        <v>2068</v>
      </c>
      <c r="D3" s="708">
        <v>2315059</v>
      </c>
      <c r="E3" s="708">
        <v>2351617</v>
      </c>
      <c r="F3" s="1198">
        <f t="shared" ref="F3:F66" si="0">D3/E3</f>
        <v>0.98445410115677856</v>
      </c>
      <c r="G3" s="708">
        <f t="shared" ref="G3:G66" si="1">IF(F3&gt;0.9,3,IF(F3&gt;0.8,1.5,0))</f>
        <v>3</v>
      </c>
    </row>
    <row r="4" spans="1:10" ht="14.25">
      <c r="A4" s="707">
        <v>4</v>
      </c>
      <c r="B4" s="707" t="s">
        <v>2066</v>
      </c>
      <c r="C4" s="708" t="s">
        <v>2069</v>
      </c>
      <c r="D4" s="708">
        <v>1632648</v>
      </c>
      <c r="E4" s="708">
        <v>1632648</v>
      </c>
      <c r="F4" s="1198">
        <f t="shared" si="0"/>
        <v>1</v>
      </c>
      <c r="G4" s="708">
        <f t="shared" si="1"/>
        <v>3</v>
      </c>
    </row>
    <row r="5" spans="1:10" ht="14.25">
      <c r="A5" s="707">
        <v>4</v>
      </c>
      <c r="B5" s="707" t="s">
        <v>2066</v>
      </c>
      <c r="C5" s="708" t="s">
        <v>2070</v>
      </c>
      <c r="D5" s="708">
        <v>45755</v>
      </c>
      <c r="E5" s="708">
        <v>47679</v>
      </c>
      <c r="F5" s="1198">
        <f t="shared" si="0"/>
        <v>0.95964680467291674</v>
      </c>
      <c r="G5" s="708">
        <f t="shared" si="1"/>
        <v>3</v>
      </c>
      <c r="H5" s="1193"/>
      <c r="I5" s="1200" t="s">
        <v>1958</v>
      </c>
      <c r="J5" s="1193"/>
    </row>
    <row r="6" spans="1:10" ht="14.25">
      <c r="A6" s="707">
        <v>4</v>
      </c>
      <c r="B6" s="707" t="s">
        <v>2072</v>
      </c>
      <c r="C6" s="708" t="s">
        <v>2067</v>
      </c>
      <c r="D6" s="708">
        <v>19123770</v>
      </c>
      <c r="E6" s="708">
        <v>20096616</v>
      </c>
      <c r="F6" s="1198">
        <f t="shared" si="0"/>
        <v>0.95159155153285513</v>
      </c>
      <c r="G6" s="708">
        <f t="shared" si="1"/>
        <v>3</v>
      </c>
      <c r="H6" s="1200" t="s">
        <v>1955</v>
      </c>
      <c r="I6" s="1193" t="s">
        <v>1959</v>
      </c>
      <c r="J6" s="1193" t="s">
        <v>1952</v>
      </c>
    </row>
    <row r="7" spans="1:10" ht="14.25">
      <c r="A7" s="707">
        <v>4</v>
      </c>
      <c r="B7" s="707" t="s">
        <v>2072</v>
      </c>
      <c r="C7" s="708" t="s">
        <v>2068</v>
      </c>
      <c r="D7" s="708">
        <v>234184</v>
      </c>
      <c r="E7" s="708">
        <v>236684</v>
      </c>
      <c r="F7" s="1198">
        <f t="shared" si="0"/>
        <v>0.98943739331767255</v>
      </c>
      <c r="G7" s="708">
        <f t="shared" si="1"/>
        <v>3</v>
      </c>
      <c r="H7" s="1201" t="s">
        <v>1867</v>
      </c>
      <c r="I7" s="1199">
        <v>0.92988994842480055</v>
      </c>
      <c r="J7" s="1166">
        <v>2.75</v>
      </c>
    </row>
    <row r="8" spans="1:10" ht="14.25">
      <c r="A8" s="707">
        <v>4</v>
      </c>
      <c r="B8" s="707" t="s">
        <v>2072</v>
      </c>
      <c r="C8" s="708" t="s">
        <v>2069</v>
      </c>
      <c r="D8" s="708">
        <v>2228203</v>
      </c>
      <c r="E8" s="708">
        <v>2363261</v>
      </c>
      <c r="F8" s="1198">
        <f t="shared" si="0"/>
        <v>0.94285100122246335</v>
      </c>
      <c r="G8" s="708">
        <f t="shared" si="1"/>
        <v>3</v>
      </c>
      <c r="H8" s="1201" t="s">
        <v>1864</v>
      </c>
      <c r="I8" s="1199">
        <v>0.9384622215997237</v>
      </c>
      <c r="J8" s="1166">
        <v>2.95</v>
      </c>
    </row>
    <row r="9" spans="1:10" ht="14.25">
      <c r="A9" s="707">
        <v>4</v>
      </c>
      <c r="B9" s="707" t="s">
        <v>2072</v>
      </c>
      <c r="C9" s="708" t="s">
        <v>2070</v>
      </c>
      <c r="D9" s="708">
        <v>139777</v>
      </c>
      <c r="E9" s="708">
        <v>139822</v>
      </c>
      <c r="F9" s="1198">
        <f t="shared" si="0"/>
        <v>0.99967816223484141</v>
      </c>
      <c r="G9" s="708">
        <f t="shared" si="1"/>
        <v>3</v>
      </c>
      <c r="H9" s="1201" t="s">
        <v>1957</v>
      </c>
      <c r="I9" s="1199">
        <v>0.95835006689786206</v>
      </c>
      <c r="J9" s="1166">
        <v>2.75</v>
      </c>
    </row>
    <row r="10" spans="1:10" ht="14.25">
      <c r="A10" s="707">
        <v>4</v>
      </c>
      <c r="B10" s="707" t="s">
        <v>2073</v>
      </c>
      <c r="C10" s="708" t="s">
        <v>2067</v>
      </c>
      <c r="D10" s="708">
        <v>4235577</v>
      </c>
      <c r="E10" s="708">
        <v>4419925</v>
      </c>
      <c r="F10" s="1198">
        <f t="shared" si="0"/>
        <v>0.95829159997058777</v>
      </c>
      <c r="G10" s="708">
        <f t="shared" si="1"/>
        <v>3</v>
      </c>
      <c r="H10" s="1201" t="s">
        <v>1866</v>
      </c>
      <c r="I10" s="1199">
        <v>0.96993939484737368</v>
      </c>
      <c r="J10" s="1166">
        <v>2.9</v>
      </c>
    </row>
    <row r="11" spans="1:10" ht="14.25">
      <c r="A11" s="707">
        <v>4</v>
      </c>
      <c r="B11" s="707" t="s">
        <v>2073</v>
      </c>
      <c r="C11" s="708" t="s">
        <v>2068</v>
      </c>
      <c r="D11" s="708">
        <v>0</v>
      </c>
      <c r="E11" s="708">
        <v>0</v>
      </c>
      <c r="F11" s="1198"/>
      <c r="G11" s="708"/>
    </row>
    <row r="12" spans="1:10" ht="14.25">
      <c r="A12" s="707">
        <v>4</v>
      </c>
      <c r="B12" s="707" t="s">
        <v>2073</v>
      </c>
      <c r="C12" s="708" t="s">
        <v>2069</v>
      </c>
      <c r="D12" s="708">
        <v>418495</v>
      </c>
      <c r="E12" s="708">
        <v>444495</v>
      </c>
      <c r="F12" s="1198">
        <f t="shared" si="0"/>
        <v>0.94150665361815089</v>
      </c>
      <c r="G12" s="708">
        <f t="shared" si="1"/>
        <v>3</v>
      </c>
    </row>
    <row r="13" spans="1:10" ht="14.25">
      <c r="A13" s="707">
        <v>4</v>
      </c>
      <c r="B13" s="707" t="s">
        <v>2073</v>
      </c>
      <c r="C13" s="708" t="s">
        <v>2070</v>
      </c>
      <c r="D13" s="708">
        <v>111678</v>
      </c>
      <c r="E13" s="708">
        <v>141898</v>
      </c>
      <c r="F13" s="1198">
        <f t="shared" si="0"/>
        <v>0.78703012022720542</v>
      </c>
      <c r="G13" s="708">
        <f t="shared" si="1"/>
        <v>0</v>
      </c>
    </row>
    <row r="14" spans="1:10" ht="14.25">
      <c r="A14" s="707">
        <v>4</v>
      </c>
      <c r="B14" s="707" t="s">
        <v>2074</v>
      </c>
      <c r="C14" s="708" t="s">
        <v>2067</v>
      </c>
      <c r="D14" s="708">
        <v>18391790</v>
      </c>
      <c r="E14" s="708">
        <v>19561512</v>
      </c>
      <c r="F14" s="1198">
        <f t="shared" si="0"/>
        <v>0.94020288411243469</v>
      </c>
      <c r="G14" s="708">
        <f t="shared" si="1"/>
        <v>3</v>
      </c>
    </row>
    <row r="15" spans="1:10" ht="14.25">
      <c r="A15" s="707">
        <v>4</v>
      </c>
      <c r="B15" s="707" t="s">
        <v>2074</v>
      </c>
      <c r="C15" s="708" t="s">
        <v>2068</v>
      </c>
      <c r="D15" s="708">
        <v>3015827</v>
      </c>
      <c r="E15" s="708">
        <v>3203311</v>
      </c>
      <c r="F15" s="1198">
        <f t="shared" si="0"/>
        <v>0.94147180838825828</v>
      </c>
      <c r="G15" s="708">
        <f t="shared" si="1"/>
        <v>3</v>
      </c>
    </row>
    <row r="16" spans="1:10" ht="14.25">
      <c r="A16" s="707">
        <v>4</v>
      </c>
      <c r="B16" s="707" t="s">
        <v>2074</v>
      </c>
      <c r="C16" s="708" t="s">
        <v>2069</v>
      </c>
      <c r="D16" s="708">
        <v>8094382</v>
      </c>
      <c r="E16" s="708">
        <v>8670969</v>
      </c>
      <c r="F16" s="1198">
        <f t="shared" si="0"/>
        <v>0.93350374104670419</v>
      </c>
      <c r="G16" s="708">
        <f t="shared" si="1"/>
        <v>3</v>
      </c>
      <c r="H16" s="325" t="s">
        <v>1966</v>
      </c>
    </row>
    <row r="17" spans="1:10" ht="14.25">
      <c r="A17" s="707">
        <v>4</v>
      </c>
      <c r="B17" s="707" t="s">
        <v>2074</v>
      </c>
      <c r="C17" s="708" t="s">
        <v>2070</v>
      </c>
      <c r="D17" s="708">
        <v>321384</v>
      </c>
      <c r="E17" s="708">
        <v>323361</v>
      </c>
      <c r="F17" s="1198">
        <f t="shared" si="0"/>
        <v>0.99388609015929563</v>
      </c>
      <c r="G17" s="708">
        <f t="shared" si="1"/>
        <v>3</v>
      </c>
      <c r="H17" s="325" t="s">
        <v>1965</v>
      </c>
    </row>
    <row r="18" spans="1:10" ht="14.25">
      <c r="A18" s="707">
        <v>4</v>
      </c>
      <c r="B18" s="707" t="s">
        <v>2075</v>
      </c>
      <c r="C18" s="708" t="s">
        <v>2067</v>
      </c>
      <c r="D18" s="708">
        <v>24054268</v>
      </c>
      <c r="E18" s="708">
        <v>25391464</v>
      </c>
      <c r="F18" s="1198">
        <f t="shared" si="0"/>
        <v>0.94733679003305993</v>
      </c>
      <c r="G18" s="708">
        <f t="shared" si="1"/>
        <v>3</v>
      </c>
      <c r="H18" s="325" t="s">
        <v>1963</v>
      </c>
    </row>
    <row r="19" spans="1:10" ht="14.25">
      <c r="A19" s="707">
        <v>4</v>
      </c>
      <c r="B19" s="707" t="s">
        <v>2075</v>
      </c>
      <c r="C19" s="708" t="s">
        <v>2068</v>
      </c>
      <c r="D19" s="708">
        <v>4075151</v>
      </c>
      <c r="E19" s="708">
        <v>4296063</v>
      </c>
      <c r="F19" s="1198">
        <f t="shared" si="0"/>
        <v>0.94857803528486428</v>
      </c>
      <c r="G19" s="708">
        <f t="shared" si="1"/>
        <v>3</v>
      </c>
    </row>
    <row r="20" spans="1:10" ht="14.25">
      <c r="A20" s="707">
        <v>4</v>
      </c>
      <c r="B20" s="707" t="s">
        <v>2075</v>
      </c>
      <c r="C20" s="708" t="s">
        <v>2069</v>
      </c>
      <c r="D20" s="708">
        <v>992809</v>
      </c>
      <c r="E20" s="708">
        <v>992809</v>
      </c>
      <c r="F20" s="1198">
        <f t="shared" si="0"/>
        <v>1</v>
      </c>
      <c r="G20" s="708">
        <f t="shared" si="1"/>
        <v>3</v>
      </c>
    </row>
    <row r="21" spans="1:10" ht="14.25">
      <c r="A21" s="707">
        <v>4</v>
      </c>
      <c r="B21" s="707" t="s">
        <v>2075</v>
      </c>
      <c r="C21" s="708" t="s">
        <v>2070</v>
      </c>
      <c r="D21" s="708">
        <v>148221</v>
      </c>
      <c r="E21" s="708">
        <v>148179</v>
      </c>
      <c r="F21" s="1198">
        <f t="shared" si="0"/>
        <v>1.0002834409734174</v>
      </c>
      <c r="G21" s="708">
        <f t="shared" si="1"/>
        <v>3</v>
      </c>
    </row>
    <row r="22" spans="1:10" ht="14.25">
      <c r="A22" s="707">
        <v>4</v>
      </c>
      <c r="B22" s="707" t="s">
        <v>2076</v>
      </c>
      <c r="C22" s="708" t="s">
        <v>2067</v>
      </c>
      <c r="D22" s="708">
        <v>20482450</v>
      </c>
      <c r="E22" s="708">
        <v>21398872</v>
      </c>
      <c r="F22" s="1198">
        <f t="shared" si="0"/>
        <v>0.95717428470061416</v>
      </c>
      <c r="G22" s="708">
        <f t="shared" si="1"/>
        <v>3</v>
      </c>
      <c r="J22" s="701"/>
    </row>
    <row r="23" spans="1:10" ht="14.25">
      <c r="A23" s="707">
        <v>4</v>
      </c>
      <c r="B23" s="707" t="s">
        <v>2076</v>
      </c>
      <c r="C23" s="708" t="s">
        <v>2068</v>
      </c>
      <c r="D23" s="708">
        <v>8349114</v>
      </c>
      <c r="E23" s="708">
        <v>9035305</v>
      </c>
      <c r="F23" s="1198">
        <f t="shared" si="0"/>
        <v>0.92405447298126631</v>
      </c>
      <c r="G23" s="708">
        <f t="shared" si="1"/>
        <v>3</v>
      </c>
      <c r="H23" s="641" t="s">
        <v>1998</v>
      </c>
      <c r="J23" s="701"/>
    </row>
    <row r="24" spans="1:10" ht="14.25">
      <c r="A24" s="707">
        <v>4</v>
      </c>
      <c r="B24" s="707" t="s">
        <v>2076</v>
      </c>
      <c r="C24" s="708" t="s">
        <v>2069</v>
      </c>
      <c r="D24" s="708">
        <v>2074624</v>
      </c>
      <c r="E24" s="708">
        <v>2112530</v>
      </c>
      <c r="F24" s="1198">
        <f t="shared" si="0"/>
        <v>0.98205658617865776</v>
      </c>
      <c r="G24" s="708">
        <f t="shared" si="1"/>
        <v>3</v>
      </c>
      <c r="H24" s="641" t="s">
        <v>1996</v>
      </c>
      <c r="J24" s="701"/>
    </row>
    <row r="25" spans="1:10" ht="14.25">
      <c r="A25" s="707">
        <v>4</v>
      </c>
      <c r="B25" s="707" t="s">
        <v>2076</v>
      </c>
      <c r="C25" s="708" t="s">
        <v>2070</v>
      </c>
      <c r="D25" s="708">
        <v>238374</v>
      </c>
      <c r="E25" s="708">
        <v>240822</v>
      </c>
      <c r="F25" s="1198">
        <f t="shared" si="0"/>
        <v>0.9898348157560356</v>
      </c>
      <c r="G25" s="708">
        <f t="shared" si="1"/>
        <v>3</v>
      </c>
      <c r="H25" s="641" t="s">
        <v>1997</v>
      </c>
      <c r="J25" s="701"/>
    </row>
    <row r="26" spans="1:10" ht="14.25">
      <c r="A26" s="707">
        <v>4</v>
      </c>
      <c r="B26" s="707" t="s">
        <v>2077</v>
      </c>
      <c r="C26" s="708" t="s">
        <v>2067</v>
      </c>
      <c r="D26" s="708">
        <v>4804771</v>
      </c>
      <c r="E26" s="708">
        <v>5153890</v>
      </c>
      <c r="F26" s="1198">
        <f t="shared" si="0"/>
        <v>0.93226106882374282</v>
      </c>
      <c r="G26" s="708">
        <f t="shared" si="1"/>
        <v>3</v>
      </c>
      <c r="J26" s="701"/>
    </row>
    <row r="27" spans="1:10" ht="14.25">
      <c r="A27" s="707">
        <v>4</v>
      </c>
      <c r="B27" s="707" t="s">
        <v>2077</v>
      </c>
      <c r="C27" s="708" t="s">
        <v>2068</v>
      </c>
      <c r="D27" s="708">
        <v>773140</v>
      </c>
      <c r="E27" s="708">
        <v>782809</v>
      </c>
      <c r="F27" s="1198">
        <f t="shared" si="0"/>
        <v>0.98764832800849245</v>
      </c>
      <c r="G27" s="708">
        <f t="shared" si="1"/>
        <v>3</v>
      </c>
      <c r="J27" s="709"/>
    </row>
    <row r="28" spans="1:10" ht="14.25">
      <c r="A28" s="707">
        <v>4</v>
      </c>
      <c r="B28" s="707" t="s">
        <v>2077</v>
      </c>
      <c r="C28" s="708" t="s">
        <v>2069</v>
      </c>
      <c r="D28" s="708">
        <v>851603</v>
      </c>
      <c r="E28" s="708">
        <v>971603</v>
      </c>
      <c r="F28" s="1198">
        <f t="shared" si="0"/>
        <v>0.87649276504909923</v>
      </c>
      <c r="G28" s="708">
        <f t="shared" si="1"/>
        <v>1.5</v>
      </c>
      <c r="J28" s="709"/>
    </row>
    <row r="29" spans="1:10" ht="14.25">
      <c r="A29" s="707">
        <v>4</v>
      </c>
      <c r="B29" s="707" t="s">
        <v>2077</v>
      </c>
      <c r="C29" s="708" t="s">
        <v>2070</v>
      </c>
      <c r="D29" s="708">
        <v>99931</v>
      </c>
      <c r="E29" s="708">
        <v>101819</v>
      </c>
      <c r="F29" s="1198">
        <f t="shared" si="0"/>
        <v>0.98145729186104758</v>
      </c>
      <c r="G29" s="708">
        <f t="shared" si="1"/>
        <v>3</v>
      </c>
      <c r="J29" s="709"/>
    </row>
    <row r="30" spans="1:10" ht="14.25">
      <c r="A30" s="707">
        <v>4</v>
      </c>
      <c r="B30" s="707" t="s">
        <v>2078</v>
      </c>
      <c r="C30" s="708" t="s">
        <v>2067</v>
      </c>
      <c r="D30" s="708">
        <v>12465281</v>
      </c>
      <c r="E30" s="708">
        <v>13100087</v>
      </c>
      <c r="F30" s="1198">
        <f t="shared" si="0"/>
        <v>0.95154184853886847</v>
      </c>
      <c r="G30" s="708">
        <f t="shared" si="1"/>
        <v>3</v>
      </c>
      <c r="J30" s="701"/>
    </row>
    <row r="31" spans="1:10" ht="14.25">
      <c r="A31" s="707">
        <v>4</v>
      </c>
      <c r="B31" s="707" t="s">
        <v>2078</v>
      </c>
      <c r="C31" s="708" t="s">
        <v>2068</v>
      </c>
      <c r="D31" s="708">
        <v>883990</v>
      </c>
      <c r="E31" s="708">
        <v>943644</v>
      </c>
      <c r="F31" s="1198">
        <f t="shared" si="0"/>
        <v>0.93678336321748457</v>
      </c>
      <c r="G31" s="708">
        <f t="shared" si="1"/>
        <v>3</v>
      </c>
      <c r="J31" s="701"/>
    </row>
    <row r="32" spans="1:10" ht="14.25">
      <c r="A32" s="707">
        <v>4</v>
      </c>
      <c r="B32" s="707" t="s">
        <v>2078</v>
      </c>
      <c r="C32" s="708" t="s">
        <v>2069</v>
      </c>
      <c r="D32" s="708">
        <v>6456392</v>
      </c>
      <c r="E32" s="708">
        <v>6702388</v>
      </c>
      <c r="F32" s="1198">
        <f t="shared" si="0"/>
        <v>0.96329726061815579</v>
      </c>
      <c r="G32" s="708">
        <f t="shared" si="1"/>
        <v>3</v>
      </c>
      <c r="J32" s="701"/>
    </row>
    <row r="33" spans="1:16" ht="14.25">
      <c r="A33" s="707">
        <v>4</v>
      </c>
      <c r="B33" s="707" t="s">
        <v>2078</v>
      </c>
      <c r="C33" s="708" t="s">
        <v>2070</v>
      </c>
      <c r="D33" s="708">
        <v>229413</v>
      </c>
      <c r="E33" s="708">
        <v>229968</v>
      </c>
      <c r="F33" s="1198">
        <f t="shared" si="0"/>
        <v>0.99758662074723436</v>
      </c>
      <c r="G33" s="708">
        <f t="shared" si="1"/>
        <v>3</v>
      </c>
      <c r="J33" s="701"/>
    </row>
    <row r="34" spans="1:16" ht="14.25">
      <c r="A34" s="707">
        <v>4</v>
      </c>
      <c r="B34" s="707" t="s">
        <v>2079</v>
      </c>
      <c r="C34" s="708" t="s">
        <v>2067</v>
      </c>
      <c r="D34" s="708">
        <v>3790621</v>
      </c>
      <c r="E34" s="708">
        <v>4074917</v>
      </c>
      <c r="F34" s="1198">
        <f t="shared" si="0"/>
        <v>0.93023268940201731</v>
      </c>
      <c r="G34" s="708">
        <f t="shared" si="1"/>
        <v>3</v>
      </c>
    </row>
    <row r="35" spans="1:16" ht="14.25">
      <c r="A35" s="707">
        <v>4</v>
      </c>
      <c r="B35" s="707" t="s">
        <v>2079</v>
      </c>
      <c r="C35" s="708" t="s">
        <v>2068</v>
      </c>
      <c r="D35" s="708">
        <v>0</v>
      </c>
      <c r="E35" s="708">
        <v>0</v>
      </c>
      <c r="F35" s="1198"/>
      <c r="G35" s="708"/>
    </row>
    <row r="36" spans="1:16" ht="14.25">
      <c r="A36" s="707">
        <v>4</v>
      </c>
      <c r="B36" s="707" t="s">
        <v>2079</v>
      </c>
      <c r="C36" s="708" t="s">
        <v>2069</v>
      </c>
      <c r="D36" s="708">
        <v>3997946</v>
      </c>
      <c r="E36" s="708">
        <v>4134618</v>
      </c>
      <c r="F36" s="1198">
        <f t="shared" si="0"/>
        <v>0.96694446742117413</v>
      </c>
      <c r="G36" s="708">
        <f t="shared" si="1"/>
        <v>3</v>
      </c>
    </row>
    <row r="37" spans="1:16" ht="14.25">
      <c r="A37" s="707">
        <v>4</v>
      </c>
      <c r="B37" s="707" t="s">
        <v>2079</v>
      </c>
      <c r="C37" s="708" t="s">
        <v>2070</v>
      </c>
      <c r="D37" s="708">
        <v>100324</v>
      </c>
      <c r="E37" s="708">
        <v>107862</v>
      </c>
      <c r="F37" s="1198">
        <f t="shared" si="0"/>
        <v>0.93011440544399326</v>
      </c>
      <c r="G37" s="708">
        <f t="shared" si="1"/>
        <v>3</v>
      </c>
      <c r="I37" s="710"/>
      <c r="J37" s="710"/>
      <c r="K37" s="710"/>
      <c r="L37" s="710"/>
      <c r="M37" s="710"/>
      <c r="N37" s="710"/>
      <c r="O37" s="710"/>
      <c r="P37" s="710"/>
    </row>
    <row r="38" spans="1:16" ht="14.25">
      <c r="A38" s="707">
        <v>4</v>
      </c>
      <c r="B38" s="707" t="s">
        <v>2080</v>
      </c>
      <c r="C38" s="708" t="s">
        <v>2067</v>
      </c>
      <c r="D38" s="708">
        <v>2961033</v>
      </c>
      <c r="E38" s="708">
        <v>3185956</v>
      </c>
      <c r="F38" s="1198">
        <f t="shared" si="0"/>
        <v>0.92940172431759882</v>
      </c>
      <c r="G38" s="708">
        <f t="shared" si="1"/>
        <v>3</v>
      </c>
      <c r="I38" s="710"/>
      <c r="J38" s="710"/>
      <c r="K38" s="710"/>
      <c r="L38" s="710"/>
      <c r="M38" s="710"/>
      <c r="N38" s="710"/>
      <c r="O38" s="710"/>
      <c r="P38" s="710"/>
    </row>
    <row r="39" spans="1:16" ht="14.25">
      <c r="A39" s="707">
        <v>4</v>
      </c>
      <c r="B39" s="707" t="s">
        <v>2080</v>
      </c>
      <c r="C39" s="708" t="s">
        <v>2068</v>
      </c>
      <c r="D39" s="708">
        <v>584995</v>
      </c>
      <c r="E39" s="708">
        <v>612082</v>
      </c>
      <c r="F39" s="1198">
        <f t="shared" si="0"/>
        <v>0.95574612551912974</v>
      </c>
      <c r="G39" s="708">
        <f t="shared" si="1"/>
        <v>3</v>
      </c>
      <c r="I39" s="701"/>
      <c r="J39" s="701"/>
      <c r="K39" s="701"/>
      <c r="L39" s="710"/>
      <c r="M39" s="710"/>
      <c r="N39" s="710"/>
      <c r="O39" s="710"/>
      <c r="P39" s="710"/>
    </row>
    <row r="40" spans="1:16" ht="14.25">
      <c r="A40" s="707">
        <v>4</v>
      </c>
      <c r="B40" s="707" t="s">
        <v>2080</v>
      </c>
      <c r="C40" s="708" t="s">
        <v>2069</v>
      </c>
      <c r="D40" s="708">
        <v>254231</v>
      </c>
      <c r="E40" s="708">
        <v>261105</v>
      </c>
      <c r="F40" s="1198">
        <f t="shared" si="0"/>
        <v>0.97367342639934129</v>
      </c>
      <c r="G40" s="708">
        <f t="shared" si="1"/>
        <v>3</v>
      </c>
      <c r="I40" s="701"/>
      <c r="J40" s="701"/>
      <c r="K40" s="701"/>
      <c r="L40" s="710"/>
      <c r="M40" s="710"/>
      <c r="N40" s="710"/>
      <c r="O40" s="710"/>
      <c r="P40" s="710"/>
    </row>
    <row r="41" spans="1:16" ht="14.25">
      <c r="A41" s="707">
        <v>4</v>
      </c>
      <c r="B41" s="707" t="s">
        <v>2080</v>
      </c>
      <c r="C41" s="708" t="s">
        <v>2070</v>
      </c>
      <c r="D41" s="708">
        <v>1044</v>
      </c>
      <c r="E41" s="708">
        <v>1044</v>
      </c>
      <c r="F41" s="1198">
        <f t="shared" si="0"/>
        <v>1</v>
      </c>
      <c r="G41" s="708">
        <f t="shared" si="1"/>
        <v>3</v>
      </c>
      <c r="I41" s="701"/>
      <c r="J41" s="701"/>
      <c r="K41" s="701"/>
      <c r="L41" s="710"/>
      <c r="M41" s="710"/>
      <c r="N41" s="710"/>
      <c r="O41" s="710"/>
      <c r="P41" s="710"/>
    </row>
    <row r="42" spans="1:16" ht="14.25">
      <c r="A42" s="707">
        <v>5</v>
      </c>
      <c r="B42" s="707" t="s">
        <v>2066</v>
      </c>
      <c r="C42" s="708" t="s">
        <v>2067</v>
      </c>
      <c r="D42" s="708">
        <v>6532230</v>
      </c>
      <c r="E42" s="708">
        <v>6715962</v>
      </c>
      <c r="F42" s="1198">
        <f t="shared" si="0"/>
        <v>0.97264248963886335</v>
      </c>
      <c r="G42" s="708">
        <f t="shared" si="1"/>
        <v>3</v>
      </c>
      <c r="I42" s="701"/>
      <c r="J42" s="701"/>
      <c r="K42" s="701"/>
      <c r="L42" s="710"/>
      <c r="M42" s="710"/>
      <c r="N42" s="710"/>
      <c r="O42" s="710"/>
      <c r="P42" s="710"/>
    </row>
    <row r="43" spans="1:16" ht="14.25">
      <c r="A43" s="707">
        <v>5</v>
      </c>
      <c r="B43" s="707" t="s">
        <v>2066</v>
      </c>
      <c r="C43" s="708" t="s">
        <v>2068</v>
      </c>
      <c r="D43" s="708">
        <v>2632069</v>
      </c>
      <c r="E43" s="708">
        <v>2852118</v>
      </c>
      <c r="F43" s="1198">
        <f t="shared" si="0"/>
        <v>0.92284716130258282</v>
      </c>
      <c r="G43" s="708">
        <f t="shared" si="1"/>
        <v>3</v>
      </c>
      <c r="I43" s="701"/>
      <c r="J43" s="701"/>
      <c r="K43" s="701"/>
      <c r="L43" s="710"/>
      <c r="M43" s="710"/>
      <c r="N43" s="710"/>
      <c r="O43" s="710"/>
      <c r="P43" s="710"/>
    </row>
    <row r="44" spans="1:16" ht="14.25">
      <c r="A44" s="707">
        <v>5</v>
      </c>
      <c r="B44" s="707" t="s">
        <v>2066</v>
      </c>
      <c r="C44" s="708" t="s">
        <v>2069</v>
      </c>
      <c r="D44" s="708">
        <v>417748</v>
      </c>
      <c r="E44" s="708">
        <v>417748</v>
      </c>
      <c r="F44" s="1198">
        <f t="shared" si="0"/>
        <v>1</v>
      </c>
      <c r="G44" s="708">
        <f t="shared" si="1"/>
        <v>3</v>
      </c>
      <c r="I44" s="701"/>
      <c r="J44" s="701"/>
      <c r="K44" s="701"/>
      <c r="L44" s="710"/>
      <c r="M44" s="710"/>
      <c r="N44" s="710"/>
      <c r="O44" s="710"/>
      <c r="P44" s="710"/>
    </row>
    <row r="45" spans="1:16" ht="14.25">
      <c r="A45" s="707">
        <v>5</v>
      </c>
      <c r="B45" s="707" t="s">
        <v>2066</v>
      </c>
      <c r="C45" s="708" t="s">
        <v>2070</v>
      </c>
      <c r="D45" s="708">
        <v>85618</v>
      </c>
      <c r="E45" s="708">
        <v>88568</v>
      </c>
      <c r="F45" s="1198">
        <f t="shared" si="0"/>
        <v>0.96669225905518918</v>
      </c>
      <c r="G45" s="708">
        <f t="shared" si="1"/>
        <v>3</v>
      </c>
      <c r="I45" s="701"/>
      <c r="J45" s="701"/>
      <c r="K45" s="701"/>
      <c r="L45" s="710"/>
      <c r="M45" s="710"/>
      <c r="N45" s="710"/>
      <c r="O45" s="710"/>
      <c r="P45" s="710"/>
    </row>
    <row r="46" spans="1:16" ht="14.25">
      <c r="A46" s="707">
        <v>5</v>
      </c>
      <c r="B46" s="707" t="s">
        <v>2072</v>
      </c>
      <c r="C46" s="708" t="s">
        <v>2067</v>
      </c>
      <c r="D46" s="708">
        <v>22381129</v>
      </c>
      <c r="E46" s="708">
        <v>23660274</v>
      </c>
      <c r="F46" s="1198">
        <f t="shared" si="0"/>
        <v>0.94593701662119378</v>
      </c>
      <c r="G46" s="708">
        <f t="shared" si="1"/>
        <v>3</v>
      </c>
      <c r="I46" s="701"/>
      <c r="J46" s="701"/>
      <c r="K46" s="701"/>
      <c r="L46" s="710"/>
      <c r="M46" s="710"/>
      <c r="N46" s="710"/>
      <c r="O46" s="710"/>
      <c r="P46" s="710"/>
    </row>
    <row r="47" spans="1:16" ht="14.25">
      <c r="A47" s="707">
        <v>5</v>
      </c>
      <c r="B47" s="707" t="s">
        <v>2072</v>
      </c>
      <c r="C47" s="708" t="s">
        <v>2068</v>
      </c>
      <c r="D47" s="708">
        <v>570953</v>
      </c>
      <c r="E47" s="708">
        <v>704244</v>
      </c>
      <c r="F47" s="1198">
        <f t="shared" si="0"/>
        <v>0.8107317918221526</v>
      </c>
      <c r="G47" s="708">
        <f t="shared" si="1"/>
        <v>1.5</v>
      </c>
      <c r="I47" s="701"/>
      <c r="J47" s="701"/>
      <c r="K47" s="701"/>
      <c r="L47" s="710"/>
      <c r="M47" s="710"/>
      <c r="N47" s="710"/>
      <c r="O47" s="710"/>
      <c r="P47" s="710"/>
    </row>
    <row r="48" spans="1:16" ht="14.25">
      <c r="A48" s="707">
        <v>5</v>
      </c>
      <c r="B48" s="707" t="s">
        <v>2072</v>
      </c>
      <c r="C48" s="708" t="s">
        <v>2069</v>
      </c>
      <c r="D48" s="708">
        <v>6741831</v>
      </c>
      <c r="E48" s="708">
        <v>6872939</v>
      </c>
      <c r="F48" s="1198">
        <f t="shared" si="0"/>
        <v>0.98092402682462332</v>
      </c>
      <c r="G48" s="708">
        <f t="shared" si="1"/>
        <v>3</v>
      </c>
      <c r="I48" s="701"/>
      <c r="J48" s="701"/>
      <c r="K48" s="701"/>
      <c r="L48" s="710"/>
      <c r="M48" s="710"/>
      <c r="N48" s="710"/>
      <c r="O48" s="710"/>
      <c r="P48" s="710"/>
    </row>
    <row r="49" spans="1:16" ht="14.25">
      <c r="A49" s="707">
        <v>5</v>
      </c>
      <c r="B49" s="707" t="s">
        <v>2072</v>
      </c>
      <c r="C49" s="708" t="s">
        <v>2070</v>
      </c>
      <c r="D49" s="708">
        <v>146783</v>
      </c>
      <c r="E49" s="708">
        <v>146697</v>
      </c>
      <c r="F49" s="1198">
        <f t="shared" si="0"/>
        <v>1.0005862423907783</v>
      </c>
      <c r="G49" s="708">
        <f t="shared" si="1"/>
        <v>3</v>
      </c>
      <c r="I49" s="701"/>
      <c r="J49" s="701"/>
      <c r="K49" s="701"/>
      <c r="L49" s="710"/>
      <c r="M49" s="710"/>
      <c r="N49" s="710"/>
      <c r="O49" s="710"/>
      <c r="P49" s="710"/>
    </row>
    <row r="50" spans="1:16" ht="14.25">
      <c r="A50" s="707">
        <v>5</v>
      </c>
      <c r="B50" s="707" t="s">
        <v>2073</v>
      </c>
      <c r="C50" s="708" t="s">
        <v>2067</v>
      </c>
      <c r="D50" s="708">
        <v>6280122</v>
      </c>
      <c r="E50" s="708">
        <v>6460671</v>
      </c>
      <c r="F50" s="1198">
        <f t="shared" si="0"/>
        <v>0.97205414112558897</v>
      </c>
      <c r="G50" s="708">
        <f t="shared" si="1"/>
        <v>3</v>
      </c>
      <c r="I50" s="701"/>
      <c r="J50" s="701"/>
      <c r="K50" s="701"/>
      <c r="L50" s="710"/>
      <c r="M50" s="710"/>
      <c r="N50" s="710"/>
      <c r="O50" s="710"/>
      <c r="P50" s="710"/>
    </row>
    <row r="51" spans="1:16" ht="14.25">
      <c r="A51" s="707">
        <v>5</v>
      </c>
      <c r="B51" s="707" t="s">
        <v>2073</v>
      </c>
      <c r="C51" s="708" t="s">
        <v>2068</v>
      </c>
      <c r="D51" s="708">
        <v>0</v>
      </c>
      <c r="E51" s="708">
        <v>0</v>
      </c>
      <c r="F51" s="1198"/>
      <c r="G51" s="708"/>
      <c r="I51" s="701"/>
      <c r="J51" s="701"/>
      <c r="K51" s="701"/>
      <c r="L51" s="710"/>
      <c r="M51" s="710"/>
      <c r="N51" s="710"/>
      <c r="O51" s="710"/>
      <c r="P51" s="710"/>
    </row>
    <row r="52" spans="1:16" ht="14.25">
      <c r="A52" s="707">
        <v>5</v>
      </c>
      <c r="B52" s="707" t="s">
        <v>2073</v>
      </c>
      <c r="C52" s="708" t="s">
        <v>2069</v>
      </c>
      <c r="D52" s="708">
        <v>570126</v>
      </c>
      <c r="E52" s="708">
        <v>595126</v>
      </c>
      <c r="F52" s="1198">
        <f t="shared" si="0"/>
        <v>0.95799208907021371</v>
      </c>
      <c r="G52" s="708">
        <f t="shared" si="1"/>
        <v>3</v>
      </c>
      <c r="I52" s="701"/>
      <c r="J52" s="701"/>
      <c r="K52" s="701"/>
      <c r="L52" s="710"/>
      <c r="M52" s="710"/>
      <c r="N52" s="710"/>
      <c r="O52" s="710"/>
      <c r="P52" s="710"/>
    </row>
    <row r="53" spans="1:16" ht="14.25">
      <c r="A53" s="707">
        <v>5</v>
      </c>
      <c r="B53" s="707" t="s">
        <v>2073</v>
      </c>
      <c r="C53" s="708" t="s">
        <v>2070</v>
      </c>
      <c r="D53" s="708">
        <v>68504</v>
      </c>
      <c r="E53" s="708">
        <v>74815</v>
      </c>
      <c r="F53" s="1198">
        <f t="shared" si="0"/>
        <v>0.91564525830381605</v>
      </c>
      <c r="G53" s="708">
        <f t="shared" si="1"/>
        <v>3</v>
      </c>
      <c r="I53" s="701"/>
      <c r="J53" s="701"/>
      <c r="K53" s="701"/>
      <c r="L53" s="710"/>
      <c r="M53" s="710"/>
      <c r="N53" s="710"/>
      <c r="O53" s="710"/>
      <c r="P53" s="710"/>
    </row>
    <row r="54" spans="1:16" ht="14.25">
      <c r="A54" s="707">
        <v>5</v>
      </c>
      <c r="B54" s="707" t="s">
        <v>2074</v>
      </c>
      <c r="C54" s="708" t="s">
        <v>2067</v>
      </c>
      <c r="D54" s="708">
        <v>22464420</v>
      </c>
      <c r="E54" s="708">
        <v>24722916</v>
      </c>
      <c r="F54" s="1198">
        <f t="shared" si="0"/>
        <v>0.90864766923125084</v>
      </c>
      <c r="G54" s="708">
        <f t="shared" si="1"/>
        <v>3</v>
      </c>
      <c r="I54" s="701"/>
      <c r="J54" s="701"/>
      <c r="K54" s="701"/>
      <c r="L54" s="710"/>
      <c r="M54" s="710"/>
      <c r="N54" s="710"/>
      <c r="O54" s="710"/>
      <c r="P54" s="710"/>
    </row>
    <row r="55" spans="1:16" ht="14.25">
      <c r="A55" s="707">
        <v>5</v>
      </c>
      <c r="B55" s="707" t="s">
        <v>2074</v>
      </c>
      <c r="C55" s="708" t="s">
        <v>2068</v>
      </c>
      <c r="D55" s="708">
        <v>7088918</v>
      </c>
      <c r="E55" s="708">
        <v>7549093</v>
      </c>
      <c r="F55" s="1198">
        <f t="shared" si="0"/>
        <v>0.93904234588181656</v>
      </c>
      <c r="G55" s="708">
        <f t="shared" si="1"/>
        <v>3</v>
      </c>
      <c r="I55" s="701"/>
      <c r="J55" s="701"/>
      <c r="K55" s="701"/>
      <c r="L55" s="710"/>
      <c r="M55" s="710"/>
      <c r="N55" s="710"/>
      <c r="O55" s="710"/>
      <c r="P55" s="710"/>
    </row>
    <row r="56" spans="1:16" ht="14.25">
      <c r="A56" s="707">
        <v>5</v>
      </c>
      <c r="B56" s="707" t="s">
        <v>2074</v>
      </c>
      <c r="C56" s="708" t="s">
        <v>2069</v>
      </c>
      <c r="D56" s="708">
        <v>7820961</v>
      </c>
      <c r="E56" s="708">
        <v>8265895</v>
      </c>
      <c r="F56" s="1198">
        <f t="shared" si="0"/>
        <v>0.9461723140688334</v>
      </c>
      <c r="G56" s="708">
        <f t="shared" si="1"/>
        <v>3</v>
      </c>
      <c r="I56" s="701"/>
      <c r="J56" s="701"/>
      <c r="K56" s="701"/>
      <c r="L56" s="710"/>
      <c r="M56" s="710"/>
      <c r="N56" s="710"/>
      <c r="O56" s="710"/>
      <c r="P56" s="710"/>
    </row>
    <row r="57" spans="1:16" ht="14.25">
      <c r="A57" s="707">
        <v>5</v>
      </c>
      <c r="B57" s="707" t="s">
        <v>2074</v>
      </c>
      <c r="C57" s="708" t="s">
        <v>2070</v>
      </c>
      <c r="D57" s="708">
        <v>268290</v>
      </c>
      <c r="E57" s="708">
        <v>278683</v>
      </c>
      <c r="F57" s="1198">
        <f t="shared" si="0"/>
        <v>0.9627067313040264</v>
      </c>
      <c r="G57" s="708">
        <f t="shared" si="1"/>
        <v>3</v>
      </c>
      <c r="I57" s="701"/>
      <c r="J57" s="701"/>
      <c r="K57" s="701"/>
      <c r="L57" s="710"/>
      <c r="M57" s="710"/>
      <c r="N57" s="710"/>
      <c r="O57" s="710"/>
      <c r="P57" s="710"/>
    </row>
    <row r="58" spans="1:16" ht="14.25">
      <c r="A58" s="707">
        <v>5</v>
      </c>
      <c r="B58" s="707" t="s">
        <v>2075</v>
      </c>
      <c r="C58" s="708" t="s">
        <v>2067</v>
      </c>
      <c r="D58" s="708">
        <v>27248861</v>
      </c>
      <c r="E58" s="708">
        <v>28567971</v>
      </c>
      <c r="F58" s="1198">
        <f t="shared" si="0"/>
        <v>0.9538255622004097</v>
      </c>
      <c r="G58" s="708">
        <f t="shared" si="1"/>
        <v>3</v>
      </c>
      <c r="I58" s="701"/>
      <c r="J58" s="701"/>
      <c r="K58" s="701"/>
      <c r="L58" s="710"/>
      <c r="M58" s="710"/>
      <c r="N58" s="710"/>
      <c r="O58" s="710"/>
      <c r="P58" s="710"/>
    </row>
    <row r="59" spans="1:16" ht="14.25">
      <c r="A59" s="707">
        <v>5</v>
      </c>
      <c r="B59" s="707" t="s">
        <v>2075</v>
      </c>
      <c r="C59" s="708" t="s">
        <v>2068</v>
      </c>
      <c r="D59" s="708">
        <v>5826177</v>
      </c>
      <c r="E59" s="708">
        <v>6057668</v>
      </c>
      <c r="F59" s="1198">
        <f t="shared" si="0"/>
        <v>0.96178545935498616</v>
      </c>
      <c r="G59" s="708">
        <f t="shared" si="1"/>
        <v>3</v>
      </c>
      <c r="I59" s="701"/>
      <c r="J59" s="701"/>
      <c r="K59" s="701"/>
      <c r="L59" s="710"/>
      <c r="M59" s="710"/>
      <c r="N59" s="710"/>
      <c r="O59" s="710"/>
      <c r="P59" s="710"/>
    </row>
    <row r="60" spans="1:16" ht="14.25">
      <c r="A60" s="707">
        <v>5</v>
      </c>
      <c r="B60" s="707" t="s">
        <v>2075</v>
      </c>
      <c r="C60" s="708" t="s">
        <v>2069</v>
      </c>
      <c r="D60" s="708">
        <v>979031</v>
      </c>
      <c r="E60" s="708">
        <v>989031</v>
      </c>
      <c r="F60" s="1198">
        <f t="shared" si="0"/>
        <v>0.98988909346623111</v>
      </c>
      <c r="G60" s="708">
        <f t="shared" si="1"/>
        <v>3</v>
      </c>
      <c r="I60" s="710"/>
      <c r="J60" s="710"/>
      <c r="K60" s="710"/>
      <c r="L60" s="710"/>
      <c r="M60" s="710"/>
      <c r="N60" s="710"/>
      <c r="O60" s="710"/>
      <c r="P60" s="710"/>
    </row>
    <row r="61" spans="1:16" ht="14.25">
      <c r="A61" s="707">
        <v>5</v>
      </c>
      <c r="B61" s="707" t="s">
        <v>2075</v>
      </c>
      <c r="C61" s="708" t="s">
        <v>2070</v>
      </c>
      <c r="D61" s="708">
        <v>198189</v>
      </c>
      <c r="E61" s="708">
        <v>202611</v>
      </c>
      <c r="F61" s="1198">
        <f t="shared" si="0"/>
        <v>0.97817492633667469</v>
      </c>
      <c r="G61" s="708">
        <f t="shared" si="1"/>
        <v>3</v>
      </c>
      <c r="I61" s="710"/>
      <c r="J61" s="710"/>
      <c r="K61" s="710"/>
      <c r="L61" s="710"/>
      <c r="M61" s="710"/>
      <c r="N61" s="710"/>
      <c r="O61" s="710"/>
      <c r="P61" s="710"/>
    </row>
    <row r="62" spans="1:16" ht="14.25">
      <c r="A62" s="707">
        <v>5</v>
      </c>
      <c r="B62" s="707" t="s">
        <v>2076</v>
      </c>
      <c r="C62" s="708" t="s">
        <v>2067</v>
      </c>
      <c r="D62" s="708">
        <v>22308933</v>
      </c>
      <c r="E62" s="708">
        <v>23984182</v>
      </c>
      <c r="F62" s="1198">
        <f t="shared" si="0"/>
        <v>0.93015192262967317</v>
      </c>
      <c r="G62" s="708">
        <f t="shared" si="1"/>
        <v>3</v>
      </c>
      <c r="I62" s="710"/>
      <c r="J62" s="710"/>
      <c r="K62" s="710"/>
      <c r="L62" s="710"/>
      <c r="M62" s="710"/>
      <c r="N62" s="710"/>
      <c r="O62" s="710"/>
      <c r="P62" s="710"/>
    </row>
    <row r="63" spans="1:16" ht="14.25">
      <c r="A63" s="707">
        <v>5</v>
      </c>
      <c r="B63" s="707" t="s">
        <v>2076</v>
      </c>
      <c r="C63" s="708" t="s">
        <v>2068</v>
      </c>
      <c r="D63" s="708">
        <v>17067164</v>
      </c>
      <c r="E63" s="708">
        <v>18264519</v>
      </c>
      <c r="F63" s="1198">
        <f t="shared" si="0"/>
        <v>0.934443660958167</v>
      </c>
      <c r="G63" s="708">
        <f t="shared" si="1"/>
        <v>3</v>
      </c>
      <c r="I63" s="710"/>
      <c r="J63" s="710"/>
      <c r="K63" s="710"/>
      <c r="L63" s="710"/>
      <c r="M63" s="710"/>
      <c r="N63" s="710"/>
      <c r="O63" s="710"/>
      <c r="P63" s="710"/>
    </row>
    <row r="64" spans="1:16" ht="14.25">
      <c r="A64" s="707">
        <v>5</v>
      </c>
      <c r="B64" s="707" t="s">
        <v>2076</v>
      </c>
      <c r="C64" s="708" t="s">
        <v>2069</v>
      </c>
      <c r="D64" s="708">
        <v>1747564</v>
      </c>
      <c r="E64" s="708">
        <v>1747564</v>
      </c>
      <c r="F64" s="1198">
        <f t="shared" si="0"/>
        <v>1</v>
      </c>
      <c r="G64" s="708">
        <f t="shared" si="1"/>
        <v>3</v>
      </c>
      <c r="I64" s="710"/>
      <c r="J64" s="710"/>
      <c r="K64" s="710"/>
      <c r="L64" s="710"/>
      <c r="M64" s="710"/>
      <c r="N64" s="710"/>
      <c r="O64" s="710"/>
      <c r="P64" s="710"/>
    </row>
    <row r="65" spans="1:16" ht="14.25">
      <c r="A65" s="707">
        <v>5</v>
      </c>
      <c r="B65" s="707" t="s">
        <v>2076</v>
      </c>
      <c r="C65" s="708" t="s">
        <v>2070</v>
      </c>
      <c r="D65" s="708">
        <v>160939</v>
      </c>
      <c r="E65" s="708">
        <v>163166</v>
      </c>
      <c r="F65" s="1198">
        <f t="shared" si="0"/>
        <v>0.98635132319233176</v>
      </c>
      <c r="G65" s="708">
        <f t="shared" si="1"/>
        <v>3</v>
      </c>
      <c r="I65" s="710"/>
      <c r="J65" s="710"/>
      <c r="K65" s="710"/>
      <c r="L65" s="710"/>
      <c r="M65" s="710"/>
      <c r="N65" s="710"/>
      <c r="O65" s="710"/>
      <c r="P65" s="710"/>
    </row>
    <row r="66" spans="1:16" ht="14.25">
      <c r="A66" s="707">
        <v>5</v>
      </c>
      <c r="B66" s="707" t="s">
        <v>2077</v>
      </c>
      <c r="C66" s="708" t="s">
        <v>2067</v>
      </c>
      <c r="D66" s="708">
        <v>5761988</v>
      </c>
      <c r="E66" s="708">
        <v>6328385</v>
      </c>
      <c r="F66" s="1198">
        <f t="shared" si="0"/>
        <v>0.91049896616593329</v>
      </c>
      <c r="G66" s="708">
        <f t="shared" si="1"/>
        <v>3</v>
      </c>
      <c r="I66" s="710"/>
      <c r="J66" s="710"/>
      <c r="K66" s="710"/>
      <c r="L66" s="710"/>
      <c r="M66" s="710"/>
      <c r="N66" s="710"/>
      <c r="O66" s="710"/>
      <c r="P66" s="710"/>
    </row>
    <row r="67" spans="1:16" ht="14.25">
      <c r="A67" s="707">
        <v>5</v>
      </c>
      <c r="B67" s="707" t="s">
        <v>2077</v>
      </c>
      <c r="C67" s="708" t="s">
        <v>2068</v>
      </c>
      <c r="D67" s="708">
        <v>1249203</v>
      </c>
      <c r="E67" s="708">
        <v>1284197</v>
      </c>
      <c r="F67" s="1198">
        <f t="shared" ref="F67:F121" si="2">D67/E67</f>
        <v>0.97275028675506947</v>
      </c>
      <c r="G67" s="708">
        <f t="shared" ref="G67:G121" si="3">IF(F67&gt;0.9,3,IF(F67&gt;0.8,1.5,0))</f>
        <v>3</v>
      </c>
      <c r="I67" s="710"/>
      <c r="J67" s="710"/>
      <c r="K67" s="710"/>
      <c r="L67" s="710"/>
      <c r="M67" s="710"/>
      <c r="N67" s="710"/>
      <c r="O67" s="710"/>
      <c r="P67" s="710"/>
    </row>
    <row r="68" spans="1:16" ht="14.25">
      <c r="A68" s="707">
        <v>5</v>
      </c>
      <c r="B68" s="707" t="s">
        <v>2077</v>
      </c>
      <c r="C68" s="708" t="s">
        <v>2069</v>
      </c>
      <c r="D68" s="708">
        <v>1477286</v>
      </c>
      <c r="E68" s="708">
        <v>1487609</v>
      </c>
      <c r="F68" s="1198">
        <f t="shared" si="2"/>
        <v>0.99306067656218799</v>
      </c>
      <c r="G68" s="708">
        <f t="shared" si="3"/>
        <v>3</v>
      </c>
      <c r="I68" s="710"/>
      <c r="J68" s="710"/>
      <c r="K68" s="710"/>
      <c r="L68" s="710"/>
      <c r="M68" s="710"/>
      <c r="N68" s="710"/>
      <c r="O68" s="710"/>
      <c r="P68" s="710"/>
    </row>
    <row r="69" spans="1:16" ht="14.25">
      <c r="A69" s="707">
        <v>5</v>
      </c>
      <c r="B69" s="707" t="s">
        <v>2077</v>
      </c>
      <c r="C69" s="708" t="s">
        <v>2070</v>
      </c>
      <c r="D69" s="708">
        <v>37578</v>
      </c>
      <c r="E69" s="708">
        <v>37902</v>
      </c>
      <c r="F69" s="1198">
        <f t="shared" si="2"/>
        <v>0.9914516384359664</v>
      </c>
      <c r="G69" s="708">
        <f t="shared" si="3"/>
        <v>3</v>
      </c>
      <c r="I69" s="710"/>
      <c r="J69" s="710"/>
      <c r="K69" s="710"/>
      <c r="L69" s="710"/>
      <c r="M69" s="710"/>
      <c r="N69" s="710"/>
      <c r="O69" s="710"/>
      <c r="P69" s="710"/>
    </row>
    <row r="70" spans="1:16" ht="14.25">
      <c r="A70" s="707">
        <v>5</v>
      </c>
      <c r="B70" s="707" t="s">
        <v>2078</v>
      </c>
      <c r="C70" s="708" t="s">
        <v>2067</v>
      </c>
      <c r="D70" s="708">
        <v>14855440</v>
      </c>
      <c r="E70" s="708">
        <v>16208409</v>
      </c>
      <c r="F70" s="1198">
        <f t="shared" si="2"/>
        <v>0.91652672387524281</v>
      </c>
      <c r="G70" s="708">
        <f t="shared" si="3"/>
        <v>3</v>
      </c>
      <c r="I70" s="710"/>
      <c r="J70" s="710"/>
      <c r="K70" s="710"/>
      <c r="L70" s="710"/>
      <c r="M70" s="710"/>
      <c r="N70" s="710"/>
      <c r="O70" s="710"/>
      <c r="P70" s="710"/>
    </row>
    <row r="71" spans="1:16" ht="14.25">
      <c r="A71" s="707">
        <v>5</v>
      </c>
      <c r="B71" s="707" t="s">
        <v>2078</v>
      </c>
      <c r="C71" s="708" t="s">
        <v>2068</v>
      </c>
      <c r="D71" s="708">
        <v>1945022</v>
      </c>
      <c r="E71" s="708">
        <v>2147050</v>
      </c>
      <c r="F71" s="1198">
        <f t="shared" si="2"/>
        <v>0.90590438042896071</v>
      </c>
      <c r="G71" s="708">
        <f t="shared" si="3"/>
        <v>3</v>
      </c>
      <c r="I71" s="710"/>
      <c r="J71" s="710"/>
      <c r="K71" s="710"/>
      <c r="L71" s="710"/>
      <c r="M71" s="710"/>
      <c r="N71" s="710"/>
      <c r="O71" s="710"/>
      <c r="P71" s="710"/>
    </row>
    <row r="72" spans="1:16" ht="14.25">
      <c r="A72" s="707">
        <v>5</v>
      </c>
      <c r="B72" s="707" t="s">
        <v>2078</v>
      </c>
      <c r="C72" s="708" t="s">
        <v>2069</v>
      </c>
      <c r="D72" s="708">
        <v>6479677</v>
      </c>
      <c r="E72" s="708">
        <v>6833975</v>
      </c>
      <c r="F72" s="1198">
        <f t="shared" si="2"/>
        <v>0.94815638043744677</v>
      </c>
      <c r="G72" s="708">
        <f t="shared" si="3"/>
        <v>3</v>
      </c>
    </row>
    <row r="73" spans="1:16" ht="14.25">
      <c r="A73" s="707">
        <v>5</v>
      </c>
      <c r="B73" s="707" t="s">
        <v>2078</v>
      </c>
      <c r="C73" s="708" t="s">
        <v>2070</v>
      </c>
      <c r="D73" s="708">
        <v>81075</v>
      </c>
      <c r="E73" s="708">
        <v>81177</v>
      </c>
      <c r="F73" s="1198">
        <f t="shared" si="2"/>
        <v>0.99874348645552313</v>
      </c>
      <c r="G73" s="708">
        <f t="shared" si="3"/>
        <v>3</v>
      </c>
    </row>
    <row r="74" spans="1:16" ht="14.25">
      <c r="A74" s="707">
        <v>5</v>
      </c>
      <c r="B74" s="707" t="s">
        <v>2079</v>
      </c>
      <c r="C74" s="708" t="s">
        <v>2067</v>
      </c>
      <c r="D74" s="708">
        <v>3942300</v>
      </c>
      <c r="E74" s="708">
        <v>4291261</v>
      </c>
      <c r="F74" s="1198">
        <f t="shared" si="2"/>
        <v>0.91868101241103717</v>
      </c>
      <c r="G74" s="708">
        <f t="shared" si="3"/>
        <v>3</v>
      </c>
    </row>
    <row r="75" spans="1:16" ht="14.25">
      <c r="A75" s="707">
        <v>5</v>
      </c>
      <c r="B75" s="707" t="s">
        <v>2079</v>
      </c>
      <c r="C75" s="708" t="s">
        <v>2068</v>
      </c>
      <c r="D75" s="708">
        <v>0</v>
      </c>
      <c r="E75" s="708">
        <v>0</v>
      </c>
      <c r="F75" s="1198"/>
      <c r="G75" s="708"/>
    </row>
    <row r="76" spans="1:16" ht="14.25">
      <c r="A76" s="707">
        <v>5</v>
      </c>
      <c r="B76" s="707" t="s">
        <v>2079</v>
      </c>
      <c r="C76" s="708" t="s">
        <v>2069</v>
      </c>
      <c r="D76" s="708">
        <v>6542546</v>
      </c>
      <c r="E76" s="708">
        <v>6765720</v>
      </c>
      <c r="F76" s="1198">
        <f t="shared" si="2"/>
        <v>0.96701400590033282</v>
      </c>
      <c r="G76" s="708">
        <f t="shared" si="3"/>
        <v>3</v>
      </c>
    </row>
    <row r="77" spans="1:16" ht="14.25">
      <c r="A77" s="707">
        <v>5</v>
      </c>
      <c r="B77" s="707" t="s">
        <v>2079</v>
      </c>
      <c r="C77" s="708" t="s">
        <v>2070</v>
      </c>
      <c r="D77" s="708">
        <v>118763</v>
      </c>
      <c r="E77" s="708">
        <v>123884</v>
      </c>
      <c r="F77" s="1198">
        <f t="shared" si="2"/>
        <v>0.95866294275289787</v>
      </c>
      <c r="G77" s="708">
        <f t="shared" si="3"/>
        <v>3</v>
      </c>
    </row>
    <row r="78" spans="1:16" ht="14.25">
      <c r="A78" s="707">
        <v>5</v>
      </c>
      <c r="B78" s="707" t="s">
        <v>2080</v>
      </c>
      <c r="C78" s="708" t="s">
        <v>2067</v>
      </c>
      <c r="D78" s="708">
        <v>3230677</v>
      </c>
      <c r="E78" s="708">
        <v>3668908</v>
      </c>
      <c r="F78" s="1198">
        <f t="shared" si="2"/>
        <v>0.88055546773045279</v>
      </c>
      <c r="G78" s="708">
        <f t="shared" si="3"/>
        <v>1.5</v>
      </c>
    </row>
    <row r="79" spans="1:16" ht="14.25">
      <c r="A79" s="707">
        <v>5</v>
      </c>
      <c r="B79" s="707" t="s">
        <v>2080</v>
      </c>
      <c r="C79" s="708" t="s">
        <v>2068</v>
      </c>
      <c r="D79" s="708">
        <v>778071</v>
      </c>
      <c r="E79" s="708">
        <v>1178003</v>
      </c>
      <c r="F79" s="1198">
        <f t="shared" si="2"/>
        <v>0.66050001570454409</v>
      </c>
      <c r="G79" s="708">
        <f t="shared" si="3"/>
        <v>0</v>
      </c>
    </row>
    <row r="80" spans="1:16" ht="14.25">
      <c r="A80" s="707">
        <v>5</v>
      </c>
      <c r="B80" s="707" t="s">
        <v>2080</v>
      </c>
      <c r="C80" s="708" t="s">
        <v>2069</v>
      </c>
      <c r="D80" s="708">
        <v>412033</v>
      </c>
      <c r="E80" s="708">
        <v>413921</v>
      </c>
      <c r="F80" s="1198">
        <f t="shared" si="2"/>
        <v>0.99543874314180725</v>
      </c>
      <c r="G80" s="708">
        <f t="shared" si="3"/>
        <v>3</v>
      </c>
    </row>
    <row r="81" spans="1:7" ht="14.25">
      <c r="A81" s="707">
        <v>5</v>
      </c>
      <c r="B81" s="707" t="s">
        <v>2080</v>
      </c>
      <c r="C81" s="708" t="s">
        <v>2070</v>
      </c>
      <c r="D81" s="708">
        <v>20322</v>
      </c>
      <c r="E81" s="708">
        <v>28496</v>
      </c>
      <c r="F81" s="1198">
        <f t="shared" si="2"/>
        <v>0.71315272318921952</v>
      </c>
      <c r="G81" s="708">
        <f t="shared" si="3"/>
        <v>0</v>
      </c>
    </row>
    <row r="82" spans="1:7" ht="14.25">
      <c r="A82" s="707">
        <v>6</v>
      </c>
      <c r="B82" s="707" t="s">
        <v>2066</v>
      </c>
      <c r="C82" s="708" t="s">
        <v>2067</v>
      </c>
      <c r="D82" s="708">
        <v>4714202</v>
      </c>
      <c r="E82" s="708">
        <v>4847013</v>
      </c>
      <c r="F82" s="1198">
        <f t="shared" si="2"/>
        <v>0.97259941328814259</v>
      </c>
      <c r="G82" s="708">
        <f t="shared" si="3"/>
        <v>3</v>
      </c>
    </row>
    <row r="83" spans="1:7" ht="14.25">
      <c r="A83" s="707">
        <v>6</v>
      </c>
      <c r="B83" s="707" t="s">
        <v>2066</v>
      </c>
      <c r="C83" s="708" t="s">
        <v>2068</v>
      </c>
      <c r="D83" s="708">
        <v>2317062</v>
      </c>
      <c r="E83" s="708">
        <v>2392517</v>
      </c>
      <c r="F83" s="1198">
        <f t="shared" si="2"/>
        <v>0.96846208407296586</v>
      </c>
      <c r="G83" s="708">
        <f t="shared" si="3"/>
        <v>3</v>
      </c>
    </row>
    <row r="84" spans="1:7" ht="14.25">
      <c r="A84" s="707">
        <v>6</v>
      </c>
      <c r="B84" s="707" t="s">
        <v>2066</v>
      </c>
      <c r="C84" s="708" t="s">
        <v>2069</v>
      </c>
      <c r="D84" s="708">
        <v>178384</v>
      </c>
      <c r="E84" s="708">
        <v>178384</v>
      </c>
      <c r="F84" s="1198">
        <f t="shared" si="2"/>
        <v>1</v>
      </c>
      <c r="G84" s="708">
        <f t="shared" si="3"/>
        <v>3</v>
      </c>
    </row>
    <row r="85" spans="1:7" ht="14.25">
      <c r="A85" s="707">
        <v>6</v>
      </c>
      <c r="B85" s="707" t="s">
        <v>2066</v>
      </c>
      <c r="C85" s="708" t="s">
        <v>2070</v>
      </c>
      <c r="D85" s="708">
        <v>49539</v>
      </c>
      <c r="E85" s="708">
        <v>49554</v>
      </c>
      <c r="F85" s="1198">
        <f t="shared" si="2"/>
        <v>0.99969729991524403</v>
      </c>
      <c r="G85" s="708">
        <f t="shared" si="3"/>
        <v>3</v>
      </c>
    </row>
    <row r="86" spans="1:7" ht="14.25">
      <c r="A86" s="707">
        <v>6</v>
      </c>
      <c r="B86" s="707" t="s">
        <v>2072</v>
      </c>
      <c r="C86" s="708" t="s">
        <v>2067</v>
      </c>
      <c r="D86" s="708">
        <v>19887440</v>
      </c>
      <c r="E86" s="708">
        <v>20991765</v>
      </c>
      <c r="F86" s="1198">
        <f t="shared" si="2"/>
        <v>0.94739246556923629</v>
      </c>
      <c r="G86" s="708">
        <f t="shared" si="3"/>
        <v>3</v>
      </c>
    </row>
    <row r="87" spans="1:7" ht="14.25">
      <c r="A87" s="707">
        <v>6</v>
      </c>
      <c r="B87" s="707" t="s">
        <v>2072</v>
      </c>
      <c r="C87" s="708" t="s">
        <v>2068</v>
      </c>
      <c r="D87" s="708">
        <v>618764</v>
      </c>
      <c r="E87" s="708">
        <v>714897</v>
      </c>
      <c r="F87" s="1198">
        <f t="shared" si="2"/>
        <v>0.8655288803841672</v>
      </c>
      <c r="G87" s="708">
        <f t="shared" si="3"/>
        <v>1.5</v>
      </c>
    </row>
    <row r="88" spans="1:7" ht="14.25">
      <c r="A88" s="707">
        <v>6</v>
      </c>
      <c r="B88" s="707" t="s">
        <v>2072</v>
      </c>
      <c r="C88" s="708" t="s">
        <v>2069</v>
      </c>
      <c r="D88" s="708">
        <v>7436132</v>
      </c>
      <c r="E88" s="708">
        <v>7555230</v>
      </c>
      <c r="F88" s="1198">
        <f t="shared" si="2"/>
        <v>0.98423635018391231</v>
      </c>
      <c r="G88" s="708">
        <f t="shared" si="3"/>
        <v>3</v>
      </c>
    </row>
    <row r="89" spans="1:7" ht="14.25">
      <c r="A89" s="707">
        <v>6</v>
      </c>
      <c r="B89" s="707" t="s">
        <v>2072</v>
      </c>
      <c r="C89" s="708" t="s">
        <v>2070</v>
      </c>
      <c r="D89" s="708">
        <v>61754</v>
      </c>
      <c r="E89" s="708">
        <v>61954</v>
      </c>
      <c r="F89" s="1198">
        <f t="shared" si="2"/>
        <v>0.99677179843109409</v>
      </c>
      <c r="G89" s="708">
        <f t="shared" si="3"/>
        <v>3</v>
      </c>
    </row>
    <row r="90" spans="1:7" ht="14.25">
      <c r="A90" s="707">
        <v>6</v>
      </c>
      <c r="B90" s="707" t="s">
        <v>2073</v>
      </c>
      <c r="C90" s="708" t="s">
        <v>2067</v>
      </c>
      <c r="D90" s="708">
        <v>4098811</v>
      </c>
      <c r="E90" s="708">
        <v>4322468</v>
      </c>
      <c r="F90" s="1198">
        <f t="shared" si="2"/>
        <v>0.9482571068195299</v>
      </c>
      <c r="G90" s="708">
        <f t="shared" si="3"/>
        <v>3</v>
      </c>
    </row>
    <row r="91" spans="1:7" ht="14.25">
      <c r="A91" s="707">
        <v>6</v>
      </c>
      <c r="B91" s="707" t="s">
        <v>2073</v>
      </c>
      <c r="C91" s="708" t="s">
        <v>2068</v>
      </c>
      <c r="D91" s="708">
        <v>0</v>
      </c>
      <c r="E91" s="708">
        <v>0</v>
      </c>
      <c r="F91" s="1198"/>
      <c r="G91" s="708"/>
    </row>
    <row r="92" spans="1:7" ht="14.25">
      <c r="A92" s="707">
        <v>6</v>
      </c>
      <c r="B92" s="707" t="s">
        <v>2073</v>
      </c>
      <c r="C92" s="708" t="s">
        <v>2069</v>
      </c>
      <c r="D92" s="708">
        <v>229084</v>
      </c>
      <c r="E92" s="708">
        <v>229084</v>
      </c>
      <c r="F92" s="1198">
        <f t="shared" si="2"/>
        <v>1</v>
      </c>
      <c r="G92" s="708">
        <f t="shared" si="3"/>
        <v>3</v>
      </c>
    </row>
    <row r="93" spans="1:7" ht="14.25">
      <c r="A93" s="707">
        <v>6</v>
      </c>
      <c r="B93" s="707" t="s">
        <v>2073</v>
      </c>
      <c r="C93" s="708" t="s">
        <v>2070</v>
      </c>
      <c r="D93" s="708">
        <v>66880</v>
      </c>
      <c r="E93" s="708">
        <v>66847</v>
      </c>
      <c r="F93" s="1198">
        <f t="shared" si="2"/>
        <v>1.0004936646371565</v>
      </c>
      <c r="G93" s="708">
        <f t="shared" si="3"/>
        <v>3</v>
      </c>
    </row>
    <row r="94" spans="1:7" ht="14.25">
      <c r="A94" s="707">
        <v>6</v>
      </c>
      <c r="B94" s="707" t="s">
        <v>2074</v>
      </c>
      <c r="C94" s="708" t="s">
        <v>2067</v>
      </c>
      <c r="D94" s="708">
        <v>16118050</v>
      </c>
      <c r="E94" s="708">
        <v>17241969</v>
      </c>
      <c r="F94" s="1198">
        <f t="shared" si="2"/>
        <v>0.93481492745985106</v>
      </c>
      <c r="G94" s="708">
        <f t="shared" si="3"/>
        <v>3</v>
      </c>
    </row>
    <row r="95" spans="1:7" ht="14.25">
      <c r="A95" s="707">
        <v>6</v>
      </c>
      <c r="B95" s="707" t="s">
        <v>2074</v>
      </c>
      <c r="C95" s="708" t="s">
        <v>2068</v>
      </c>
      <c r="D95" s="708">
        <v>4226665</v>
      </c>
      <c r="E95" s="708">
        <v>4487477</v>
      </c>
      <c r="F95" s="1198">
        <f t="shared" si="2"/>
        <v>0.94188003637678808</v>
      </c>
      <c r="G95" s="708">
        <f t="shared" si="3"/>
        <v>3</v>
      </c>
    </row>
    <row r="96" spans="1:7" ht="14.25">
      <c r="A96" s="707">
        <v>6</v>
      </c>
      <c r="B96" s="707" t="s">
        <v>2074</v>
      </c>
      <c r="C96" s="708" t="s">
        <v>2069</v>
      </c>
      <c r="D96" s="708">
        <v>3655380</v>
      </c>
      <c r="E96" s="708">
        <v>4141921</v>
      </c>
      <c r="F96" s="1198">
        <f t="shared" si="2"/>
        <v>0.88253252536685267</v>
      </c>
      <c r="G96" s="708">
        <f t="shared" si="3"/>
        <v>1.5</v>
      </c>
    </row>
    <row r="97" spans="1:7" ht="14.25">
      <c r="A97" s="707">
        <v>6</v>
      </c>
      <c r="B97" s="707" t="s">
        <v>2074</v>
      </c>
      <c r="C97" s="708" t="s">
        <v>2070</v>
      </c>
      <c r="D97" s="708">
        <v>219655</v>
      </c>
      <c r="E97" s="708">
        <v>238468</v>
      </c>
      <c r="F97" s="1198">
        <f t="shared" si="2"/>
        <v>0.92110891188754884</v>
      </c>
      <c r="G97" s="708">
        <f t="shared" si="3"/>
        <v>3</v>
      </c>
    </row>
    <row r="98" spans="1:7" ht="14.25">
      <c r="A98" s="707">
        <v>6</v>
      </c>
      <c r="B98" s="707" t="s">
        <v>2075</v>
      </c>
      <c r="C98" s="708" t="s">
        <v>2067</v>
      </c>
      <c r="D98" s="708">
        <v>21509958</v>
      </c>
      <c r="E98" s="708">
        <v>22654683</v>
      </c>
      <c r="F98" s="1198">
        <f t="shared" si="2"/>
        <v>0.94947071208191258</v>
      </c>
      <c r="G98" s="708">
        <f t="shared" si="3"/>
        <v>3</v>
      </c>
    </row>
    <row r="99" spans="1:7" ht="14.25">
      <c r="A99" s="707">
        <v>6</v>
      </c>
      <c r="B99" s="707" t="s">
        <v>2075</v>
      </c>
      <c r="C99" s="708" t="s">
        <v>2068</v>
      </c>
      <c r="D99" s="708">
        <v>3987688</v>
      </c>
      <c r="E99" s="708">
        <v>4190303</v>
      </c>
      <c r="F99" s="1198">
        <f t="shared" si="2"/>
        <v>0.9516466947616915</v>
      </c>
      <c r="G99" s="708">
        <f t="shared" si="3"/>
        <v>3</v>
      </c>
    </row>
    <row r="100" spans="1:7" ht="14.25">
      <c r="A100" s="707">
        <v>6</v>
      </c>
      <c r="B100" s="707" t="s">
        <v>2075</v>
      </c>
      <c r="C100" s="708" t="s">
        <v>2069</v>
      </c>
      <c r="D100" s="708">
        <v>2602956</v>
      </c>
      <c r="E100" s="708">
        <v>2642956</v>
      </c>
      <c r="F100" s="1198">
        <f t="shared" si="2"/>
        <v>0.9848654309795547</v>
      </c>
      <c r="G100" s="708">
        <f t="shared" si="3"/>
        <v>3</v>
      </c>
    </row>
    <row r="101" spans="1:7" ht="14.25">
      <c r="A101" s="707">
        <v>6</v>
      </c>
      <c r="B101" s="707" t="s">
        <v>2075</v>
      </c>
      <c r="C101" s="708" t="s">
        <v>2070</v>
      </c>
      <c r="D101" s="708">
        <v>126354</v>
      </c>
      <c r="E101" s="708">
        <v>130519</v>
      </c>
      <c r="F101" s="1198">
        <f t="shared" si="2"/>
        <v>0.9680889372428535</v>
      </c>
      <c r="G101" s="708">
        <f t="shared" si="3"/>
        <v>3</v>
      </c>
    </row>
    <row r="102" spans="1:7" ht="14.25">
      <c r="A102" s="707">
        <v>6</v>
      </c>
      <c r="B102" s="707" t="s">
        <v>2076</v>
      </c>
      <c r="C102" s="708" t="s">
        <v>2067</v>
      </c>
      <c r="D102" s="708">
        <v>17315824</v>
      </c>
      <c r="E102" s="708">
        <v>18538961</v>
      </c>
      <c r="F102" s="1198">
        <f t="shared" si="2"/>
        <v>0.93402343313630143</v>
      </c>
      <c r="G102" s="708">
        <f t="shared" si="3"/>
        <v>3</v>
      </c>
    </row>
    <row r="103" spans="1:7" ht="14.25">
      <c r="A103" s="707">
        <v>6</v>
      </c>
      <c r="B103" s="707" t="s">
        <v>2076</v>
      </c>
      <c r="C103" s="708" t="s">
        <v>2068</v>
      </c>
      <c r="D103" s="708">
        <v>10558183</v>
      </c>
      <c r="E103" s="708">
        <v>11263654</v>
      </c>
      <c r="F103" s="1198">
        <f t="shared" si="2"/>
        <v>0.93736748305656403</v>
      </c>
      <c r="G103" s="708">
        <f t="shared" si="3"/>
        <v>3</v>
      </c>
    </row>
    <row r="104" spans="1:7" ht="14.25">
      <c r="A104" s="707">
        <v>6</v>
      </c>
      <c r="B104" s="707" t="s">
        <v>2076</v>
      </c>
      <c r="C104" s="708" t="s">
        <v>2069</v>
      </c>
      <c r="D104" s="708">
        <v>609005</v>
      </c>
      <c r="E104" s="708">
        <v>619005</v>
      </c>
      <c r="F104" s="1198">
        <f t="shared" si="2"/>
        <v>0.98384504163940523</v>
      </c>
      <c r="G104" s="708">
        <f t="shared" si="3"/>
        <v>3</v>
      </c>
    </row>
    <row r="105" spans="1:7" ht="14.25">
      <c r="A105" s="707">
        <v>6</v>
      </c>
      <c r="B105" s="707" t="s">
        <v>2076</v>
      </c>
      <c r="C105" s="708" t="s">
        <v>2070</v>
      </c>
      <c r="D105" s="708">
        <v>231338</v>
      </c>
      <c r="E105" s="708">
        <v>235657</v>
      </c>
      <c r="F105" s="1198">
        <f t="shared" si="2"/>
        <v>0.98167251556287316</v>
      </c>
      <c r="G105" s="708">
        <f t="shared" si="3"/>
        <v>3</v>
      </c>
    </row>
    <row r="106" spans="1:7" ht="14.25">
      <c r="A106" s="707">
        <v>6</v>
      </c>
      <c r="B106" s="707" t="s">
        <v>2077</v>
      </c>
      <c r="C106" s="708" t="s">
        <v>2067</v>
      </c>
      <c r="D106" s="708">
        <v>4162105</v>
      </c>
      <c r="E106" s="708">
        <v>4490513</v>
      </c>
      <c r="F106" s="1198">
        <f t="shared" si="2"/>
        <v>0.92686626227337499</v>
      </c>
      <c r="G106" s="708">
        <f t="shared" si="3"/>
        <v>3</v>
      </c>
    </row>
    <row r="107" spans="1:7" ht="14.25">
      <c r="A107" s="707">
        <v>6</v>
      </c>
      <c r="B107" s="707" t="s">
        <v>2077</v>
      </c>
      <c r="C107" s="708" t="s">
        <v>2068</v>
      </c>
      <c r="D107" s="708">
        <v>1154998</v>
      </c>
      <c r="E107" s="708">
        <v>1184607</v>
      </c>
      <c r="F107" s="1198">
        <f t="shared" si="2"/>
        <v>0.97500521269923279</v>
      </c>
      <c r="G107" s="708">
        <f t="shared" si="3"/>
        <v>3</v>
      </c>
    </row>
    <row r="108" spans="1:7" ht="14.25">
      <c r="A108" s="707">
        <v>6</v>
      </c>
      <c r="B108" s="707" t="s">
        <v>2077</v>
      </c>
      <c r="C108" s="708" t="s">
        <v>2069</v>
      </c>
      <c r="D108" s="708">
        <v>773223</v>
      </c>
      <c r="E108" s="708">
        <v>783777</v>
      </c>
      <c r="F108" s="1198">
        <f t="shared" si="2"/>
        <v>0.98653443517735273</v>
      </c>
      <c r="G108" s="708">
        <f t="shared" si="3"/>
        <v>3</v>
      </c>
    </row>
    <row r="109" spans="1:7" ht="14.25">
      <c r="A109" s="707">
        <v>6</v>
      </c>
      <c r="B109" s="707" t="s">
        <v>2077</v>
      </c>
      <c r="C109" s="708" t="s">
        <v>2070</v>
      </c>
      <c r="D109" s="708">
        <v>43593</v>
      </c>
      <c r="E109" s="708">
        <v>46111</v>
      </c>
      <c r="F109" s="1198">
        <f t="shared" si="2"/>
        <v>0.94539263950033614</v>
      </c>
      <c r="G109" s="708">
        <f t="shared" si="3"/>
        <v>3</v>
      </c>
    </row>
    <row r="110" spans="1:7" ht="14.25">
      <c r="A110" s="707">
        <v>6</v>
      </c>
      <c r="B110" s="707" t="s">
        <v>2078</v>
      </c>
      <c r="C110" s="708" t="s">
        <v>2067</v>
      </c>
      <c r="D110" s="708">
        <v>10434803</v>
      </c>
      <c r="E110" s="708">
        <v>11226830</v>
      </c>
      <c r="F110" s="1198">
        <f t="shared" si="2"/>
        <v>0.92945230309891569</v>
      </c>
      <c r="G110" s="708">
        <f t="shared" si="3"/>
        <v>3</v>
      </c>
    </row>
    <row r="111" spans="1:7" ht="14.25">
      <c r="A111" s="707">
        <v>6</v>
      </c>
      <c r="B111" s="707" t="s">
        <v>2078</v>
      </c>
      <c r="C111" s="708" t="s">
        <v>2068</v>
      </c>
      <c r="D111" s="708">
        <v>2275038</v>
      </c>
      <c r="E111" s="708">
        <v>2438464</v>
      </c>
      <c r="F111" s="1198">
        <f t="shared" si="2"/>
        <v>0.93297994147135244</v>
      </c>
      <c r="G111" s="708">
        <f t="shared" si="3"/>
        <v>3</v>
      </c>
    </row>
    <row r="112" spans="1:7" ht="14.25">
      <c r="A112" s="707">
        <v>6</v>
      </c>
      <c r="B112" s="707" t="s">
        <v>2078</v>
      </c>
      <c r="C112" s="708" t="s">
        <v>2069</v>
      </c>
      <c r="D112" s="708">
        <v>5093330</v>
      </c>
      <c r="E112" s="708">
        <v>5281837</v>
      </c>
      <c r="F112" s="1198">
        <f t="shared" si="2"/>
        <v>0.96431033369640151</v>
      </c>
      <c r="G112" s="708">
        <f t="shared" si="3"/>
        <v>3</v>
      </c>
    </row>
    <row r="113" spans="1:7" ht="14.25">
      <c r="A113" s="707">
        <v>6</v>
      </c>
      <c r="B113" s="707" t="s">
        <v>2078</v>
      </c>
      <c r="C113" s="708" t="s">
        <v>2070</v>
      </c>
      <c r="D113" s="708">
        <v>71739</v>
      </c>
      <c r="E113" s="708">
        <v>71693</v>
      </c>
      <c r="F113" s="1198">
        <f t="shared" si="2"/>
        <v>1.0006416247053409</v>
      </c>
      <c r="G113" s="708">
        <f t="shared" si="3"/>
        <v>3</v>
      </c>
    </row>
    <row r="114" spans="1:7" ht="14.25">
      <c r="A114" s="707">
        <v>6</v>
      </c>
      <c r="B114" s="707" t="s">
        <v>2079</v>
      </c>
      <c r="C114" s="708" t="s">
        <v>2067</v>
      </c>
      <c r="D114" s="708">
        <v>2960658</v>
      </c>
      <c r="E114" s="708">
        <v>3284947</v>
      </c>
      <c r="F114" s="1198">
        <f t="shared" si="2"/>
        <v>0.90128029462880221</v>
      </c>
      <c r="G114" s="708">
        <f t="shared" si="3"/>
        <v>3</v>
      </c>
    </row>
    <row r="115" spans="1:7" ht="14.25">
      <c r="A115" s="707">
        <v>6</v>
      </c>
      <c r="B115" s="707" t="s">
        <v>2079</v>
      </c>
      <c r="C115" s="708" t="s">
        <v>2068</v>
      </c>
      <c r="D115" s="708">
        <v>0</v>
      </c>
      <c r="E115" s="708">
        <v>0</v>
      </c>
      <c r="F115" s="1198"/>
      <c r="G115" s="708"/>
    </row>
    <row r="116" spans="1:7" ht="14.25">
      <c r="A116" s="707">
        <v>6</v>
      </c>
      <c r="B116" s="707" t="s">
        <v>2079</v>
      </c>
      <c r="C116" s="708" t="s">
        <v>2069</v>
      </c>
      <c r="D116" s="708">
        <v>5991698</v>
      </c>
      <c r="E116" s="708">
        <v>6142458</v>
      </c>
      <c r="F116" s="1198">
        <f t="shared" si="2"/>
        <v>0.97545607963456971</v>
      </c>
      <c r="G116" s="708">
        <f t="shared" si="3"/>
        <v>3</v>
      </c>
    </row>
    <row r="117" spans="1:7" ht="14.25">
      <c r="A117" s="707">
        <v>6</v>
      </c>
      <c r="B117" s="707" t="s">
        <v>2079</v>
      </c>
      <c r="C117" s="708" t="s">
        <v>2070</v>
      </c>
      <c r="D117" s="708">
        <v>37841</v>
      </c>
      <c r="E117" s="708">
        <v>45882</v>
      </c>
      <c r="F117" s="1198">
        <f t="shared" si="2"/>
        <v>0.82474608779041891</v>
      </c>
      <c r="G117" s="708">
        <f t="shared" si="3"/>
        <v>1.5</v>
      </c>
    </row>
    <row r="118" spans="1:7" ht="14.25">
      <c r="A118" s="707">
        <v>6</v>
      </c>
      <c r="B118" s="707" t="s">
        <v>2080</v>
      </c>
      <c r="C118" s="708" t="s">
        <v>2067</v>
      </c>
      <c r="D118" s="708">
        <v>2888796</v>
      </c>
      <c r="E118" s="708">
        <v>3158687</v>
      </c>
      <c r="F118" s="1198">
        <f t="shared" si="2"/>
        <v>0.91455595315395288</v>
      </c>
      <c r="G118" s="708">
        <f t="shared" si="3"/>
        <v>3</v>
      </c>
    </row>
    <row r="119" spans="1:7" ht="14.25">
      <c r="A119" s="707">
        <v>6</v>
      </c>
      <c r="B119" s="707" t="s">
        <v>2080</v>
      </c>
      <c r="C119" s="708" t="s">
        <v>2068</v>
      </c>
      <c r="D119" s="708">
        <v>639830</v>
      </c>
      <c r="E119" s="708">
        <v>660770</v>
      </c>
      <c r="F119" s="1198">
        <f t="shared" si="2"/>
        <v>0.96830969929022204</v>
      </c>
      <c r="G119" s="708">
        <f t="shared" si="3"/>
        <v>3</v>
      </c>
    </row>
    <row r="120" spans="1:7" ht="14.25">
      <c r="A120" s="707">
        <v>6</v>
      </c>
      <c r="B120" s="707" t="s">
        <v>2080</v>
      </c>
      <c r="C120" s="708" t="s">
        <v>2069</v>
      </c>
      <c r="D120" s="708">
        <v>81757</v>
      </c>
      <c r="E120" s="708">
        <v>83645</v>
      </c>
      <c r="F120" s="1198">
        <f t="shared" si="2"/>
        <v>0.9774284177177357</v>
      </c>
      <c r="G120" s="708">
        <f t="shared" si="3"/>
        <v>3</v>
      </c>
    </row>
    <row r="121" spans="1:7" ht="14.25">
      <c r="A121" s="707">
        <v>6</v>
      </c>
      <c r="B121" s="707" t="s">
        <v>2080</v>
      </c>
      <c r="C121" s="708" t="s">
        <v>2070</v>
      </c>
      <c r="D121" s="708">
        <v>24606</v>
      </c>
      <c r="E121" s="708">
        <v>24601</v>
      </c>
      <c r="F121" s="1198">
        <f t="shared" si="2"/>
        <v>1.0002032437705783</v>
      </c>
      <c r="G121" s="708">
        <f t="shared" si="3"/>
        <v>3</v>
      </c>
    </row>
  </sheetData>
  <phoneticPr fontId="3" type="noConversion"/>
  <hyperlinks>
    <hyperlink ref="H23" location="'总公司绩效-II'!A1" display="总公司绩效-II"/>
    <hyperlink ref="H24" location="目录!A1" display="目录"/>
    <hyperlink ref="H25" location="'OR04-分公司销售、承保、保全'!A1" display="OR04"/>
  </hyperlink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00B0F0"/>
  </sheetPr>
  <dimension ref="A1:Q82"/>
  <sheetViews>
    <sheetView topLeftCell="A43" workbookViewId="0">
      <selection activeCell="O32" sqref="O32"/>
    </sheetView>
  </sheetViews>
  <sheetFormatPr defaultRowHeight="13.5"/>
  <cols>
    <col min="1" max="2" width="9" style="325"/>
    <col min="3" max="4" width="9" style="325" customWidth="1"/>
    <col min="5" max="5" width="9.875" style="325" customWidth="1"/>
    <col min="6" max="6" width="11.125" style="325" customWidth="1"/>
    <col min="7" max="7" width="9.125" style="320" bestFit="1" customWidth="1"/>
    <col min="8" max="8" width="14" style="712" customWidth="1"/>
    <col min="9" max="9" width="4.75" style="325" customWidth="1"/>
    <col min="10" max="10" width="9.75" style="325" customWidth="1"/>
    <col min="11" max="11" width="19.75" style="325" customWidth="1"/>
    <col min="12" max="12" width="9.75" style="325" customWidth="1"/>
    <col min="13" max="13" width="19.75" style="325" customWidth="1"/>
    <col min="14" max="14" width="15.375" style="325" bestFit="1" customWidth="1"/>
    <col min="15" max="16384" width="9" style="325"/>
  </cols>
  <sheetData>
    <row r="1" spans="1:17">
      <c r="A1" s="684" t="s">
        <v>2084</v>
      </c>
      <c r="B1" s="684" t="s">
        <v>2085</v>
      </c>
      <c r="C1" s="684" t="s">
        <v>2086</v>
      </c>
      <c r="D1" s="684" t="s">
        <v>2087</v>
      </c>
      <c r="E1" s="684" t="s">
        <v>2054</v>
      </c>
      <c r="F1" s="684" t="s">
        <v>2088</v>
      </c>
      <c r="G1" s="1197" t="s">
        <v>2089</v>
      </c>
      <c r="H1" s="706" t="s">
        <v>1967</v>
      </c>
    </row>
    <row r="2" spans="1:17">
      <c r="A2" s="678" t="s">
        <v>1867</v>
      </c>
      <c r="B2" s="678" t="s">
        <v>1373</v>
      </c>
      <c r="C2" s="678">
        <v>160190.38999999998</v>
      </c>
      <c r="D2" s="678">
        <v>309053</v>
      </c>
      <c r="E2" s="678">
        <v>12677665.329999998</v>
      </c>
      <c r="F2" s="713">
        <v>4946147</v>
      </c>
      <c r="G2" s="1167">
        <f>(C2+D2)/(E2+F2)</f>
        <v>2.6625532615394121E-2</v>
      </c>
      <c r="H2" s="702">
        <f>IF(G2&gt;10%,0,IF(G2&gt;5%,1.5,3))</f>
        <v>3</v>
      </c>
    </row>
    <row r="3" spans="1:17">
      <c r="A3" s="678" t="s">
        <v>1867</v>
      </c>
      <c r="B3" s="678" t="s">
        <v>1394</v>
      </c>
      <c r="C3" s="678">
        <v>606395.52</v>
      </c>
      <c r="D3" s="678">
        <v>184146</v>
      </c>
      <c r="E3" s="678">
        <v>5377820.0099999998</v>
      </c>
      <c r="F3" s="713">
        <v>3529776</v>
      </c>
      <c r="G3" s="1167">
        <f t="shared" ref="G3:G33" si="0">(C3+D3)/(E3+F3)</f>
        <v>8.8749143889384818E-2</v>
      </c>
      <c r="H3" s="702">
        <f t="shared" ref="H3:H33" si="1">IF(G3&gt;10%,0,IF(G3&gt;5%,1.5,3))</f>
        <v>1.5</v>
      </c>
    </row>
    <row r="4" spans="1:17">
      <c r="A4" s="678" t="s">
        <v>1867</v>
      </c>
      <c r="B4" s="678" t="s">
        <v>2081</v>
      </c>
      <c r="C4" s="678">
        <v>2661</v>
      </c>
      <c r="D4" s="678">
        <v>36255</v>
      </c>
      <c r="E4" s="678">
        <v>2575560.34</v>
      </c>
      <c r="F4" s="713">
        <v>1529509</v>
      </c>
      <c r="G4" s="1167">
        <f t="shared" si="0"/>
        <v>9.4799860311251156E-3</v>
      </c>
      <c r="H4" s="702">
        <f t="shared" si="1"/>
        <v>3</v>
      </c>
    </row>
    <row r="5" spans="1:17">
      <c r="A5" s="678" t="s">
        <v>1867</v>
      </c>
      <c r="B5" s="678" t="s">
        <v>1381</v>
      </c>
      <c r="C5" s="678">
        <v>95967.07</v>
      </c>
      <c r="D5" s="678">
        <v>241210</v>
      </c>
      <c r="E5" s="678">
        <v>12519570.369999999</v>
      </c>
      <c r="F5" s="713">
        <v>5202814</v>
      </c>
      <c r="G5" s="1167">
        <f t="shared" si="0"/>
        <v>1.9025491319935754E-2</v>
      </c>
      <c r="H5" s="702">
        <f t="shared" si="1"/>
        <v>3</v>
      </c>
    </row>
    <row r="6" spans="1:17">
      <c r="A6" s="678" t="s">
        <v>1867</v>
      </c>
      <c r="B6" s="678" t="s">
        <v>1385</v>
      </c>
      <c r="C6" s="678">
        <v>280683.65999999997</v>
      </c>
      <c r="D6" s="678">
        <v>241659</v>
      </c>
      <c r="E6" s="678">
        <v>20709900.760000002</v>
      </c>
      <c r="F6" s="713">
        <v>5530481</v>
      </c>
      <c r="G6" s="1167">
        <f t="shared" si="0"/>
        <v>1.9906061763028251E-2</v>
      </c>
      <c r="H6" s="702">
        <f t="shared" si="1"/>
        <v>3</v>
      </c>
    </row>
    <row r="7" spans="1:17">
      <c r="A7" s="678" t="s">
        <v>1867</v>
      </c>
      <c r="B7" s="678" t="s">
        <v>1388</v>
      </c>
      <c r="C7" s="678">
        <v>831540.71000000008</v>
      </c>
      <c r="D7" s="678">
        <v>405419</v>
      </c>
      <c r="E7" s="678">
        <v>36140664.080000013</v>
      </c>
      <c r="F7" s="713">
        <v>9308365</v>
      </c>
      <c r="G7" s="1167">
        <f t="shared" si="0"/>
        <v>2.7216416610851824E-2</v>
      </c>
      <c r="H7" s="702">
        <f t="shared" si="1"/>
        <v>3</v>
      </c>
    </row>
    <row r="8" spans="1:17" s="532" customFormat="1">
      <c r="A8" s="922" t="s">
        <v>1867</v>
      </c>
      <c r="B8" s="922" t="s">
        <v>2498</v>
      </c>
      <c r="C8" s="922">
        <v>0</v>
      </c>
      <c r="D8" s="678">
        <v>0</v>
      </c>
      <c r="E8" s="922">
        <v>19713</v>
      </c>
      <c r="F8" s="713">
        <v>33291</v>
      </c>
      <c r="G8" s="1167">
        <f t="shared" si="0"/>
        <v>0</v>
      </c>
      <c r="H8" s="702">
        <f t="shared" si="1"/>
        <v>3</v>
      </c>
    </row>
    <row r="9" spans="1:17">
      <c r="A9" s="678" t="s">
        <v>1867</v>
      </c>
      <c r="B9" s="678" t="s">
        <v>1391</v>
      </c>
      <c r="C9" s="678">
        <v>322730.55</v>
      </c>
      <c r="D9" s="678">
        <v>333587</v>
      </c>
      <c r="E9" s="678">
        <v>25868359.859999999</v>
      </c>
      <c r="F9" s="713">
        <v>10534930</v>
      </c>
      <c r="G9" s="1167">
        <f t="shared" si="0"/>
        <v>1.8029072441641134E-2</v>
      </c>
      <c r="H9" s="702">
        <f t="shared" si="1"/>
        <v>3</v>
      </c>
    </row>
    <row r="10" spans="1:17">
      <c r="A10" s="678" t="s">
        <v>1867</v>
      </c>
      <c r="B10" s="678" t="s">
        <v>1219</v>
      </c>
      <c r="C10" s="678">
        <v>115563.69</v>
      </c>
      <c r="D10" s="678">
        <v>134083</v>
      </c>
      <c r="E10" s="678">
        <v>8757967.2699999996</v>
      </c>
      <c r="F10" s="713">
        <v>5465800</v>
      </c>
      <c r="G10" s="1167">
        <f t="shared" si="0"/>
        <v>1.7551376176306067E-2</v>
      </c>
      <c r="H10" s="702">
        <f t="shared" si="1"/>
        <v>3</v>
      </c>
    </row>
    <row r="11" spans="1:17">
      <c r="A11" s="678" t="s">
        <v>1867</v>
      </c>
      <c r="B11" s="678" t="s">
        <v>1377</v>
      </c>
      <c r="C11" s="678">
        <v>335259.84999999998</v>
      </c>
      <c r="D11" s="678">
        <v>0</v>
      </c>
      <c r="E11" s="678">
        <v>1487600.29</v>
      </c>
      <c r="F11" s="713">
        <v>0</v>
      </c>
      <c r="G11" s="1167">
        <f t="shared" si="0"/>
        <v>0.2253695782756267</v>
      </c>
      <c r="H11" s="702">
        <f t="shared" si="1"/>
        <v>0</v>
      </c>
      <c r="J11" s="701"/>
      <c r="K11" s="701"/>
      <c r="L11" s="701"/>
      <c r="M11" s="701"/>
      <c r="N11" s="701"/>
      <c r="O11" s="701"/>
    </row>
    <row r="12" spans="1:17">
      <c r="A12" s="678" t="s">
        <v>1864</v>
      </c>
      <c r="B12" s="678" t="s">
        <v>1373</v>
      </c>
      <c r="C12" s="678">
        <v>339951.67</v>
      </c>
      <c r="D12" s="325">
        <v>1037347</v>
      </c>
      <c r="E12" s="678">
        <v>20999486.450000003</v>
      </c>
      <c r="F12" s="713">
        <v>5278377</v>
      </c>
      <c r="G12" s="1167">
        <f t="shared" si="0"/>
        <v>5.2412886329995745E-2</v>
      </c>
      <c r="H12" s="702">
        <f t="shared" si="1"/>
        <v>1.5</v>
      </c>
      <c r="J12" s="710"/>
      <c r="K12" s="710"/>
      <c r="L12" s="710"/>
      <c r="M12" s="714"/>
      <c r="N12" s="701"/>
      <c r="O12" s="701"/>
      <c r="Q12" s="641" t="s">
        <v>1995</v>
      </c>
    </row>
    <row r="13" spans="1:17">
      <c r="A13" s="678" t="s">
        <v>1864</v>
      </c>
      <c r="B13" s="678" t="s">
        <v>1375</v>
      </c>
      <c r="C13" s="678">
        <v>1380316.2000000002</v>
      </c>
      <c r="D13" s="678">
        <v>37863</v>
      </c>
      <c r="E13" s="678">
        <v>15130400.790000001</v>
      </c>
      <c r="F13" s="713">
        <v>4032874</v>
      </c>
      <c r="G13" s="1167">
        <f t="shared" si="0"/>
        <v>7.4005054748787033E-2</v>
      </c>
      <c r="H13" s="702">
        <f t="shared" si="1"/>
        <v>1.5</v>
      </c>
      <c r="J13" s="710"/>
      <c r="K13" s="710"/>
      <c r="L13" s="710"/>
      <c r="M13" s="714"/>
      <c r="N13" s="701"/>
      <c r="O13" s="701"/>
      <c r="Q13" s="641" t="s">
        <v>1996</v>
      </c>
    </row>
    <row r="14" spans="1:17">
      <c r="A14" s="678" t="s">
        <v>1864</v>
      </c>
      <c r="B14" s="678" t="s">
        <v>1394</v>
      </c>
      <c r="C14" s="678">
        <v>318149.01</v>
      </c>
      <c r="D14" s="678">
        <v>156263</v>
      </c>
      <c r="E14" s="678">
        <v>19362339.759999998</v>
      </c>
      <c r="F14" s="713">
        <v>7559046</v>
      </c>
      <c r="G14" s="1167">
        <f t="shared" si="0"/>
        <v>1.7622124441487148E-2</v>
      </c>
      <c r="H14" s="702">
        <f t="shared" si="1"/>
        <v>3</v>
      </c>
      <c r="J14" s="710"/>
      <c r="K14" s="710"/>
      <c r="L14" s="710"/>
      <c r="M14" s="714"/>
      <c r="N14" s="701"/>
      <c r="O14" s="701"/>
      <c r="Q14" s="641" t="s">
        <v>1997</v>
      </c>
    </row>
    <row r="15" spans="1:17">
      <c r="A15" s="678" t="s">
        <v>1864</v>
      </c>
      <c r="B15" s="678" t="s">
        <v>2081</v>
      </c>
      <c r="C15" s="678">
        <v>0</v>
      </c>
      <c r="D15" s="678">
        <v>0</v>
      </c>
      <c r="E15" s="678">
        <v>2066.81</v>
      </c>
      <c r="F15" s="713">
        <v>2077</v>
      </c>
      <c r="G15" s="1167">
        <f t="shared" si="0"/>
        <v>0</v>
      </c>
      <c r="H15" s="702">
        <f t="shared" si="1"/>
        <v>3</v>
      </c>
      <c r="J15" s="710"/>
      <c r="K15" s="710"/>
      <c r="L15" s="710"/>
      <c r="M15" s="714"/>
      <c r="N15" s="701"/>
      <c r="O15" s="701"/>
    </row>
    <row r="16" spans="1:17">
      <c r="A16" s="678" t="s">
        <v>1864</v>
      </c>
      <c r="B16" s="678" t="s">
        <v>1381</v>
      </c>
      <c r="C16" s="678">
        <v>1277658.8600000001</v>
      </c>
      <c r="D16" s="678">
        <v>1504106</v>
      </c>
      <c r="E16" s="678">
        <v>63822679.520000011</v>
      </c>
      <c r="F16" s="713">
        <v>17867051</v>
      </c>
      <c r="G16" s="1167">
        <f t="shared" si="0"/>
        <v>3.4052809848833368E-2</v>
      </c>
      <c r="H16" s="702">
        <f t="shared" si="1"/>
        <v>3</v>
      </c>
      <c r="J16" s="710"/>
      <c r="K16" s="710"/>
      <c r="L16" s="1193"/>
      <c r="M16" s="1200" t="s">
        <v>1958</v>
      </c>
      <c r="N16" s="1193"/>
      <c r="O16" s="701"/>
    </row>
    <row r="17" spans="1:15">
      <c r="A17" s="678" t="s">
        <v>1864</v>
      </c>
      <c r="B17" s="678" t="s">
        <v>1385</v>
      </c>
      <c r="C17" s="678">
        <v>2465357.64</v>
      </c>
      <c r="D17" s="678">
        <v>676857</v>
      </c>
      <c r="E17" s="678">
        <v>108709347.52000001</v>
      </c>
      <c r="F17" s="713">
        <v>33177308</v>
      </c>
      <c r="G17" s="1167">
        <f t="shared" si="0"/>
        <v>2.2145949021661736E-2</v>
      </c>
      <c r="H17" s="702">
        <f t="shared" si="1"/>
        <v>3</v>
      </c>
      <c r="J17" s="710"/>
      <c r="K17" s="710"/>
      <c r="L17" s="1200" t="s">
        <v>1955</v>
      </c>
      <c r="M17" s="1193" t="s">
        <v>2082</v>
      </c>
      <c r="N17" s="1193" t="s">
        <v>2083</v>
      </c>
      <c r="O17" s="701"/>
    </row>
    <row r="18" spans="1:15">
      <c r="A18" s="678" t="s">
        <v>1864</v>
      </c>
      <c r="B18" s="678" t="s">
        <v>1388</v>
      </c>
      <c r="C18" s="678">
        <v>3313395.09</v>
      </c>
      <c r="D18" s="678">
        <v>1306649</v>
      </c>
      <c r="E18" s="678">
        <v>97725024.810000002</v>
      </c>
      <c r="F18" s="713">
        <v>30656677</v>
      </c>
      <c r="G18" s="1167">
        <f t="shared" si="0"/>
        <v>3.5986780240983937E-2</v>
      </c>
      <c r="H18" s="702">
        <f t="shared" si="1"/>
        <v>3</v>
      </c>
      <c r="J18" s="710"/>
      <c r="K18" s="710"/>
      <c r="L18" s="1169" t="s">
        <v>1867</v>
      </c>
      <c r="M18" s="1167">
        <v>4.5195265912329377E-2</v>
      </c>
      <c r="N18" s="1166">
        <v>2.5499999999999998</v>
      </c>
      <c r="O18" s="701"/>
    </row>
    <row r="19" spans="1:15">
      <c r="A19" s="678" t="s">
        <v>1864</v>
      </c>
      <c r="B19" s="678" t="s">
        <v>1379</v>
      </c>
      <c r="C19" s="678">
        <v>327788.44</v>
      </c>
      <c r="D19" s="678">
        <v>228983</v>
      </c>
      <c r="E19" s="678">
        <v>21689581.289999995</v>
      </c>
      <c r="F19" s="713">
        <v>7701101</v>
      </c>
      <c r="G19" s="1167">
        <f t="shared" si="0"/>
        <v>1.894380792205828E-2</v>
      </c>
      <c r="H19" s="702">
        <f t="shared" si="1"/>
        <v>3</v>
      </c>
      <c r="J19" s="710"/>
      <c r="K19" s="710"/>
      <c r="L19" s="1169" t="s">
        <v>1864</v>
      </c>
      <c r="M19" s="1167">
        <v>3.1240058494749409E-2</v>
      </c>
      <c r="N19" s="1166">
        <v>2.7272727272727271</v>
      </c>
      <c r="O19" s="701"/>
    </row>
    <row r="20" spans="1:15">
      <c r="A20" s="678" t="s">
        <v>1864</v>
      </c>
      <c r="B20" s="678" t="s">
        <v>1391</v>
      </c>
      <c r="C20" s="678">
        <v>1338306.0900000001</v>
      </c>
      <c r="D20" s="678">
        <v>902827</v>
      </c>
      <c r="E20" s="678">
        <v>83764652.269999981</v>
      </c>
      <c r="F20" s="713">
        <v>25143122</v>
      </c>
      <c r="G20" s="1167">
        <f t="shared" si="0"/>
        <v>2.0578265463803057E-2</v>
      </c>
      <c r="H20" s="702">
        <f t="shared" si="1"/>
        <v>3</v>
      </c>
      <c r="J20" s="710"/>
      <c r="K20" s="710"/>
      <c r="L20" s="1169" t="s">
        <v>1865</v>
      </c>
      <c r="M20" s="1167">
        <v>8.859194294796157E-4</v>
      </c>
      <c r="N20" s="1166">
        <v>3</v>
      </c>
      <c r="O20" s="701"/>
    </row>
    <row r="21" spans="1:15">
      <c r="A21" s="678" t="s">
        <v>1864</v>
      </c>
      <c r="B21" s="678" t="s">
        <v>1219</v>
      </c>
      <c r="C21" s="678">
        <v>748757.96</v>
      </c>
      <c r="D21" s="678">
        <v>574318</v>
      </c>
      <c r="E21" s="678">
        <v>25290839.66</v>
      </c>
      <c r="F21" s="713">
        <v>8702534</v>
      </c>
      <c r="G21" s="1167">
        <f t="shared" si="0"/>
        <v>3.8921584342682156E-2</v>
      </c>
      <c r="H21" s="702">
        <f t="shared" si="1"/>
        <v>3</v>
      </c>
      <c r="J21" s="710"/>
      <c r="K21" s="710"/>
      <c r="L21" s="1169" t="s">
        <v>1863</v>
      </c>
      <c r="M21" s="1167">
        <v>1.8765793096264347E-2</v>
      </c>
      <c r="N21" s="1166">
        <v>2.85</v>
      </c>
      <c r="O21" s="701"/>
    </row>
    <row r="22" spans="1:15">
      <c r="A22" s="678" t="s">
        <v>1864</v>
      </c>
      <c r="B22" s="678" t="s">
        <v>1377</v>
      </c>
      <c r="C22" s="678">
        <v>2356309.2099999995</v>
      </c>
      <c r="D22" s="678">
        <v>1068879</v>
      </c>
      <c r="E22" s="678">
        <v>91717367.300000012</v>
      </c>
      <c r="F22" s="713">
        <v>26509244</v>
      </c>
      <c r="G22" s="1167">
        <f t="shared" si="0"/>
        <v>2.8971381081951041E-2</v>
      </c>
      <c r="H22" s="702">
        <f t="shared" si="1"/>
        <v>3</v>
      </c>
      <c r="J22" s="710"/>
      <c r="K22" s="710"/>
      <c r="L22" s="1169" t="s">
        <v>1866</v>
      </c>
      <c r="M22" s="1167">
        <v>0.43045474744530432</v>
      </c>
      <c r="N22" s="1166">
        <v>0.45</v>
      </c>
      <c r="O22" s="701"/>
    </row>
    <row r="23" spans="1:15">
      <c r="A23" s="678" t="s">
        <v>1865</v>
      </c>
      <c r="B23" s="678" t="s">
        <v>1373</v>
      </c>
      <c r="C23" s="922">
        <v>0</v>
      </c>
      <c r="D23" s="678">
        <v>0</v>
      </c>
      <c r="E23" s="678">
        <v>23301019.719999999</v>
      </c>
      <c r="F23" s="713">
        <v>49915</v>
      </c>
      <c r="G23" s="1167">
        <f t="shared" si="0"/>
        <v>0</v>
      </c>
      <c r="H23" s="702">
        <f t="shared" si="1"/>
        <v>3</v>
      </c>
      <c r="J23" s="710"/>
      <c r="K23" s="710"/>
      <c r="L23" s="710"/>
      <c r="M23" s="714"/>
      <c r="N23" s="710"/>
      <c r="O23" s="701"/>
    </row>
    <row r="24" spans="1:15">
      <c r="A24" s="678" t="s">
        <v>1865</v>
      </c>
      <c r="B24" s="678" t="s">
        <v>1375</v>
      </c>
      <c r="C24" s="922">
        <v>0</v>
      </c>
      <c r="D24" s="678">
        <v>0</v>
      </c>
      <c r="E24" s="678">
        <v>71717.489999999991</v>
      </c>
      <c r="F24" s="323">
        <v>0</v>
      </c>
      <c r="G24" s="1167">
        <f t="shared" si="0"/>
        <v>0</v>
      </c>
      <c r="H24" s="702">
        <f t="shared" si="1"/>
        <v>3</v>
      </c>
      <c r="J24" s="710"/>
      <c r="K24" s="710"/>
      <c r="L24" s="710"/>
      <c r="M24" s="714"/>
      <c r="N24" s="710"/>
      <c r="O24" s="701"/>
    </row>
    <row r="25" spans="1:15">
      <c r="A25" s="678" t="s">
        <v>1865</v>
      </c>
      <c r="B25" s="678" t="s">
        <v>1394</v>
      </c>
      <c r="C25" s="922">
        <v>0</v>
      </c>
      <c r="D25" s="678">
        <v>0</v>
      </c>
      <c r="E25" s="678">
        <v>113395.71</v>
      </c>
      <c r="F25" s="323">
        <v>0</v>
      </c>
      <c r="G25" s="1167">
        <f t="shared" si="0"/>
        <v>0</v>
      </c>
      <c r="H25" s="702">
        <f t="shared" si="1"/>
        <v>3</v>
      </c>
      <c r="J25" s="710"/>
      <c r="K25" s="710"/>
      <c r="L25" s="710"/>
      <c r="M25" s="714"/>
      <c r="N25" s="710"/>
      <c r="O25" s="701"/>
    </row>
    <row r="26" spans="1:15">
      <c r="A26" s="678" t="s">
        <v>1865</v>
      </c>
      <c r="B26" s="678" t="s">
        <v>2081</v>
      </c>
      <c r="C26" s="922"/>
      <c r="D26" s="678"/>
      <c r="E26" s="1827"/>
      <c r="F26" s="323"/>
      <c r="G26" s="1167"/>
      <c r="H26" s="702"/>
      <c r="J26" s="710"/>
      <c r="K26" s="710"/>
      <c r="L26" s="710"/>
      <c r="M26" s="714"/>
      <c r="N26" s="710"/>
      <c r="O26" s="701"/>
    </row>
    <row r="27" spans="1:15">
      <c r="A27" s="678" t="s">
        <v>1865</v>
      </c>
      <c r="B27" s="678" t="s">
        <v>1381</v>
      </c>
      <c r="C27" s="922">
        <v>0</v>
      </c>
      <c r="D27" s="678">
        <v>0</v>
      </c>
      <c r="E27" s="678">
        <v>852654.88000000012</v>
      </c>
      <c r="F27" s="713">
        <v>0</v>
      </c>
      <c r="G27" s="1167">
        <f t="shared" si="0"/>
        <v>0</v>
      </c>
      <c r="H27" s="702">
        <f t="shared" si="1"/>
        <v>3</v>
      </c>
      <c r="J27" s="710"/>
      <c r="K27" s="710"/>
      <c r="L27" s="710"/>
      <c r="M27" s="714"/>
      <c r="N27" s="710"/>
      <c r="O27" s="701"/>
    </row>
    <row r="28" spans="1:15">
      <c r="A28" s="678" t="s">
        <v>1865</v>
      </c>
      <c r="B28" s="678" t="s">
        <v>1385</v>
      </c>
      <c r="C28" s="713">
        <v>0</v>
      </c>
      <c r="D28" s="713">
        <v>0</v>
      </c>
      <c r="E28" s="678">
        <v>4672438.5699999994</v>
      </c>
      <c r="F28" s="713">
        <v>24800</v>
      </c>
      <c r="G28" s="1167">
        <f t="shared" si="0"/>
        <v>0</v>
      </c>
      <c r="H28" s="702">
        <f t="shared" si="1"/>
        <v>3</v>
      </c>
      <c r="J28" s="710"/>
      <c r="K28" s="710"/>
      <c r="L28" s="710"/>
      <c r="M28" s="714"/>
      <c r="N28" s="710"/>
      <c r="O28" s="701"/>
    </row>
    <row r="29" spans="1:15">
      <c r="A29" s="678" t="s">
        <v>1865</v>
      </c>
      <c r="B29" s="678" t="s">
        <v>1388</v>
      </c>
      <c r="C29" s="922">
        <v>0</v>
      </c>
      <c r="D29" s="678">
        <v>0</v>
      </c>
      <c r="E29" s="678">
        <v>125765.70000000001</v>
      </c>
      <c r="F29" s="713">
        <v>0</v>
      </c>
      <c r="G29" s="1167">
        <f t="shared" si="0"/>
        <v>0</v>
      </c>
      <c r="H29" s="702">
        <f t="shared" si="1"/>
        <v>3</v>
      </c>
      <c r="J29" s="710"/>
      <c r="K29" s="710"/>
      <c r="L29" s="710"/>
      <c r="M29" s="714"/>
      <c r="N29" s="710"/>
      <c r="O29" s="701"/>
    </row>
    <row r="30" spans="1:15">
      <c r="A30" s="678" t="s">
        <v>1865</v>
      </c>
      <c r="B30" s="678" t="s">
        <v>1379</v>
      </c>
      <c r="C30" s="678">
        <v>0</v>
      </c>
      <c r="D30" s="678">
        <v>0</v>
      </c>
      <c r="E30" s="678">
        <v>906714.75</v>
      </c>
      <c r="F30" s="713">
        <v>0</v>
      </c>
      <c r="G30" s="1167">
        <f t="shared" si="0"/>
        <v>0</v>
      </c>
      <c r="H30" s="702">
        <f t="shared" si="1"/>
        <v>3</v>
      </c>
      <c r="J30" s="710"/>
      <c r="K30" s="710"/>
      <c r="L30" s="710"/>
      <c r="M30" s="714"/>
      <c r="N30" s="710"/>
      <c r="O30" s="701"/>
    </row>
    <row r="31" spans="1:15">
      <c r="A31" s="678" t="s">
        <v>1865</v>
      </c>
      <c r="B31" s="678" t="s">
        <v>1391</v>
      </c>
      <c r="C31" s="678">
        <v>589.5</v>
      </c>
      <c r="D31" s="713">
        <v>0</v>
      </c>
      <c r="E31" s="678">
        <v>2823049.17</v>
      </c>
      <c r="F31" s="713">
        <v>23523</v>
      </c>
      <c r="G31" s="1167">
        <f t="shared" si="0"/>
        <v>2.0709118363930327E-4</v>
      </c>
      <c r="H31" s="702">
        <f t="shared" si="1"/>
        <v>3</v>
      </c>
      <c r="J31" s="710"/>
      <c r="K31" s="710"/>
      <c r="L31" s="710"/>
      <c r="M31" s="714"/>
      <c r="N31" s="710"/>
      <c r="O31" s="701"/>
    </row>
    <row r="32" spans="1:15">
      <c r="A32" s="678" t="s">
        <v>1865</v>
      </c>
      <c r="B32" s="678" t="s">
        <v>1219</v>
      </c>
      <c r="C32" s="678">
        <v>0</v>
      </c>
      <c r="D32" s="713">
        <v>0</v>
      </c>
      <c r="E32" s="678">
        <v>1719528.75</v>
      </c>
      <c r="F32" s="713">
        <v>34351</v>
      </c>
      <c r="G32" s="1167">
        <f t="shared" si="0"/>
        <v>0</v>
      </c>
      <c r="H32" s="702">
        <f t="shared" si="1"/>
        <v>3</v>
      </c>
      <c r="J32" s="710"/>
      <c r="K32" s="710"/>
      <c r="L32" s="710"/>
      <c r="M32" s="714"/>
      <c r="N32" s="710"/>
      <c r="O32" s="701"/>
    </row>
    <row r="33" spans="1:15">
      <c r="A33" s="678" t="s">
        <v>1865</v>
      </c>
      <c r="B33" s="678" t="s">
        <v>1377</v>
      </c>
      <c r="C33" s="678">
        <v>1963.11</v>
      </c>
      <c r="D33" s="713">
        <v>750670</v>
      </c>
      <c r="E33" s="678">
        <v>86361876.219999999</v>
      </c>
      <c r="F33" s="713">
        <v>626582</v>
      </c>
      <c r="G33" s="1167">
        <f t="shared" si="0"/>
        <v>8.6521031111568541E-3</v>
      </c>
      <c r="H33" s="702">
        <f t="shared" si="1"/>
        <v>3</v>
      </c>
      <c r="J33" s="710"/>
      <c r="K33" s="710"/>
      <c r="L33" s="710"/>
      <c r="M33" s="714"/>
      <c r="N33" s="710"/>
      <c r="O33" s="701"/>
    </row>
    <row r="34" spans="1:15">
      <c r="A34" s="678" t="s">
        <v>2234</v>
      </c>
      <c r="B34" s="678" t="s">
        <v>1373</v>
      </c>
      <c r="C34" s="922">
        <v>0</v>
      </c>
      <c r="D34" s="678">
        <v>0</v>
      </c>
      <c r="E34" s="678">
        <v>432.06</v>
      </c>
      <c r="F34" s="323">
        <v>82167</v>
      </c>
      <c r="G34" s="1167">
        <f>(C34+D34)/(E34+F34)</f>
        <v>0</v>
      </c>
      <c r="H34" s="702">
        <f>IF(G34&gt;10%,0,IF(G34&gt;5%,1.5,3))</f>
        <v>3</v>
      </c>
      <c r="J34" s="710"/>
      <c r="K34" s="710"/>
      <c r="L34" s="710"/>
      <c r="M34" s="714"/>
      <c r="N34" s="710"/>
      <c r="O34" s="701"/>
    </row>
    <row r="35" spans="1:15">
      <c r="A35" s="678" t="s">
        <v>2234</v>
      </c>
      <c r="B35" s="678" t="s">
        <v>1375</v>
      </c>
      <c r="C35" s="922">
        <v>0</v>
      </c>
      <c r="D35" s="678">
        <v>0</v>
      </c>
      <c r="E35" s="678">
        <v>329.21</v>
      </c>
      <c r="F35" s="323">
        <v>0</v>
      </c>
      <c r="G35" s="1167">
        <f t="shared" ref="G35:G63" si="2">(C35+D35)/(E35+F35)</f>
        <v>0</v>
      </c>
      <c r="H35" s="702">
        <f>IF(G35&gt;10%,0,IF(G35&gt;5%,1.5,3))</f>
        <v>3</v>
      </c>
      <c r="J35" s="710"/>
      <c r="K35" s="710"/>
      <c r="L35" s="710"/>
      <c r="M35" s="714"/>
      <c r="N35" s="710"/>
      <c r="O35" s="701"/>
    </row>
    <row r="36" spans="1:15">
      <c r="A36" s="678" t="s">
        <v>2234</v>
      </c>
      <c r="B36" s="678" t="s">
        <v>1394</v>
      </c>
      <c r="C36" s="922">
        <v>0</v>
      </c>
      <c r="D36" s="678">
        <v>0</v>
      </c>
      <c r="E36" s="922">
        <v>303.75</v>
      </c>
      <c r="F36" s="323">
        <v>0</v>
      </c>
      <c r="G36" s="1167">
        <f t="shared" si="2"/>
        <v>0</v>
      </c>
      <c r="H36" s="702">
        <f t="shared" ref="H36:H63" si="3">IF(G36&gt;10%,0,IF(G36&gt;5%,1.5,3))</f>
        <v>3</v>
      </c>
      <c r="J36" s="710"/>
      <c r="K36" s="710"/>
      <c r="L36" s="710"/>
      <c r="M36" s="714"/>
      <c r="N36" s="710"/>
      <c r="O36" s="701"/>
    </row>
    <row r="37" spans="1:15">
      <c r="A37" s="678" t="s">
        <v>2234</v>
      </c>
      <c r="B37" s="678" t="s">
        <v>1381</v>
      </c>
      <c r="C37" s="922">
        <v>0</v>
      </c>
      <c r="D37" s="678">
        <v>0</v>
      </c>
      <c r="E37" s="922">
        <v>351.87</v>
      </c>
      <c r="F37" s="922">
        <v>0</v>
      </c>
      <c r="G37" s="1167">
        <f t="shared" si="2"/>
        <v>0</v>
      </c>
      <c r="H37" s="702">
        <f t="shared" si="3"/>
        <v>3</v>
      </c>
      <c r="J37" s="710"/>
      <c r="K37" s="710"/>
      <c r="L37" s="710"/>
      <c r="M37" s="714"/>
      <c r="N37" s="710"/>
      <c r="O37" s="701"/>
    </row>
    <row r="38" spans="1:15">
      <c r="A38" s="678" t="s">
        <v>2234</v>
      </c>
      <c r="B38" s="678" t="s">
        <v>1385</v>
      </c>
      <c r="C38" s="922">
        <v>0</v>
      </c>
      <c r="D38" s="678">
        <v>0</v>
      </c>
      <c r="E38" s="922">
        <v>7781.95</v>
      </c>
      <c r="F38" s="323">
        <v>0</v>
      </c>
      <c r="G38" s="1167">
        <f t="shared" si="2"/>
        <v>0</v>
      </c>
      <c r="H38" s="702">
        <f t="shared" si="3"/>
        <v>3</v>
      </c>
      <c r="J38" s="710"/>
      <c r="K38" s="710"/>
      <c r="L38" s="710"/>
      <c r="M38" s="714"/>
      <c r="N38" s="710"/>
      <c r="O38" s="701"/>
    </row>
    <row r="39" spans="1:15">
      <c r="A39" s="678" t="s">
        <v>2234</v>
      </c>
      <c r="B39" s="678" t="s">
        <v>1388</v>
      </c>
      <c r="C39" s="922">
        <v>0</v>
      </c>
      <c r="D39" s="678">
        <v>0</v>
      </c>
      <c r="E39" s="922">
        <v>2115.08</v>
      </c>
      <c r="F39" s="323">
        <v>0</v>
      </c>
      <c r="G39" s="1167">
        <f t="shared" si="2"/>
        <v>0</v>
      </c>
      <c r="H39" s="702">
        <f t="shared" si="3"/>
        <v>3</v>
      </c>
      <c r="J39" s="710"/>
      <c r="K39" s="710"/>
      <c r="L39" s="710"/>
      <c r="M39" s="714"/>
      <c r="N39" s="710"/>
      <c r="O39" s="701"/>
    </row>
    <row r="40" spans="1:15">
      <c r="A40" s="678" t="s">
        <v>2234</v>
      </c>
      <c r="B40" s="678" t="s">
        <v>1379</v>
      </c>
      <c r="C40" s="922">
        <v>0</v>
      </c>
      <c r="D40" s="678">
        <v>0</v>
      </c>
      <c r="E40" s="922">
        <v>2208.4299999999998</v>
      </c>
      <c r="F40" s="323">
        <v>0</v>
      </c>
      <c r="G40" s="1167">
        <f t="shared" si="2"/>
        <v>0</v>
      </c>
      <c r="H40" s="702">
        <f t="shared" si="3"/>
        <v>3</v>
      </c>
      <c r="J40" s="710"/>
      <c r="K40" s="710"/>
      <c r="L40" s="710"/>
      <c r="M40" s="714"/>
      <c r="N40" s="710"/>
      <c r="O40" s="701"/>
    </row>
    <row r="41" spans="1:15">
      <c r="A41" s="678" t="s">
        <v>2234</v>
      </c>
      <c r="B41" s="678" t="s">
        <v>1391</v>
      </c>
      <c r="C41" s="922">
        <v>0</v>
      </c>
      <c r="D41" s="678">
        <v>0</v>
      </c>
      <c r="E41" s="922">
        <v>765.06999999999994</v>
      </c>
      <c r="F41" s="1826">
        <v>0</v>
      </c>
      <c r="G41" s="1167">
        <f t="shared" si="2"/>
        <v>0</v>
      </c>
      <c r="H41" s="702">
        <f t="shared" si="3"/>
        <v>3</v>
      </c>
      <c r="J41" s="710"/>
      <c r="K41" s="710"/>
      <c r="L41" s="710"/>
      <c r="M41" s="714"/>
      <c r="N41" s="710"/>
      <c r="O41" s="715"/>
    </row>
    <row r="42" spans="1:15">
      <c r="A42" s="678" t="s">
        <v>2234</v>
      </c>
      <c r="B42" s="678" t="s">
        <v>1219</v>
      </c>
      <c r="C42" s="922">
        <v>0</v>
      </c>
      <c r="D42" s="678">
        <v>0</v>
      </c>
      <c r="E42" s="922">
        <v>1276.3500000000001</v>
      </c>
      <c r="F42" s="1826">
        <v>0</v>
      </c>
      <c r="G42" s="1167">
        <f t="shared" si="2"/>
        <v>0</v>
      </c>
      <c r="H42" s="702">
        <f t="shared" si="3"/>
        <v>3</v>
      </c>
      <c r="J42" s="710"/>
      <c r="K42" s="710"/>
      <c r="L42" s="710"/>
      <c r="M42" s="714"/>
      <c r="N42" s="710"/>
      <c r="O42" s="715"/>
    </row>
    <row r="43" spans="1:15">
      <c r="A43" s="678" t="s">
        <v>2234</v>
      </c>
      <c r="B43" s="678" t="s">
        <v>1377</v>
      </c>
      <c r="C43" s="922">
        <v>0</v>
      </c>
      <c r="D43" s="678">
        <v>0</v>
      </c>
      <c r="E43" s="922">
        <v>8346.9500000000007</v>
      </c>
      <c r="F43" s="1826">
        <v>0</v>
      </c>
      <c r="G43" s="1167">
        <f t="shared" si="2"/>
        <v>0</v>
      </c>
      <c r="H43" s="702">
        <f t="shared" si="3"/>
        <v>3</v>
      </c>
      <c r="J43" s="710"/>
      <c r="K43" s="710"/>
      <c r="L43" s="710"/>
      <c r="M43" s="714"/>
      <c r="N43" s="710"/>
      <c r="O43" s="715"/>
    </row>
    <row r="44" spans="1:15">
      <c r="A44" s="678" t="s">
        <v>1863</v>
      </c>
      <c r="B44" s="678" t="s">
        <v>1373</v>
      </c>
      <c r="C44" s="678">
        <v>31422.35</v>
      </c>
      <c r="D44" s="713">
        <v>3587</v>
      </c>
      <c r="E44" s="678">
        <v>629115.77</v>
      </c>
      <c r="F44" s="713">
        <v>393035</v>
      </c>
      <c r="G44" s="1167">
        <f t="shared" si="2"/>
        <v>3.425067125860503E-2</v>
      </c>
      <c r="H44" s="702">
        <f t="shared" si="3"/>
        <v>3</v>
      </c>
      <c r="J44" s="710"/>
      <c r="K44" s="710"/>
      <c r="L44" s="710"/>
      <c r="M44" s="714"/>
      <c r="N44" s="710"/>
      <c r="O44" s="715"/>
    </row>
    <row r="45" spans="1:15">
      <c r="A45" s="678" t="s">
        <v>1863</v>
      </c>
      <c r="B45" s="678" t="s">
        <v>1375</v>
      </c>
      <c r="C45" s="678">
        <v>839.7</v>
      </c>
      <c r="D45" s="713">
        <v>0</v>
      </c>
      <c r="E45" s="678">
        <v>253311</v>
      </c>
      <c r="F45" s="713">
        <v>65896</v>
      </c>
      <c r="G45" s="1167">
        <f t="shared" si="2"/>
        <v>2.6305814095555552E-3</v>
      </c>
      <c r="H45" s="702">
        <f t="shared" si="3"/>
        <v>3</v>
      </c>
      <c r="J45" s="710"/>
      <c r="K45" s="710"/>
      <c r="L45" s="710"/>
      <c r="M45" s="714"/>
      <c r="N45" s="710"/>
      <c r="O45" s="715"/>
    </row>
    <row r="46" spans="1:15">
      <c r="A46" s="678" t="s">
        <v>1863</v>
      </c>
      <c r="B46" s="678" t="s">
        <v>1394</v>
      </c>
      <c r="C46" s="678">
        <v>0</v>
      </c>
      <c r="D46" s="713">
        <v>18236</v>
      </c>
      <c r="E46" s="678">
        <v>220408.25</v>
      </c>
      <c r="F46" s="713">
        <v>185123</v>
      </c>
      <c r="G46" s="1167">
        <f t="shared" si="2"/>
        <v>4.4968174462510599E-2</v>
      </c>
      <c r="H46" s="702">
        <f t="shared" si="3"/>
        <v>3</v>
      </c>
      <c r="J46" s="710"/>
      <c r="K46" s="710"/>
      <c r="L46" s="710"/>
      <c r="M46" s="714"/>
      <c r="N46" s="710"/>
      <c r="O46" s="715"/>
    </row>
    <row r="47" spans="1:15">
      <c r="A47" s="678" t="s">
        <v>1863</v>
      </c>
      <c r="B47" s="678" t="s">
        <v>1381</v>
      </c>
      <c r="C47" s="678">
        <v>0</v>
      </c>
      <c r="D47" s="713">
        <v>0</v>
      </c>
      <c r="E47" s="678">
        <v>564306.84000000008</v>
      </c>
      <c r="F47" s="713">
        <v>289615</v>
      </c>
      <c r="G47" s="1167">
        <f t="shared" si="2"/>
        <v>0</v>
      </c>
      <c r="H47" s="702">
        <f t="shared" si="3"/>
        <v>3</v>
      </c>
      <c r="J47" s="710"/>
      <c r="K47" s="710"/>
      <c r="L47" s="710"/>
      <c r="M47" s="714"/>
      <c r="N47" s="710"/>
      <c r="O47" s="715"/>
    </row>
    <row r="48" spans="1:15">
      <c r="A48" s="678" t="s">
        <v>1863</v>
      </c>
      <c r="B48" s="678" t="s">
        <v>1385</v>
      </c>
      <c r="C48" s="678">
        <v>60406.36</v>
      </c>
      <c r="D48" s="713">
        <v>20726</v>
      </c>
      <c r="E48" s="678">
        <v>1011342.98</v>
      </c>
      <c r="F48" s="713">
        <v>469680</v>
      </c>
      <c r="G48" s="1167">
        <f t="shared" si="2"/>
        <v>5.4781297181492758E-2</v>
      </c>
      <c r="H48" s="702">
        <f t="shared" si="3"/>
        <v>1.5</v>
      </c>
      <c r="J48" s="710"/>
      <c r="K48" s="710"/>
      <c r="L48" s="710"/>
      <c r="M48" s="714"/>
      <c r="N48" s="710"/>
      <c r="O48" s="715"/>
    </row>
    <row r="49" spans="1:15">
      <c r="A49" s="678" t="s">
        <v>1863</v>
      </c>
      <c r="B49" s="678" t="s">
        <v>1388</v>
      </c>
      <c r="C49" s="678">
        <v>7982.89</v>
      </c>
      <c r="D49" s="713">
        <v>9038</v>
      </c>
      <c r="E49" s="678">
        <v>1552250.56</v>
      </c>
      <c r="F49" s="713">
        <v>704286</v>
      </c>
      <c r="G49" s="1167">
        <f t="shared" si="2"/>
        <v>7.5429267585188156E-3</v>
      </c>
      <c r="H49" s="702">
        <f t="shared" si="3"/>
        <v>3</v>
      </c>
      <c r="J49" s="710"/>
      <c r="K49" s="710"/>
      <c r="L49" s="710"/>
      <c r="M49" s="714"/>
      <c r="N49" s="710"/>
      <c r="O49" s="715"/>
    </row>
    <row r="50" spans="1:15">
      <c r="A50" s="678" t="s">
        <v>1863</v>
      </c>
      <c r="B50" s="678" t="s">
        <v>1379</v>
      </c>
      <c r="C50" s="678">
        <v>0</v>
      </c>
      <c r="D50" s="713">
        <v>4784</v>
      </c>
      <c r="E50" s="678">
        <v>277071.27</v>
      </c>
      <c r="F50" s="713">
        <v>82060</v>
      </c>
      <c r="G50" s="1167">
        <f t="shared" si="2"/>
        <v>1.3321034395027756E-2</v>
      </c>
      <c r="H50" s="702">
        <f t="shared" si="3"/>
        <v>3</v>
      </c>
      <c r="J50" s="710"/>
      <c r="K50" s="710"/>
      <c r="L50" s="710"/>
      <c r="M50" s="714"/>
      <c r="N50" s="710"/>
      <c r="O50" s="715"/>
    </row>
    <row r="51" spans="1:15">
      <c r="A51" s="678" t="s">
        <v>1863</v>
      </c>
      <c r="B51" s="678" t="s">
        <v>1391</v>
      </c>
      <c r="C51" s="678">
        <v>2402.25</v>
      </c>
      <c r="D51" s="713">
        <v>10703</v>
      </c>
      <c r="E51" s="678">
        <v>1732727.8299999998</v>
      </c>
      <c r="F51" s="713">
        <v>642127</v>
      </c>
      <c r="G51" s="1167">
        <f t="shared" si="2"/>
        <v>5.5183373040111252E-3</v>
      </c>
      <c r="H51" s="702">
        <f t="shared" si="3"/>
        <v>3</v>
      </c>
      <c r="J51" s="710"/>
      <c r="K51" s="710"/>
      <c r="L51" s="710"/>
      <c r="M51" s="714"/>
      <c r="N51" s="710"/>
      <c r="O51" s="701"/>
    </row>
    <row r="52" spans="1:15">
      <c r="A52" s="678" t="s">
        <v>1863</v>
      </c>
      <c r="B52" s="678" t="s">
        <v>1219</v>
      </c>
      <c r="C52" s="678">
        <v>4469.76</v>
      </c>
      <c r="D52" s="713">
        <v>2221</v>
      </c>
      <c r="E52" s="678">
        <v>418718.3</v>
      </c>
      <c r="F52" s="713">
        <v>215931</v>
      </c>
      <c r="G52" s="1167">
        <f t="shared" si="2"/>
        <v>1.0542452343365068E-2</v>
      </c>
      <c r="H52" s="702">
        <f t="shared" si="3"/>
        <v>3</v>
      </c>
      <c r="J52" s="710"/>
      <c r="K52" s="710"/>
      <c r="L52" s="710"/>
      <c r="M52" s="714"/>
      <c r="N52" s="710"/>
      <c r="O52" s="701"/>
    </row>
    <row r="53" spans="1:15">
      <c r="A53" s="678" t="s">
        <v>1863</v>
      </c>
      <c r="B53" s="678" t="s">
        <v>1377</v>
      </c>
      <c r="C53" s="678">
        <v>0</v>
      </c>
      <c r="D53" s="713">
        <v>15105</v>
      </c>
      <c r="E53" s="678">
        <v>767962.04</v>
      </c>
      <c r="F53" s="713">
        <v>303128</v>
      </c>
      <c r="G53" s="1167">
        <f t="shared" si="2"/>
        <v>1.4102455849556774E-2</v>
      </c>
      <c r="H53" s="702">
        <f t="shared" si="3"/>
        <v>3</v>
      </c>
      <c r="J53" s="710"/>
      <c r="K53" s="710"/>
      <c r="L53" s="710"/>
      <c r="M53" s="714"/>
      <c r="N53" s="710"/>
      <c r="O53" s="701"/>
    </row>
    <row r="54" spans="1:15">
      <c r="A54" s="678" t="s">
        <v>1866</v>
      </c>
      <c r="B54" s="678" t="s">
        <v>1373</v>
      </c>
      <c r="C54" s="678">
        <v>647841.68000000005</v>
      </c>
      <c r="D54" s="713">
        <v>10000</v>
      </c>
      <c r="E54" s="678">
        <v>2036935</v>
      </c>
      <c r="F54" s="713">
        <v>660000</v>
      </c>
      <c r="G54" s="1167">
        <f t="shared" si="2"/>
        <v>0.2439219632657072</v>
      </c>
      <c r="H54" s="702">
        <f t="shared" si="3"/>
        <v>0</v>
      </c>
      <c r="J54" s="710"/>
      <c r="K54" s="710"/>
      <c r="L54" s="710"/>
      <c r="M54" s="714"/>
      <c r="N54" s="710"/>
      <c r="O54" s="701"/>
    </row>
    <row r="55" spans="1:15">
      <c r="A55" s="678" t="s">
        <v>1866</v>
      </c>
      <c r="B55" s="678" t="s">
        <v>1375</v>
      </c>
      <c r="C55" s="678">
        <v>900839.14</v>
      </c>
      <c r="D55" s="713">
        <v>7410000</v>
      </c>
      <c r="E55" s="678">
        <v>67327854</v>
      </c>
      <c r="F55" s="713">
        <v>36204875</v>
      </c>
      <c r="G55" s="1167">
        <f t="shared" si="2"/>
        <v>8.0272578732083835E-2</v>
      </c>
      <c r="H55" s="702">
        <f t="shared" si="3"/>
        <v>1.5</v>
      </c>
      <c r="J55" s="710"/>
      <c r="K55" s="710"/>
      <c r="L55" s="710"/>
      <c r="M55" s="714"/>
      <c r="N55" s="710"/>
      <c r="O55" s="701"/>
    </row>
    <row r="56" spans="1:15">
      <c r="A56" s="678" t="s">
        <v>1866</v>
      </c>
      <c r="B56" s="678" t="s">
        <v>1394</v>
      </c>
      <c r="C56" s="678">
        <v>530292.04</v>
      </c>
      <c r="D56" s="713">
        <v>0</v>
      </c>
      <c r="E56" s="678">
        <v>560245</v>
      </c>
      <c r="F56" s="713">
        <v>0</v>
      </c>
      <c r="G56" s="1167">
        <f t="shared" si="2"/>
        <v>0.94653596194522049</v>
      </c>
      <c r="H56" s="702">
        <f t="shared" si="3"/>
        <v>0</v>
      </c>
      <c r="J56" s="710"/>
      <c r="K56" s="710"/>
      <c r="L56" s="710"/>
      <c r="M56" s="714"/>
      <c r="N56" s="710"/>
      <c r="O56" s="701"/>
    </row>
    <row r="57" spans="1:15">
      <c r="A57" s="678" t="s">
        <v>1866</v>
      </c>
      <c r="B57" s="678" t="s">
        <v>1381</v>
      </c>
      <c r="C57" s="678">
        <v>1596127.18</v>
      </c>
      <c r="D57" s="713">
        <v>2608478</v>
      </c>
      <c r="E57" s="678">
        <v>30242261</v>
      </c>
      <c r="F57" s="713">
        <v>14594185</v>
      </c>
      <c r="G57" s="1167">
        <f t="shared" si="2"/>
        <v>9.3776504498148658E-2</v>
      </c>
      <c r="H57" s="702">
        <f t="shared" si="3"/>
        <v>1.5</v>
      </c>
      <c r="J57" s="710"/>
      <c r="K57" s="710"/>
      <c r="L57" s="710"/>
      <c r="M57" s="714"/>
      <c r="N57" s="710"/>
      <c r="O57" s="701"/>
    </row>
    <row r="58" spans="1:15">
      <c r="A58" s="678" t="s">
        <v>1866</v>
      </c>
      <c r="B58" s="678" t="s">
        <v>1385</v>
      </c>
      <c r="C58" s="678">
        <v>2319624.59</v>
      </c>
      <c r="D58" s="713">
        <v>0</v>
      </c>
      <c r="E58" s="678">
        <v>5699100</v>
      </c>
      <c r="F58" s="713">
        <v>0</v>
      </c>
      <c r="G58" s="1167">
        <f t="shared" si="2"/>
        <v>0.40701594813216119</v>
      </c>
      <c r="H58" s="702">
        <f t="shared" si="3"/>
        <v>0</v>
      </c>
      <c r="J58" s="710"/>
      <c r="K58" s="710"/>
      <c r="L58" s="710"/>
      <c r="M58" s="714"/>
      <c r="N58" s="710"/>
      <c r="O58" s="701"/>
    </row>
    <row r="59" spans="1:15">
      <c r="A59" s="678" t="s">
        <v>1866</v>
      </c>
      <c r="B59" s="678" t="s">
        <v>1388</v>
      </c>
      <c r="C59" s="678">
        <v>2497871.85</v>
      </c>
      <c r="D59" s="713">
        <v>0</v>
      </c>
      <c r="E59" s="678">
        <v>1610678</v>
      </c>
      <c r="F59" s="713">
        <v>0</v>
      </c>
      <c r="G59" s="1167">
        <f t="shared" si="2"/>
        <v>1.5508201204710066</v>
      </c>
      <c r="H59" s="702">
        <f t="shared" si="3"/>
        <v>0</v>
      </c>
      <c r="J59" s="710"/>
      <c r="K59" s="710"/>
      <c r="L59" s="710"/>
      <c r="M59" s="714"/>
      <c r="N59" s="710"/>
      <c r="O59" s="701"/>
    </row>
    <row r="60" spans="1:15">
      <c r="A60" s="678" t="s">
        <v>1866</v>
      </c>
      <c r="B60" s="678" t="s">
        <v>1379</v>
      </c>
      <c r="C60" s="678">
        <v>337317.63</v>
      </c>
      <c r="D60" s="713">
        <v>0</v>
      </c>
      <c r="E60" s="678">
        <v>1036592</v>
      </c>
      <c r="F60" s="713">
        <v>0</v>
      </c>
      <c r="G60" s="1167">
        <f t="shared" si="2"/>
        <v>0.32541021925694968</v>
      </c>
      <c r="H60" s="702">
        <f t="shared" si="3"/>
        <v>0</v>
      </c>
      <c r="J60" s="710"/>
      <c r="K60" s="710"/>
      <c r="L60" s="710"/>
      <c r="M60" s="714"/>
      <c r="N60" s="710"/>
      <c r="O60" s="701"/>
    </row>
    <row r="61" spans="1:15">
      <c r="A61" s="678" t="s">
        <v>1866</v>
      </c>
      <c r="B61" s="678" t="s">
        <v>1391</v>
      </c>
      <c r="C61" s="678">
        <v>2740305.45</v>
      </c>
      <c r="D61" s="713">
        <v>1824714</v>
      </c>
      <c r="E61" s="678">
        <v>21039712</v>
      </c>
      <c r="F61" s="713">
        <v>8695672</v>
      </c>
      <c r="G61" s="1167">
        <f t="shared" si="2"/>
        <v>0.15352145612109802</v>
      </c>
      <c r="H61" s="702">
        <f t="shared" si="3"/>
        <v>0</v>
      </c>
      <c r="J61" s="710"/>
      <c r="K61" s="710"/>
      <c r="L61" s="710"/>
      <c r="M61" s="714"/>
      <c r="N61" s="710"/>
      <c r="O61" s="701"/>
    </row>
    <row r="62" spans="1:15">
      <c r="A62" s="678" t="s">
        <v>1866</v>
      </c>
      <c r="B62" s="678" t="s">
        <v>1219</v>
      </c>
      <c r="C62" s="678">
        <v>1241227.17</v>
      </c>
      <c r="D62" s="713">
        <v>110000</v>
      </c>
      <c r="E62" s="678">
        <v>3132357</v>
      </c>
      <c r="F62" s="713">
        <v>211979</v>
      </c>
      <c r="G62" s="1167">
        <f t="shared" si="2"/>
        <v>0.40403451387659611</v>
      </c>
      <c r="H62" s="702">
        <f t="shared" si="3"/>
        <v>0</v>
      </c>
      <c r="J62" s="710"/>
      <c r="K62" s="710"/>
      <c r="L62" s="710"/>
      <c r="M62" s="710"/>
      <c r="N62" s="710"/>
      <c r="O62" s="701"/>
    </row>
    <row r="63" spans="1:15">
      <c r="A63" s="678" t="s">
        <v>1866</v>
      </c>
      <c r="B63" s="678" t="s">
        <v>1377</v>
      </c>
      <c r="C63" s="678">
        <v>2143087.35</v>
      </c>
      <c r="D63" s="713">
        <v>9030000</v>
      </c>
      <c r="E63" s="678">
        <v>76708564</v>
      </c>
      <c r="F63" s="713">
        <v>35880000</v>
      </c>
      <c r="G63" s="1167">
        <f t="shared" si="2"/>
        <v>9.9238208154071486E-2</v>
      </c>
      <c r="H63" s="702">
        <f t="shared" si="3"/>
        <v>1.5</v>
      </c>
      <c r="J63" s="710"/>
      <c r="K63" s="710"/>
      <c r="L63" s="710"/>
      <c r="M63" s="710"/>
      <c r="N63" s="710"/>
      <c r="O63" s="701"/>
    </row>
    <row r="64" spans="1:15">
      <c r="J64" s="710"/>
      <c r="K64" s="710"/>
      <c r="L64" s="710"/>
      <c r="M64" s="710"/>
      <c r="N64" s="710"/>
      <c r="O64" s="701"/>
    </row>
    <row r="65" spans="10:15">
      <c r="J65" s="710"/>
      <c r="K65" s="710"/>
      <c r="L65" s="710"/>
      <c r="M65" s="710"/>
      <c r="N65" s="710"/>
      <c r="O65" s="710"/>
    </row>
    <row r="66" spans="10:15">
      <c r="J66" s="710"/>
      <c r="K66" s="710"/>
      <c r="L66" s="710"/>
      <c r="M66" s="710"/>
      <c r="N66" s="710"/>
      <c r="O66" s="710"/>
    </row>
    <row r="67" spans="10:15">
      <c r="J67" s="710"/>
      <c r="K67" s="710"/>
      <c r="L67" s="710"/>
      <c r="M67" s="710"/>
      <c r="N67" s="710"/>
      <c r="O67" s="710"/>
    </row>
    <row r="68" spans="10:15">
      <c r="J68" s="710"/>
      <c r="K68" s="710"/>
      <c r="L68" s="710"/>
      <c r="M68" s="710"/>
      <c r="N68" s="710"/>
      <c r="O68" s="710"/>
    </row>
    <row r="69" spans="10:15">
      <c r="J69" s="710"/>
      <c r="K69" s="710"/>
      <c r="L69" s="710"/>
      <c r="M69" s="710"/>
      <c r="N69" s="710"/>
      <c r="O69" s="710"/>
    </row>
    <row r="70" spans="10:15">
      <c r="J70" s="710"/>
      <c r="K70" s="710"/>
      <c r="L70" s="710"/>
      <c r="M70" s="710"/>
      <c r="N70" s="710"/>
      <c r="O70" s="710"/>
    </row>
    <row r="71" spans="10:15">
      <c r="J71" s="710"/>
      <c r="K71" s="710"/>
      <c r="L71" s="710"/>
      <c r="M71" s="710"/>
      <c r="N71" s="710"/>
      <c r="O71" s="710"/>
    </row>
    <row r="72" spans="10:15">
      <c r="J72" s="710"/>
      <c r="K72" s="710"/>
      <c r="L72" s="710"/>
      <c r="M72" s="710"/>
      <c r="N72" s="710"/>
      <c r="O72" s="710"/>
    </row>
    <row r="73" spans="10:15">
      <c r="J73" s="710"/>
      <c r="K73" s="710"/>
      <c r="L73" s="710"/>
      <c r="M73" s="710"/>
      <c r="N73" s="710"/>
      <c r="O73" s="710"/>
    </row>
    <row r="74" spans="10:15">
      <c r="J74" s="710"/>
      <c r="K74" s="710"/>
      <c r="L74" s="710"/>
      <c r="M74" s="710"/>
      <c r="N74" s="710"/>
      <c r="O74" s="710"/>
    </row>
    <row r="75" spans="10:15">
      <c r="J75" s="710"/>
      <c r="K75" s="710"/>
      <c r="L75" s="710"/>
      <c r="M75" s="710"/>
      <c r="N75" s="710"/>
      <c r="O75" s="710"/>
    </row>
    <row r="76" spans="10:15">
      <c r="J76" s="710"/>
      <c r="K76" s="710"/>
      <c r="L76" s="710"/>
      <c r="M76" s="710"/>
      <c r="N76" s="710"/>
      <c r="O76" s="710"/>
    </row>
    <row r="77" spans="10:15">
      <c r="J77" s="710"/>
      <c r="K77" s="710"/>
      <c r="L77" s="710"/>
      <c r="M77" s="710"/>
      <c r="N77" s="710"/>
      <c r="O77" s="710"/>
    </row>
    <row r="78" spans="10:15">
      <c r="J78" s="710"/>
      <c r="K78" s="710"/>
      <c r="L78" s="710"/>
      <c r="M78" s="710"/>
      <c r="N78" s="710"/>
      <c r="O78" s="710"/>
    </row>
    <row r="79" spans="10:15">
      <c r="J79" s="710"/>
      <c r="K79" s="710"/>
      <c r="L79" s="710"/>
      <c r="M79" s="710"/>
      <c r="N79" s="710"/>
      <c r="O79" s="710"/>
    </row>
    <row r="80" spans="10:15">
      <c r="J80" s="710"/>
      <c r="K80" s="710"/>
      <c r="L80" s="710"/>
      <c r="M80" s="710"/>
      <c r="N80" s="710"/>
      <c r="O80" s="710"/>
    </row>
    <row r="81" spans="10:15">
      <c r="J81" s="710"/>
      <c r="K81" s="710"/>
      <c r="L81" s="710"/>
      <c r="M81" s="710"/>
      <c r="N81" s="710"/>
      <c r="O81" s="710"/>
    </row>
    <row r="82" spans="10:15">
      <c r="J82" s="710"/>
      <c r="K82" s="710"/>
      <c r="L82" s="710"/>
      <c r="M82" s="710"/>
      <c r="N82" s="710"/>
      <c r="O82" s="710"/>
    </row>
  </sheetData>
  <phoneticPr fontId="3" type="noConversion"/>
  <hyperlinks>
    <hyperlink ref="Q12" location="'总公司绩效-II'!A1" display="总公司绩效-II"/>
    <hyperlink ref="Q13" location="目录!A1" display="目录"/>
    <hyperlink ref="Q14" location="'OR04-分公司销售、承保、保全'!A1" display="OR04"/>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3"/>
  </sheetPr>
  <dimension ref="A1:O96"/>
  <sheetViews>
    <sheetView tabSelected="1" workbookViewId="0">
      <pane xSplit="4" ySplit="1" topLeftCell="E41" activePane="bottomRight" state="frozenSplit"/>
      <selection pane="topRight" activeCell="F1" sqref="F1"/>
      <selection pane="bottomLeft" activeCell="A27" sqref="A27"/>
      <selection pane="bottomRight" activeCell="B57" sqref="B57:M57"/>
    </sheetView>
  </sheetViews>
  <sheetFormatPr defaultRowHeight="13.5"/>
  <cols>
    <col min="1" max="1" width="7.75" style="325" customWidth="1"/>
    <col min="2" max="2" width="35.75" style="325" customWidth="1"/>
    <col min="3" max="3" width="10" style="325" customWidth="1"/>
    <col min="4" max="4" width="10.25" style="325" bestFit="1" customWidth="1"/>
    <col min="5" max="5" width="9" style="1261" customWidth="1"/>
    <col min="6" max="6" width="8.5" style="1261" customWidth="1"/>
    <col min="7" max="10" width="8.5" style="1261" bestFit="1" customWidth="1"/>
    <col min="11" max="11" width="14.125" style="325" customWidth="1"/>
    <col min="12" max="12" width="8.75" style="325" customWidth="1"/>
    <col min="13" max="13" width="12.375" style="325" customWidth="1"/>
    <col min="14" max="16384" width="9" style="325"/>
  </cols>
  <sheetData>
    <row r="1" spans="1:15" ht="15.75" thickBot="1">
      <c r="A1" s="716" t="s">
        <v>1742</v>
      </c>
      <c r="B1" s="717" t="s">
        <v>1743</v>
      </c>
      <c r="C1" s="717" t="s">
        <v>1744</v>
      </c>
      <c r="D1" s="717" t="s">
        <v>489</v>
      </c>
      <c r="E1" s="1202" t="s">
        <v>1414</v>
      </c>
      <c r="F1" s="1202" t="s">
        <v>1415</v>
      </c>
      <c r="G1" s="1202" t="s">
        <v>1416</v>
      </c>
      <c r="H1" s="1202" t="s">
        <v>1417</v>
      </c>
      <c r="I1" s="1202" t="s">
        <v>1418</v>
      </c>
      <c r="J1" s="1202" t="s">
        <v>1419</v>
      </c>
      <c r="K1" s="717" t="s">
        <v>1801</v>
      </c>
      <c r="L1" s="1533" t="s">
        <v>1907</v>
      </c>
      <c r="M1" s="1534"/>
    </row>
    <row r="2" spans="1:15" ht="14.25">
      <c r="A2" s="1519" t="s">
        <v>1889</v>
      </c>
      <c r="B2" s="719" t="s">
        <v>1</v>
      </c>
      <c r="C2" s="720">
        <f>30%*(1/18)</f>
        <v>1.6666666666666666E-2</v>
      </c>
      <c r="D2" s="721">
        <v>9</v>
      </c>
      <c r="E2" s="1203"/>
      <c r="F2" s="1204">
        <f>(1-'OR02-销售承保'!L4)*$D$2</f>
        <v>6.6887222073399411</v>
      </c>
      <c r="G2" s="1205">
        <f>(1-'OR02-销售承保'!M4)*$D$2</f>
        <v>7.8000000000000007</v>
      </c>
      <c r="H2" s="1206">
        <f>(1-'OR02-销售承保'!N4)*$D$2</f>
        <v>7.6753246753246751</v>
      </c>
      <c r="I2" s="1207">
        <f>(1-'OR02-销售承保'!O4)*$D$2</f>
        <v>8.0181818181818176</v>
      </c>
      <c r="J2" s="1208">
        <f>(1-'OR02-销售承保'!P4)*$D$2</f>
        <v>8.2987012987012978</v>
      </c>
      <c r="K2" s="722" t="s">
        <v>1798</v>
      </c>
      <c r="L2" s="722"/>
      <c r="M2" s="723"/>
    </row>
    <row r="3" spans="1:15" ht="16.5">
      <c r="A3" s="1520"/>
      <c r="B3" s="724" t="s">
        <v>2064</v>
      </c>
      <c r="C3" s="725">
        <f>30%*(1/18)</f>
        <v>1.6666666666666666E-2</v>
      </c>
      <c r="D3" s="726">
        <v>6</v>
      </c>
      <c r="E3" s="1209">
        <f>$D$3*('OR02-销售承保'!K9-'OR02-销售承保'!M9)/('OR02-销售承保'!K10-'OR02-销售承保'!M10)</f>
        <v>7</v>
      </c>
      <c r="F3" s="1210"/>
      <c r="G3" s="1211">
        <f>$D$3*'OR02-销售承保'!M8</f>
        <v>6</v>
      </c>
      <c r="H3" s="1210"/>
      <c r="I3" s="1210"/>
      <c r="J3" s="1212"/>
      <c r="K3" s="728" t="s">
        <v>1798</v>
      </c>
      <c r="L3" s="1538"/>
      <c r="M3" s="1539"/>
      <c r="N3" s="729" t="s">
        <v>1414</v>
      </c>
      <c r="O3" s="730"/>
    </row>
    <row r="4" spans="1:15" ht="16.5">
      <c r="A4" s="1520"/>
      <c r="B4" s="724" t="s">
        <v>2</v>
      </c>
      <c r="C4" s="725">
        <f>30%*(1/18)</f>
        <v>1.6666666666666666E-2</v>
      </c>
      <c r="D4" s="726">
        <v>7</v>
      </c>
      <c r="E4" s="1210"/>
      <c r="F4" s="1213">
        <f>'OR02-销售承保'!L11*$D$4</f>
        <v>5.2039810080350621</v>
      </c>
      <c r="G4" s="1211">
        <f>'OR02-销售承保'!M11*D4</f>
        <v>6.3965517241379315</v>
      </c>
      <c r="H4" s="1214">
        <f>'OR02-销售承保'!N11*D4</f>
        <v>5.1610169491525424</v>
      </c>
      <c r="I4" s="1215">
        <f>'OR02-销售承保'!O11*D4</f>
        <v>6.7407407407407405</v>
      </c>
      <c r="J4" s="1216">
        <f>'OR02-销售承保'!P11*D4</f>
        <v>6.5679012345679011</v>
      </c>
      <c r="K4" s="728" t="s">
        <v>1798</v>
      </c>
      <c r="L4" s="728"/>
      <c r="M4" s="731"/>
      <c r="N4" s="729" t="s">
        <v>1905</v>
      </c>
      <c r="O4" s="732"/>
    </row>
    <row r="5" spans="1:15" ht="16.5">
      <c r="A5" s="1520"/>
      <c r="B5" s="1529" t="s">
        <v>1886</v>
      </c>
      <c r="C5" s="725"/>
      <c r="D5" s="726"/>
      <c r="E5" s="1210"/>
      <c r="F5" s="1213">
        <f>'OR02-销售承保'!L14</f>
        <v>4</v>
      </c>
      <c r="G5" s="1211">
        <f>'OR02-销售承保'!M14</f>
        <v>0</v>
      </c>
      <c r="H5" s="1214">
        <f>'OR02-销售承保'!N14</f>
        <v>0</v>
      </c>
      <c r="I5" s="1215">
        <f>'OR02-销售承保'!O14</f>
        <v>0</v>
      </c>
      <c r="J5" s="1216">
        <f>'OR02-销售承保'!P14</f>
        <v>0</v>
      </c>
      <c r="K5" s="728" t="s">
        <v>1802</v>
      </c>
      <c r="L5" s="728"/>
      <c r="M5" s="731"/>
      <c r="N5" s="729" t="s">
        <v>1906</v>
      </c>
      <c r="O5" s="733"/>
    </row>
    <row r="6" spans="1:15" ht="16.5">
      <c r="A6" s="1520"/>
      <c r="B6" s="1529"/>
      <c r="C6" s="725">
        <f>30%*(1/18)</f>
        <v>1.6666666666666666E-2</v>
      </c>
      <c r="D6" s="726">
        <v>8</v>
      </c>
      <c r="E6" s="1210"/>
      <c r="F6" s="1213">
        <f>8-1*F5</f>
        <v>4</v>
      </c>
      <c r="G6" s="1211">
        <f>8-1*G5</f>
        <v>8</v>
      </c>
      <c r="H6" s="1214">
        <f>8-1*H5</f>
        <v>8</v>
      </c>
      <c r="I6" s="1215">
        <f>8-1*I5</f>
        <v>8</v>
      </c>
      <c r="J6" s="1216">
        <f>8-1*J5</f>
        <v>8</v>
      </c>
      <c r="K6" s="728" t="s">
        <v>1804</v>
      </c>
      <c r="L6" s="728"/>
      <c r="M6" s="731"/>
      <c r="N6" s="729" t="s">
        <v>1417</v>
      </c>
      <c r="O6" s="734"/>
    </row>
    <row r="7" spans="1:15" ht="16.5" customHeight="1">
      <c r="A7" s="1520"/>
      <c r="B7" s="1530" t="s">
        <v>1900</v>
      </c>
      <c r="C7" s="725"/>
      <c r="D7" s="726"/>
      <c r="E7" s="1213">
        <f>'OR02-销售承保'!K16</f>
        <v>0.98805316342276872</v>
      </c>
      <c r="F7" s="1213">
        <f>'OR02-销售承保'!L16</f>
        <v>0.99191946860234204</v>
      </c>
      <c r="G7" s="1211">
        <f>'OR02-销售承保'!M16</f>
        <v>1</v>
      </c>
      <c r="H7" s="1213">
        <f>'OR02-销售承保'!N16</f>
        <v>0.96558704453441291</v>
      </c>
      <c r="I7" s="1213">
        <f>'OR02-销售承保'!O16</f>
        <v>0.98007290400972058</v>
      </c>
      <c r="J7" s="1213">
        <f>'OR02-销售承保'!P16</f>
        <v>0.9830985915492958</v>
      </c>
      <c r="K7" s="728" t="s">
        <v>1902</v>
      </c>
      <c r="L7" s="1536" t="s">
        <v>2499</v>
      </c>
      <c r="M7" s="1537"/>
      <c r="N7" s="729" t="s">
        <v>1418</v>
      </c>
      <c r="O7" s="735"/>
    </row>
    <row r="8" spans="1:15" ht="16.5">
      <c r="A8" s="1520"/>
      <c r="B8" s="1530"/>
      <c r="C8" s="677">
        <f t="shared" ref="C8:C16" si="0">30%*(1/18)</f>
        <v>1.6666666666666666E-2</v>
      </c>
      <c r="D8" s="726">
        <v>7</v>
      </c>
      <c r="E8" s="1209">
        <f>IF(E7&gt;0.95,7,IF(E7&gt;0.9,7*E7-63,0))</f>
        <v>7</v>
      </c>
      <c r="F8" s="1213">
        <f>IF(F7&gt;0.95,7,IF(F7&gt;0.9,7*F7-63,0))</f>
        <v>7</v>
      </c>
      <c r="G8" s="1211">
        <v>7</v>
      </c>
      <c r="H8" s="1214">
        <f>IF(H7&gt;0.95,7,IF(H7&gt;0.9,7*H7-63,0))</f>
        <v>7</v>
      </c>
      <c r="I8" s="1215">
        <f>IF(I7&gt;0.95,7,IF(I7&gt;0.9,7*I7-63,0))</f>
        <v>7</v>
      </c>
      <c r="J8" s="1216">
        <f>IF(J7&gt;0.95,7,IF(J7&gt;0.9,7*J7-63,0))</f>
        <v>7</v>
      </c>
      <c r="K8" s="728" t="s">
        <v>1798</v>
      </c>
      <c r="L8" s="728"/>
      <c r="M8" s="731"/>
      <c r="N8" s="729" t="s">
        <v>1419</v>
      </c>
      <c r="O8" s="736"/>
    </row>
    <row r="9" spans="1:15" ht="14.25">
      <c r="A9" s="1520"/>
      <c r="B9" s="737" t="s">
        <v>1887</v>
      </c>
      <c r="C9" s="725">
        <f t="shared" si="0"/>
        <v>1.6666666666666666E-2</v>
      </c>
      <c r="D9" s="726">
        <v>7</v>
      </c>
      <c r="E9" s="1217"/>
      <c r="F9" s="1213">
        <f>(1-'OR02-销售承保'!L19)*7</f>
        <v>6.9409411911755514</v>
      </c>
      <c r="G9" s="1213">
        <f>(1-'OR02-销售承保'!M19)*7</f>
        <v>7</v>
      </c>
      <c r="H9" s="1214">
        <f>(1-'OR02-销售承保'!N19)*7</f>
        <v>6.7938066465256801</v>
      </c>
      <c r="I9" s="1215">
        <f>(1-'OR02-销售承保'!O19)*7</f>
        <v>6.9710971293747548</v>
      </c>
      <c r="J9" s="1216">
        <f>(1-'OR02-销售承保'!P19)*7</f>
        <v>6.9355828220858902</v>
      </c>
      <c r="K9" s="728" t="s">
        <v>1798</v>
      </c>
      <c r="L9" s="728"/>
      <c r="M9" s="731"/>
    </row>
    <row r="10" spans="1:15" ht="28.5">
      <c r="A10" s="1520"/>
      <c r="B10" s="737" t="s">
        <v>1888</v>
      </c>
      <c r="C10" s="725">
        <f t="shared" si="0"/>
        <v>1.6666666666666666E-2</v>
      </c>
      <c r="D10" s="726">
        <v>4</v>
      </c>
      <c r="E10" s="1218"/>
      <c r="F10" s="1213">
        <f>4-'OR02-销售承保'!L22*0.5</f>
        <v>2.5</v>
      </c>
      <c r="G10" s="1211">
        <f>4-'OR02-销售承保'!M22*0.5</f>
        <v>4</v>
      </c>
      <c r="H10" s="1214">
        <f>4-'OR02-销售承保'!N22*0.5</f>
        <v>4</v>
      </c>
      <c r="I10" s="1215">
        <f>4-'OR02-销售承保'!O22*0.5</f>
        <v>4</v>
      </c>
      <c r="J10" s="1216">
        <f>4-'OR02-销售承保'!P22*0.5</f>
        <v>4</v>
      </c>
      <c r="K10" s="728" t="s">
        <v>1798</v>
      </c>
      <c r="L10" s="728"/>
      <c r="M10" s="731"/>
    </row>
    <row r="11" spans="1:15" ht="28.5">
      <c r="A11" s="1520"/>
      <c r="B11" s="737" t="s">
        <v>475</v>
      </c>
      <c r="C11" s="725">
        <f t="shared" si="0"/>
        <v>1.6666666666666666E-2</v>
      </c>
      <c r="D11" s="726">
        <v>4</v>
      </c>
      <c r="E11" s="1218"/>
      <c r="F11" s="1213">
        <f>4-'OR02-销售承保'!L23*0.5</f>
        <v>2.5</v>
      </c>
      <c r="G11" s="1211">
        <f>4-'OR02-销售承保'!M23*0.5</f>
        <v>4</v>
      </c>
      <c r="H11" s="1214">
        <f>4-'OR02-销售承保'!N23*0.5</f>
        <v>4</v>
      </c>
      <c r="I11" s="1215">
        <f>4-'OR02-销售承保'!O23*0.5</f>
        <v>4</v>
      </c>
      <c r="J11" s="1216">
        <f>4-'OR02-销售承保'!P23*0.5</f>
        <v>4</v>
      </c>
      <c r="K11" s="728" t="s">
        <v>1798</v>
      </c>
      <c r="L11" s="728"/>
      <c r="M11" s="731"/>
    </row>
    <row r="12" spans="1:15" ht="28.5">
      <c r="A12" s="1520"/>
      <c r="B12" s="737" t="s">
        <v>1901</v>
      </c>
      <c r="C12" s="725">
        <f t="shared" si="0"/>
        <v>1.6666666666666666E-2</v>
      </c>
      <c r="D12" s="726">
        <v>5</v>
      </c>
      <c r="E12" s="1218"/>
      <c r="F12" s="1213">
        <f>5-'OR02-销售承保'!L27*0.5</f>
        <v>5</v>
      </c>
      <c r="G12" s="1211">
        <f>5-'OR02-销售承保'!M27*0.5</f>
        <v>5</v>
      </c>
      <c r="H12" s="1214">
        <f>5-'OR02-销售承保'!N27*0.5</f>
        <v>5</v>
      </c>
      <c r="I12" s="1215">
        <f>5-'OR02-销售承保'!O27*0.5</f>
        <v>5</v>
      </c>
      <c r="J12" s="1216">
        <f>5-'OR02-销售承保'!P27*0.5</f>
        <v>5</v>
      </c>
      <c r="K12" s="728" t="s">
        <v>1798</v>
      </c>
      <c r="L12" s="728"/>
      <c r="M12" s="731"/>
    </row>
    <row r="13" spans="1:15" ht="28.5">
      <c r="A13" s="1520"/>
      <c r="B13" s="737" t="s">
        <v>476</v>
      </c>
      <c r="C13" s="725">
        <f t="shared" si="0"/>
        <v>1.6666666666666666E-2</v>
      </c>
      <c r="D13" s="726">
        <v>5</v>
      </c>
      <c r="E13" s="1218"/>
      <c r="F13" s="1213">
        <f>5-0.5*'OR02-销售承保'!L28</f>
        <v>5</v>
      </c>
      <c r="G13" s="1211">
        <f>5-0.5*'OR02-销售承保'!M28</f>
        <v>5</v>
      </c>
      <c r="H13" s="1214">
        <f>5-0.5*'OR02-销售承保'!N28</f>
        <v>5</v>
      </c>
      <c r="I13" s="1215">
        <f>5-0.5*'OR02-销售承保'!O28</f>
        <v>5</v>
      </c>
      <c r="J13" s="1216">
        <f>5-0.5*'OR02-销售承保'!P28</f>
        <v>5</v>
      </c>
      <c r="K13" s="728" t="s">
        <v>1798</v>
      </c>
      <c r="L13" s="728"/>
      <c r="M13" s="731"/>
    </row>
    <row r="14" spans="1:15" ht="28.5">
      <c r="A14" s="1520"/>
      <c r="B14" s="737" t="s">
        <v>477</v>
      </c>
      <c r="C14" s="725">
        <f t="shared" si="0"/>
        <v>1.6666666666666666E-2</v>
      </c>
      <c r="D14" s="726">
        <v>5</v>
      </c>
      <c r="E14" s="1218"/>
      <c r="F14" s="1213">
        <f>5-0.5*'OR02-销售承保'!L29</f>
        <v>5</v>
      </c>
      <c r="G14" s="1211">
        <f>5-0.5*'OR02-销售承保'!M29</f>
        <v>5</v>
      </c>
      <c r="H14" s="1214">
        <f>5-0.5*'OR02-销售承保'!N29</f>
        <v>5</v>
      </c>
      <c r="I14" s="1215">
        <f>5-0.5*'OR02-销售承保'!O29</f>
        <v>5</v>
      </c>
      <c r="J14" s="1216">
        <f>5-0.5*'OR02-销售承保'!P29</f>
        <v>5</v>
      </c>
      <c r="K14" s="728" t="s">
        <v>1798</v>
      </c>
      <c r="L14" s="728"/>
      <c r="M14" s="731"/>
    </row>
    <row r="15" spans="1:15" ht="14.25">
      <c r="A15" s="1520"/>
      <c r="B15" s="737" t="s">
        <v>478</v>
      </c>
      <c r="C15" s="725">
        <f t="shared" si="0"/>
        <v>1.6666666666666666E-2</v>
      </c>
      <c r="D15" s="726">
        <v>5</v>
      </c>
      <c r="E15" s="1218"/>
      <c r="F15" s="1213">
        <f>5-0.5*'OR02-销售承保'!L30</f>
        <v>5</v>
      </c>
      <c r="G15" s="1211">
        <f>5-0.5*'OR02-销售承保'!M30</f>
        <v>5</v>
      </c>
      <c r="H15" s="1214">
        <f>5-0.5*'OR02-销售承保'!N30</f>
        <v>5</v>
      </c>
      <c r="I15" s="1215">
        <f>5-0.5*'OR02-销售承保'!O30</f>
        <v>5</v>
      </c>
      <c r="J15" s="1216">
        <f>5-0.5*'OR02-销售承保'!P30</f>
        <v>5</v>
      </c>
      <c r="K15" s="728" t="s">
        <v>1798</v>
      </c>
      <c r="L15" s="728"/>
      <c r="M15" s="731"/>
    </row>
    <row r="16" spans="1:15" ht="15" thickBot="1">
      <c r="A16" s="1521"/>
      <c r="B16" s="738" t="s">
        <v>13</v>
      </c>
      <c r="C16" s="739">
        <f t="shared" si="0"/>
        <v>1.6666666666666666E-2</v>
      </c>
      <c r="D16" s="740">
        <v>5</v>
      </c>
      <c r="E16" s="1219">
        <f>'OR02-销售承保'!R33</f>
        <v>5</v>
      </c>
      <c r="F16" s="1220"/>
      <c r="G16" s="1220"/>
      <c r="H16" s="1220"/>
      <c r="I16" s="1220"/>
      <c r="J16" s="1221"/>
      <c r="K16" s="741" t="s">
        <v>1798</v>
      </c>
      <c r="L16" s="741"/>
      <c r="M16" s="742"/>
    </row>
    <row r="17" spans="1:13" ht="14.25">
      <c r="A17" s="1522" t="s">
        <v>1868</v>
      </c>
      <c r="B17" s="743" t="s">
        <v>1724</v>
      </c>
      <c r="C17" s="674">
        <f>70%*(1/18)</f>
        <v>3.8888888888888883E-2</v>
      </c>
      <c r="D17" s="721">
        <v>3</v>
      </c>
      <c r="E17" s="1222">
        <f>GETPIVOTDATA("平均值项:得分",员工流失率!$K$2,"渠道","客服")</f>
        <v>1.8</v>
      </c>
      <c r="F17" s="1204">
        <f>GETPIVOTDATA("平均值项:得分",员工流失率!$K$2,"渠道","个险")</f>
        <v>1.65</v>
      </c>
      <c r="G17" s="1205">
        <f>GETPIVOTDATA("平均值项:得分",员工流失率!$K$2,"渠道","团险")</f>
        <v>0.75</v>
      </c>
      <c r="H17" s="1206">
        <f>GETPIVOTDATA("平均值项:得分",员工流失率!$K$2,"渠道","银保")</f>
        <v>0.375</v>
      </c>
      <c r="I17" s="1207">
        <f>GETPIVOTDATA("平均值项:得分",员工流失率!$K$2,"渠道","多元")</f>
        <v>2.0625</v>
      </c>
      <c r="J17" s="1208">
        <f>GETPIVOTDATA("平均值项:得分",员工流失率!$K$2,"渠道","续期")</f>
        <v>1.65</v>
      </c>
      <c r="K17" s="722" t="s">
        <v>1798</v>
      </c>
      <c r="L17" s="1531" t="s">
        <v>2136</v>
      </c>
      <c r="M17" s="1532"/>
    </row>
    <row r="18" spans="1:13" ht="14.25">
      <c r="A18" s="1523"/>
      <c r="B18" s="744" t="s">
        <v>1869</v>
      </c>
      <c r="C18" s="677">
        <f>70%*(1/18)</f>
        <v>3.8888888888888883E-2</v>
      </c>
      <c r="D18" s="726">
        <v>2</v>
      </c>
      <c r="E18" s="1223">
        <f>'OR04-分公司销售、承保、保全'!M7</f>
        <v>2</v>
      </c>
      <c r="F18" s="1224">
        <f>'OR04-分公司销售、承保、保全'!M7</f>
        <v>2</v>
      </c>
      <c r="G18" s="1225">
        <f>'OR04-分公司销售、承保、保全'!M7</f>
        <v>2</v>
      </c>
      <c r="H18" s="1226">
        <f>'OR04-分公司销售、承保、保全'!M7</f>
        <v>2</v>
      </c>
      <c r="I18" s="1227">
        <f>'OR04-分公司销售、承保、保全'!M7</f>
        <v>2</v>
      </c>
      <c r="J18" s="1228">
        <f>'OR04-分公司销售、承保、保全'!M7</f>
        <v>2</v>
      </c>
      <c r="K18" s="728" t="s">
        <v>1798</v>
      </c>
      <c r="L18" s="728"/>
      <c r="M18" s="731"/>
    </row>
    <row r="19" spans="1:13" ht="14.25">
      <c r="A19" s="1523"/>
      <c r="B19" s="744" t="s">
        <v>1877</v>
      </c>
      <c r="C19" s="677"/>
      <c r="D19" s="726"/>
      <c r="E19" s="1229"/>
      <c r="F19" s="1229"/>
      <c r="G19" s="1225">
        <f>'OR04-分公司销售、承保、保全'!M16</f>
        <v>1</v>
      </c>
      <c r="H19" s="1226">
        <f>'OR04-分公司销售、承保、保全'!M16</f>
        <v>1</v>
      </c>
      <c r="I19" s="1227">
        <f>'OR04-分公司销售、承保、保全'!M16</f>
        <v>1</v>
      </c>
      <c r="J19" s="1230"/>
      <c r="K19" s="728" t="s">
        <v>1798</v>
      </c>
      <c r="L19" s="728"/>
      <c r="M19" s="731"/>
    </row>
    <row r="20" spans="1:13" ht="14.25">
      <c r="A20" s="1523"/>
      <c r="B20" s="744" t="s">
        <v>1116</v>
      </c>
      <c r="C20" s="677">
        <f t="shared" ref="C20:C26" si="1">70%*(1/18)</f>
        <v>3.8888888888888883E-2</v>
      </c>
      <c r="D20" s="726">
        <v>2</v>
      </c>
      <c r="E20" s="1229"/>
      <c r="F20" s="1224">
        <f>'OR04-分公司销售、承保、保全'!M19</f>
        <v>2</v>
      </c>
      <c r="G20" s="1225">
        <f>'OR04-分公司销售、承保、保全'!M19</f>
        <v>2</v>
      </c>
      <c r="H20" s="1226">
        <f>'OR04-分公司销售、承保、保全'!M19</f>
        <v>2</v>
      </c>
      <c r="I20" s="1227">
        <f>'OR04-分公司销售、承保、保全'!M19</f>
        <v>2</v>
      </c>
      <c r="J20" s="1228">
        <f>'OR04-分公司销售、承保、保全'!M19</f>
        <v>2</v>
      </c>
      <c r="K20" s="728" t="s">
        <v>1798</v>
      </c>
      <c r="L20" s="728"/>
      <c r="M20" s="731"/>
    </row>
    <row r="21" spans="1:13" ht="14.25">
      <c r="A21" s="1523"/>
      <c r="B21" s="744" t="s">
        <v>1870</v>
      </c>
      <c r="C21" s="677">
        <f t="shared" si="1"/>
        <v>3.8888888888888883E-2</v>
      </c>
      <c r="D21" s="726">
        <v>2</v>
      </c>
      <c r="E21" s="1223">
        <f>'OR04-分公司销售、承保、保全'!M22</f>
        <v>1.9</v>
      </c>
      <c r="F21" s="1224">
        <f>'OR04-分公司销售、承保、保全'!M22</f>
        <v>1.9</v>
      </c>
      <c r="G21" s="1225">
        <v>2</v>
      </c>
      <c r="H21" s="1226">
        <f>'OR04-分公司销售、承保、保全'!M22</f>
        <v>1.9</v>
      </c>
      <c r="I21" s="1227">
        <f>'OR04-分公司销售、承保、保全'!M22</f>
        <v>1.9</v>
      </c>
      <c r="J21" s="1228">
        <v>2</v>
      </c>
      <c r="K21" s="728" t="s">
        <v>1798</v>
      </c>
      <c r="L21" s="728"/>
      <c r="M21" s="731"/>
    </row>
    <row r="22" spans="1:13" ht="14.25">
      <c r="A22" s="1523"/>
      <c r="B22" s="744" t="s">
        <v>1725</v>
      </c>
      <c r="C22" s="677">
        <f t="shared" si="1"/>
        <v>3.8888888888888883E-2</v>
      </c>
      <c r="D22" s="726">
        <v>2</v>
      </c>
      <c r="E22" s="1229"/>
      <c r="F22" s="1224">
        <f>'OR04-分公司销售、承保、保全'!M25</f>
        <v>0.4701610243399939</v>
      </c>
      <c r="G22" s="1231"/>
      <c r="H22" s="1231"/>
      <c r="I22" s="1231"/>
      <c r="J22" s="1230"/>
      <c r="K22" s="728" t="s">
        <v>1798</v>
      </c>
      <c r="L22" s="728"/>
      <c r="M22" s="731"/>
    </row>
    <row r="23" spans="1:13" ht="14.25">
      <c r="A23" s="1523"/>
      <c r="B23" s="745" t="s">
        <v>2045</v>
      </c>
      <c r="C23" s="677">
        <f t="shared" si="1"/>
        <v>3.8888888888888883E-2</v>
      </c>
      <c r="D23" s="726">
        <v>6</v>
      </c>
      <c r="E23" s="1229"/>
      <c r="F23" s="1224">
        <f>'OR04-分公司销售、承保、保全'!M28</f>
        <v>4.95</v>
      </c>
      <c r="G23" s="1225">
        <f>D23</f>
        <v>6</v>
      </c>
      <c r="H23" s="1226">
        <f>D23</f>
        <v>6</v>
      </c>
      <c r="I23" s="1227">
        <f>D23</f>
        <v>6</v>
      </c>
      <c r="J23" s="1228">
        <f>D23</f>
        <v>6</v>
      </c>
      <c r="K23" s="728" t="s">
        <v>1798</v>
      </c>
      <c r="L23" s="728"/>
      <c r="M23" s="731"/>
    </row>
    <row r="24" spans="1:13" ht="14.25">
      <c r="A24" s="1523"/>
      <c r="B24" s="745" t="s">
        <v>2046</v>
      </c>
      <c r="C24" s="677">
        <f t="shared" si="1"/>
        <v>3.8888888888888883E-2</v>
      </c>
      <c r="D24" s="726">
        <v>6</v>
      </c>
      <c r="E24" s="1229"/>
      <c r="F24" s="1229"/>
      <c r="G24" s="1225">
        <f>'OR04-分公司销售、承保、保全'!M30</f>
        <v>6</v>
      </c>
      <c r="H24" s="1226">
        <f>'OR04-分公司销售、承保、保全'!M30</f>
        <v>6</v>
      </c>
      <c r="I24" s="1227">
        <f>'OR04-分公司销售、承保、保全'!M30</f>
        <v>6</v>
      </c>
      <c r="J24" s="1232"/>
      <c r="K24" s="728" t="s">
        <v>1798</v>
      </c>
      <c r="L24" s="728"/>
      <c r="M24" s="731"/>
    </row>
    <row r="25" spans="1:13" ht="14.25">
      <c r="A25" s="1523"/>
      <c r="B25" s="745" t="s">
        <v>2047</v>
      </c>
      <c r="C25" s="677">
        <f t="shared" si="1"/>
        <v>3.8888888888888883E-2</v>
      </c>
      <c r="D25" s="726">
        <v>6</v>
      </c>
      <c r="E25" s="1229"/>
      <c r="F25" s="1224">
        <f>'OR04-分公司销售、承保、保全'!M32</f>
        <v>5.7</v>
      </c>
      <c r="G25" s="1225">
        <f>D25</f>
        <v>6</v>
      </c>
      <c r="H25" s="1226">
        <f>D25</f>
        <v>6</v>
      </c>
      <c r="I25" s="1227">
        <f>D25</f>
        <v>6</v>
      </c>
      <c r="J25" s="1228">
        <f>D25</f>
        <v>6</v>
      </c>
      <c r="K25" s="728" t="s">
        <v>1798</v>
      </c>
      <c r="L25" s="728"/>
      <c r="M25" s="731"/>
    </row>
    <row r="26" spans="1:13" ht="14.25">
      <c r="A26" s="1523"/>
      <c r="B26" s="744" t="s">
        <v>1871</v>
      </c>
      <c r="C26" s="677">
        <f t="shared" si="1"/>
        <v>3.8888888888888883E-2</v>
      </c>
      <c r="D26" s="726">
        <v>1</v>
      </c>
      <c r="E26" s="1223">
        <f>'OR04-分公司销售、承保、保全'!M34</f>
        <v>1</v>
      </c>
      <c r="F26" s="1231"/>
      <c r="G26" s="1231"/>
      <c r="H26" s="1231"/>
      <c r="I26" s="1231"/>
      <c r="J26" s="1230"/>
      <c r="K26" s="728" t="s">
        <v>1798</v>
      </c>
      <c r="L26" s="728"/>
      <c r="M26" s="731"/>
    </row>
    <row r="27" spans="1:13" ht="14.25">
      <c r="A27" s="1523"/>
      <c r="B27" s="744" t="s">
        <v>1911</v>
      </c>
      <c r="C27" s="677">
        <f t="shared" ref="C27:C41" si="2">70%*(1/18)</f>
        <v>3.8888888888888883E-2</v>
      </c>
      <c r="D27" s="726">
        <v>2</v>
      </c>
      <c r="E27" s="1223">
        <f>'OR04-分公司销售、承保、保全'!M35</f>
        <v>2</v>
      </c>
      <c r="F27" s="1224">
        <f>GETPIVOTDATA("平均值项:得分",犹豫期内电话回访成功率!$I$2,"渠道","个险")</f>
        <v>2</v>
      </c>
      <c r="G27" s="1225">
        <f>GETPIVOTDATA("平均值项:得分",犹豫期内电话回访成功率!$I$2,"渠道","团险")</f>
        <v>2</v>
      </c>
      <c r="H27" s="1226">
        <f>GETPIVOTDATA("平均值项:得分",犹豫期内电话回访成功率!$I$2,"渠道","银保")</f>
        <v>2</v>
      </c>
      <c r="I27" s="1227">
        <f>GETPIVOTDATA("平均值项:得分",犹豫期内电话回访成功率!$I$2,"渠道","多元")</f>
        <v>2</v>
      </c>
      <c r="J27" s="1228">
        <f>GETPIVOTDATA("平均值项:得分",犹豫期内电话回访成功率!$I$2,"渠道","续期")</f>
        <v>2</v>
      </c>
      <c r="K27" s="728" t="s">
        <v>1798</v>
      </c>
      <c r="L27" s="1517" t="s">
        <v>2049</v>
      </c>
      <c r="M27" s="1518"/>
    </row>
    <row r="28" spans="1:13" ht="14.25">
      <c r="A28" s="1523"/>
      <c r="B28" s="744" t="s">
        <v>1872</v>
      </c>
      <c r="C28" s="677">
        <f t="shared" si="2"/>
        <v>3.8888888888888883E-2</v>
      </c>
      <c r="D28" s="726">
        <v>2</v>
      </c>
      <c r="E28" s="1223">
        <f>'OR04-分公司销售、承保、保全'!M38</f>
        <v>2</v>
      </c>
      <c r="F28" s="1224">
        <f>GETPIVOTDATA("平均值项:得分",新契约回访完成率!$I$2,"渠道","个险")</f>
        <v>2</v>
      </c>
      <c r="G28" s="1225">
        <f>GETPIVOTDATA("平均值项:得分",新契约回访完成率!$I$2,"渠道","团险")</f>
        <v>2</v>
      </c>
      <c r="H28" s="1226">
        <f>GETPIVOTDATA("平均值项:得分",新契约回访完成率!$I$2,"渠道","银保")</f>
        <v>1.6666666666666667</v>
      </c>
      <c r="I28" s="1227">
        <f>GETPIVOTDATA("平均值项:得分",新契约回访完成率!$I$2,"渠道","多元")</f>
        <v>2</v>
      </c>
      <c r="J28" s="1228">
        <f>GETPIVOTDATA("平均值项:得分",新契约回访完成率!$I$2,"渠道","续期")</f>
        <v>2</v>
      </c>
      <c r="K28" s="728" t="s">
        <v>1798</v>
      </c>
      <c r="L28" s="1517" t="s">
        <v>2050</v>
      </c>
      <c r="M28" s="1518"/>
    </row>
    <row r="29" spans="1:13" ht="14.25">
      <c r="A29" s="1523"/>
      <c r="B29" s="745" t="s">
        <v>2048</v>
      </c>
      <c r="C29" s="677">
        <f t="shared" si="2"/>
        <v>3.8888888888888883E-2</v>
      </c>
      <c r="D29" s="726">
        <v>6</v>
      </c>
      <c r="E29" s="1223">
        <f>'OR04-分公司销售、承保、保全'!M43</f>
        <v>6</v>
      </c>
      <c r="F29" s="1224">
        <f>'OR04-分公司销售、承保、保全'!M43</f>
        <v>6</v>
      </c>
      <c r="G29" s="1225">
        <f>'OR04-分公司销售、承保、保全'!M43</f>
        <v>6</v>
      </c>
      <c r="H29" s="1226">
        <f>'OR04-分公司销售、承保、保全'!M43</f>
        <v>6</v>
      </c>
      <c r="I29" s="1227">
        <f>'OR04-分公司销售、承保、保全'!M43</f>
        <v>6</v>
      </c>
      <c r="J29" s="1228">
        <f>'OR04-分公司销售、承保、保全'!M43</f>
        <v>6</v>
      </c>
      <c r="K29" s="728" t="s">
        <v>1798</v>
      </c>
      <c r="L29" s="728"/>
      <c r="M29" s="731"/>
    </row>
    <row r="30" spans="1:13" ht="14.25">
      <c r="A30" s="1523"/>
      <c r="B30" s="744" t="s">
        <v>1728</v>
      </c>
      <c r="C30" s="677">
        <f t="shared" si="2"/>
        <v>3.8888888888888883E-2</v>
      </c>
      <c r="D30" s="726">
        <v>3</v>
      </c>
      <c r="E30" s="1233"/>
      <c r="F30" s="1224">
        <f>GETPIVOTDATA("平均值项:得分",续期收费率!$H$5,"业务渠道","个险")</f>
        <v>2.95</v>
      </c>
      <c r="G30" s="1231"/>
      <c r="H30" s="1226">
        <f>GETPIVOTDATA("平均值项:得分",续期收费率!$H$5,"业务渠道","银保")</f>
        <v>2.9</v>
      </c>
      <c r="I30" s="1227">
        <f>GETPIVOTDATA("平均值项:得分",续期收费率!$H$5,"业务渠道","多元")</f>
        <v>2.75</v>
      </c>
      <c r="J30" s="1228">
        <f>GETPIVOTDATA("平均值项:得分",续期收费率!$H$5,"业务渠道","收展")</f>
        <v>2.75</v>
      </c>
      <c r="K30" s="728" t="s">
        <v>1798</v>
      </c>
      <c r="L30" s="1517" t="s">
        <v>2135</v>
      </c>
      <c r="M30" s="1518"/>
    </row>
    <row r="31" spans="1:13" ht="14.25">
      <c r="A31" s="1523"/>
      <c r="B31" s="744" t="s">
        <v>1142</v>
      </c>
      <c r="C31" s="677">
        <f t="shared" si="2"/>
        <v>3.8888888888888883E-2</v>
      </c>
      <c r="D31" s="726">
        <v>2</v>
      </c>
      <c r="E31" s="1223">
        <f>'OR04-分公司销售、承保、保全'!M63</f>
        <v>1.8</v>
      </c>
      <c r="F31" s="1231"/>
      <c r="G31" s="1231"/>
      <c r="H31" s="1231"/>
      <c r="I31" s="1231"/>
      <c r="J31" s="1230"/>
      <c r="K31" s="728" t="s">
        <v>1798</v>
      </c>
      <c r="L31" s="728"/>
      <c r="M31" s="731"/>
    </row>
    <row r="32" spans="1:13" ht="14.25">
      <c r="A32" s="1523"/>
      <c r="B32" s="744" t="s">
        <v>1729</v>
      </c>
      <c r="C32" s="677">
        <f t="shared" si="2"/>
        <v>3.8888888888888883E-2</v>
      </c>
      <c r="D32" s="726">
        <v>3</v>
      </c>
      <c r="E32" s="1233"/>
      <c r="F32" s="1224">
        <f>GETPIVOTDATA("平均值项:分数",退撤保率!$L$16,"渠道","个险")</f>
        <v>2.7272727272727271</v>
      </c>
      <c r="G32" s="1224">
        <f>GETPIVOTDATA("平均值项:分数",退撤保率!$L$16,"渠道","团险")</f>
        <v>3</v>
      </c>
      <c r="H32" s="1224">
        <f>GETPIVOTDATA("平均值项:分数",退撤保率!$L$16,"渠道","银保")</f>
        <v>0.45</v>
      </c>
      <c r="I32" s="1224">
        <f>GETPIVOTDATA("平均值项:分数",退撤保率!$L$16,"渠道","多元")</f>
        <v>2.5499999999999998</v>
      </c>
      <c r="J32" s="1224">
        <f>GETPIVOTDATA("平均值项:分数",退撤保率!$L$16,"渠道","续期")</f>
        <v>2.85</v>
      </c>
      <c r="K32" s="728" t="s">
        <v>1798</v>
      </c>
      <c r="L32" s="1517" t="s">
        <v>2137</v>
      </c>
      <c r="M32" s="1518"/>
    </row>
    <row r="33" spans="1:13" ht="14.25">
      <c r="A33" s="1523"/>
      <c r="B33" s="744" t="s">
        <v>1875</v>
      </c>
      <c r="C33" s="677">
        <f t="shared" si="2"/>
        <v>3.8888888888888883E-2</v>
      </c>
      <c r="D33" s="726">
        <v>3</v>
      </c>
      <c r="E33" s="1233"/>
      <c r="F33" s="1224">
        <f>'OR04-分公司销售、承保、保全'!M57</f>
        <v>3</v>
      </c>
      <c r="G33" s="1225">
        <f>'OR04-分公司销售、承保、保全'!M57</f>
        <v>3</v>
      </c>
      <c r="H33" s="1226">
        <f>'OR04-分公司销售、承保、保全'!M57</f>
        <v>3</v>
      </c>
      <c r="I33" s="1227">
        <f>'OR04-分公司销售、承保、保全'!M57</f>
        <v>3</v>
      </c>
      <c r="J33" s="1228">
        <f>'OR04-分公司销售、承保、保全'!M57</f>
        <v>3</v>
      </c>
      <c r="K33" s="728" t="s">
        <v>1798</v>
      </c>
      <c r="L33" s="728"/>
      <c r="M33" s="731"/>
    </row>
    <row r="34" spans="1:13" ht="14.25">
      <c r="A34" s="1523"/>
      <c r="B34" s="744" t="s">
        <v>1149</v>
      </c>
      <c r="C34" s="677">
        <f t="shared" si="2"/>
        <v>3.8888888888888883E-2</v>
      </c>
      <c r="D34" s="726">
        <v>2</v>
      </c>
      <c r="E34" s="1223">
        <f>'OR04-分公司销售、承保、保全'!M63</f>
        <v>1.8</v>
      </c>
      <c r="F34" s="1231"/>
      <c r="G34" s="1231"/>
      <c r="H34" s="1231"/>
      <c r="I34" s="1231"/>
      <c r="J34" s="1230"/>
      <c r="K34" s="728" t="s">
        <v>1798</v>
      </c>
      <c r="L34" s="728"/>
      <c r="M34" s="731"/>
    </row>
    <row r="35" spans="1:13" ht="14.25">
      <c r="A35" s="1523"/>
      <c r="B35" s="744" t="s">
        <v>1152</v>
      </c>
      <c r="C35" s="677">
        <f t="shared" si="2"/>
        <v>3.8888888888888883E-2</v>
      </c>
      <c r="D35" s="726">
        <v>1</v>
      </c>
      <c r="E35" s="1223">
        <f>'OR04-分公司销售、承保、保全'!M66</f>
        <v>1</v>
      </c>
      <c r="F35" s="1231"/>
      <c r="G35" s="1231"/>
      <c r="H35" s="1231"/>
      <c r="I35" s="1231"/>
      <c r="J35" s="1230"/>
      <c r="K35" s="728" t="s">
        <v>1798</v>
      </c>
      <c r="L35" s="728"/>
      <c r="M35" s="731"/>
    </row>
    <row r="36" spans="1:13" ht="14.25">
      <c r="A36" s="1523"/>
      <c r="B36" s="745" t="s">
        <v>2051</v>
      </c>
      <c r="C36" s="677">
        <f t="shared" si="2"/>
        <v>3.8888888888888883E-2</v>
      </c>
      <c r="D36" s="726">
        <v>6</v>
      </c>
      <c r="E36" s="1223">
        <f>'OR04-分公司销售、承保、保全'!M67</f>
        <v>6</v>
      </c>
      <c r="F36" s="1231"/>
      <c r="G36" s="1231"/>
      <c r="H36" s="1231"/>
      <c r="I36" s="1231"/>
      <c r="J36" s="1230"/>
      <c r="K36" s="728" t="s">
        <v>1798</v>
      </c>
      <c r="L36" s="728"/>
      <c r="M36" s="731"/>
    </row>
    <row r="37" spans="1:13" ht="14.25">
      <c r="A37" s="1523"/>
      <c r="B37" s="744" t="s">
        <v>1874</v>
      </c>
      <c r="C37" s="677">
        <f t="shared" si="2"/>
        <v>3.8888888888888883E-2</v>
      </c>
      <c r="D37" s="726">
        <v>0</v>
      </c>
      <c r="E37" s="1234">
        <v>0</v>
      </c>
      <c r="F37" s="1235">
        <v>0</v>
      </c>
      <c r="G37" s="1236">
        <v>0</v>
      </c>
      <c r="H37" s="1237">
        <v>0</v>
      </c>
      <c r="I37" s="1238">
        <v>0</v>
      </c>
      <c r="J37" s="1239">
        <v>0</v>
      </c>
      <c r="K37" s="728" t="s">
        <v>1805</v>
      </c>
      <c r="L37" s="728"/>
      <c r="M37" s="731"/>
    </row>
    <row r="38" spans="1:13" ht="14.25">
      <c r="A38" s="1523"/>
      <c r="B38" s="1529" t="s">
        <v>1162</v>
      </c>
      <c r="C38" s="677"/>
      <c r="D38" s="726"/>
      <c r="E38" s="1223">
        <f>'OR04-分公司销售、承保、保全'!$L$70*10</f>
        <v>0</v>
      </c>
      <c r="F38" s="1224">
        <f>'OR04-分公司销售、承保、保全'!$L$70*10</f>
        <v>0</v>
      </c>
      <c r="G38" s="1225">
        <f>'OR04-分公司销售、承保、保全'!$L$70*10</f>
        <v>0</v>
      </c>
      <c r="H38" s="1226">
        <f>'OR04-分公司销售、承保、保全'!$L$70*10</f>
        <v>0</v>
      </c>
      <c r="I38" s="1227">
        <f>'OR04-分公司销售、承保、保全'!$L$70*10</f>
        <v>0</v>
      </c>
      <c r="J38" s="1228">
        <f>'OR04-分公司销售、承保、保全'!$L$70*10</f>
        <v>0</v>
      </c>
      <c r="K38" s="728" t="s">
        <v>1910</v>
      </c>
      <c r="L38" s="728"/>
      <c r="M38" s="731"/>
    </row>
    <row r="39" spans="1:13" ht="14.25">
      <c r="A39" s="1523"/>
      <c r="B39" s="1529"/>
      <c r="C39" s="677">
        <f t="shared" si="2"/>
        <v>3.8888888888888883E-2</v>
      </c>
      <c r="D39" s="726">
        <v>3</v>
      </c>
      <c r="E39" s="1223">
        <f>'OR04-分公司销售、承保、保全'!M70</f>
        <v>3</v>
      </c>
      <c r="F39" s="1224">
        <f>'OR04-分公司销售、承保、保全'!M70</f>
        <v>3</v>
      </c>
      <c r="G39" s="1225">
        <f>'OR04-分公司销售、承保、保全'!M70</f>
        <v>3</v>
      </c>
      <c r="H39" s="1226">
        <f>'OR04-分公司销售、承保、保全'!M70</f>
        <v>3</v>
      </c>
      <c r="I39" s="1227">
        <f>'OR04-分公司销售、承保、保全'!M70</f>
        <v>3</v>
      </c>
      <c r="J39" s="1228">
        <f>'OR04-分公司销售、承保、保全'!M70</f>
        <v>3</v>
      </c>
      <c r="K39" s="728" t="s">
        <v>1798</v>
      </c>
      <c r="L39" s="728"/>
      <c r="M39" s="731"/>
    </row>
    <row r="40" spans="1:13" ht="15" thickBot="1">
      <c r="A40" s="1523"/>
      <c r="B40" s="746" t="s">
        <v>1876</v>
      </c>
      <c r="C40" s="677">
        <f t="shared" si="2"/>
        <v>3.8888888888888883E-2</v>
      </c>
      <c r="D40" s="726">
        <v>2</v>
      </c>
      <c r="E40" s="1229"/>
      <c r="F40" s="1224">
        <f>'OR04-分公司销售、承保、保全'!M72</f>
        <v>2</v>
      </c>
      <c r="G40" s="1225">
        <f>'OR04-分公司销售、承保、保全'!M72</f>
        <v>2</v>
      </c>
      <c r="H40" s="1226">
        <f>'OR04-分公司销售、承保、保全'!M72</f>
        <v>2</v>
      </c>
      <c r="I40" s="1227">
        <f>'OR04-分公司销售、承保、保全'!M72</f>
        <v>2</v>
      </c>
      <c r="J40" s="1228">
        <f>'OR04-分公司销售、承保、保全'!M72</f>
        <v>2</v>
      </c>
      <c r="K40" s="728" t="s">
        <v>1798</v>
      </c>
      <c r="L40" s="728"/>
      <c r="M40" s="731"/>
    </row>
    <row r="41" spans="1:13" ht="15" thickBot="1">
      <c r="A41" s="1524"/>
      <c r="B41" s="747" t="s">
        <v>1873</v>
      </c>
      <c r="C41" s="681">
        <f t="shared" si="2"/>
        <v>3.8888888888888883E-2</v>
      </c>
      <c r="D41" s="740">
        <v>10</v>
      </c>
      <c r="E41" s="1240">
        <f>MAX($D$41-($D$29-E29)-($D$36-E36),0)</f>
        <v>10</v>
      </c>
      <c r="F41" s="1222">
        <f>MAX($D$41-($D$23-F23)-($D$25-F25)-($D$29-F29),0)</f>
        <v>8.6499999999999986</v>
      </c>
      <c r="G41" s="1240">
        <f>MAX($D$41-($D$23-G23)-($D$24-G24)-($D$25-G25)-($D$29-G29),0)</f>
        <v>10</v>
      </c>
      <c r="H41" s="1240">
        <f>MAX($D$41-($D$23-H23)-($D$24-H24)-($D$25-H25)-($D$29-H29),0)</f>
        <v>10</v>
      </c>
      <c r="I41" s="1240">
        <f>MAX($D$41-($D$23-I23)-($D$24-I24)-($D$25-I25)-($D$29-I29),0)</f>
        <v>10</v>
      </c>
      <c r="J41" s="1240">
        <f>MAX($D$41-($D$23-J23)-($D$25-J25)-($D$29-J29),0)</f>
        <v>10</v>
      </c>
      <c r="K41" s="741" t="s">
        <v>1804</v>
      </c>
      <c r="L41" s="1515" t="s">
        <v>2100</v>
      </c>
      <c r="M41" s="1516"/>
    </row>
    <row r="42" spans="1:13" ht="14.25">
      <c r="A42" s="1526" t="s">
        <v>1878</v>
      </c>
      <c r="B42" s="748" t="s">
        <v>1879</v>
      </c>
      <c r="C42" s="674">
        <f t="shared" ref="C42:C51" si="3">30%*(1/18)</f>
        <v>1.6666666666666666E-2</v>
      </c>
      <c r="D42" s="721">
        <v>10</v>
      </c>
      <c r="E42" s="1222">
        <f>'OR06-理赔保全'!K4*D42</f>
        <v>7.7777777777777777</v>
      </c>
      <c r="F42" s="1241"/>
      <c r="G42" s="1241"/>
      <c r="H42" s="1241"/>
      <c r="I42" s="1241"/>
      <c r="J42" s="1242"/>
      <c r="K42" s="722" t="s">
        <v>1798</v>
      </c>
      <c r="L42" s="722"/>
      <c r="M42" s="723"/>
    </row>
    <row r="43" spans="1:13" ht="28.5">
      <c r="A43" s="1527"/>
      <c r="B43" s="737" t="s">
        <v>1880</v>
      </c>
      <c r="C43" s="677">
        <f t="shared" si="3"/>
        <v>1.6666666666666666E-2</v>
      </c>
      <c r="D43" s="726">
        <v>10</v>
      </c>
      <c r="E43" s="1223">
        <f>'OR06-理赔保全'!K7*D43</f>
        <v>6.6666666666666661</v>
      </c>
      <c r="F43" s="1231"/>
      <c r="G43" s="1231"/>
      <c r="H43" s="1231"/>
      <c r="I43" s="1231"/>
      <c r="J43" s="1230"/>
      <c r="K43" s="728" t="s">
        <v>1798</v>
      </c>
      <c r="L43" s="728"/>
      <c r="M43" s="731"/>
    </row>
    <row r="44" spans="1:13" ht="14.25">
      <c r="A44" s="1527"/>
      <c r="B44" s="737" t="s">
        <v>1881</v>
      </c>
      <c r="C44" s="677">
        <f t="shared" si="3"/>
        <v>1.6666666666666666E-2</v>
      </c>
      <c r="D44" s="726">
        <v>4</v>
      </c>
      <c r="E44" s="1513">
        <f>IF('OR06-理赔保全'!K11&lt;M44,D44,0)</f>
        <v>4</v>
      </c>
      <c r="F44" s="1231"/>
      <c r="G44" s="1231"/>
      <c r="H44" s="1231"/>
      <c r="I44" s="1231"/>
      <c r="J44" s="1230"/>
      <c r="K44" s="728" t="s">
        <v>1804</v>
      </c>
      <c r="L44" s="749" t="s">
        <v>1903</v>
      </c>
      <c r="M44" s="750">
        <v>0.8</v>
      </c>
    </row>
    <row r="45" spans="1:13" ht="14.25">
      <c r="A45" s="1527"/>
      <c r="B45" s="737" t="s">
        <v>1882</v>
      </c>
      <c r="C45" s="677">
        <f t="shared" si="3"/>
        <v>1.6666666666666666E-2</v>
      </c>
      <c r="D45" s="726">
        <v>6</v>
      </c>
      <c r="E45" s="1513">
        <f>IF('OR06-理赔保全'!K12&lt;M45,D45,0)</f>
        <v>6</v>
      </c>
      <c r="F45" s="1231"/>
      <c r="G45" s="1231"/>
      <c r="H45" s="1231"/>
      <c r="I45" s="1231"/>
      <c r="J45" s="1230"/>
      <c r="K45" s="728" t="s">
        <v>1804</v>
      </c>
      <c r="L45" s="749" t="s">
        <v>1903</v>
      </c>
      <c r="M45" s="750">
        <v>0.5</v>
      </c>
    </row>
    <row r="46" spans="1:13" ht="14.25">
      <c r="A46" s="1527"/>
      <c r="B46" s="737" t="s">
        <v>1883</v>
      </c>
      <c r="C46" s="677">
        <f t="shared" si="3"/>
        <v>1.6666666666666666E-2</v>
      </c>
      <c r="D46" s="726">
        <v>10</v>
      </c>
      <c r="E46" s="1513">
        <f>IF('OR06-理赔保全'!K13&lt;M46,D46,0)</f>
        <v>10</v>
      </c>
      <c r="F46" s="1231"/>
      <c r="G46" s="1231"/>
      <c r="H46" s="1231"/>
      <c r="I46" s="1231"/>
      <c r="J46" s="1230"/>
      <c r="K46" s="728" t="s">
        <v>1804</v>
      </c>
      <c r="L46" s="749" t="s">
        <v>1903</v>
      </c>
      <c r="M46" s="750">
        <v>0.3</v>
      </c>
    </row>
    <row r="47" spans="1:13" ht="14.25">
      <c r="A47" s="1527"/>
      <c r="B47" s="737" t="s">
        <v>1884</v>
      </c>
      <c r="C47" s="677">
        <f t="shared" si="3"/>
        <v>1.6666666666666666E-2</v>
      </c>
      <c r="D47" s="726">
        <v>7</v>
      </c>
      <c r="E47" s="1513">
        <f>IF('OR06-理赔保全'!K14&lt;M47,D47,0)</f>
        <v>0</v>
      </c>
      <c r="F47" s="1231"/>
      <c r="G47" s="1231"/>
      <c r="H47" s="1231"/>
      <c r="I47" s="1231"/>
      <c r="J47" s="1230"/>
      <c r="K47" s="728" t="s">
        <v>1804</v>
      </c>
      <c r="L47" s="749" t="s">
        <v>1903</v>
      </c>
      <c r="M47" s="750">
        <v>5</v>
      </c>
    </row>
    <row r="48" spans="1:13" ht="28.5">
      <c r="A48" s="1527"/>
      <c r="B48" s="737" t="s">
        <v>479</v>
      </c>
      <c r="C48" s="677">
        <f t="shared" si="3"/>
        <v>1.6666666666666666E-2</v>
      </c>
      <c r="D48" s="726">
        <v>8</v>
      </c>
      <c r="E48" s="1223">
        <f>'OR06-理赔保全'!M15</f>
        <v>8</v>
      </c>
      <c r="F48" s="1231"/>
      <c r="G48" s="1231"/>
      <c r="H48" s="1231"/>
      <c r="I48" s="1231"/>
      <c r="J48" s="1230"/>
      <c r="K48" s="728" t="s">
        <v>1798</v>
      </c>
      <c r="L48" s="728"/>
      <c r="M48" s="731"/>
    </row>
    <row r="49" spans="1:13" ht="14.25">
      <c r="A49" s="1527"/>
      <c r="B49" s="737" t="s">
        <v>480</v>
      </c>
      <c r="C49" s="677">
        <f t="shared" si="3"/>
        <v>1.6666666666666666E-2</v>
      </c>
      <c r="D49" s="726">
        <v>5</v>
      </c>
      <c r="E49" s="1223">
        <f>'OR06-理赔保全'!M16</f>
        <v>5</v>
      </c>
      <c r="F49" s="1231"/>
      <c r="G49" s="1231"/>
      <c r="H49" s="1231"/>
      <c r="I49" s="1231"/>
      <c r="J49" s="1230"/>
      <c r="K49" s="728" t="s">
        <v>1798</v>
      </c>
      <c r="L49" s="728"/>
      <c r="M49" s="731"/>
    </row>
    <row r="50" spans="1:13" ht="14.25">
      <c r="A50" s="1527"/>
      <c r="B50" s="737" t="s">
        <v>481</v>
      </c>
      <c r="C50" s="677">
        <f t="shared" si="3"/>
        <v>1.6666666666666666E-2</v>
      </c>
      <c r="D50" s="726">
        <v>5</v>
      </c>
      <c r="E50" s="1223">
        <f>'OR06-理赔保全'!M17</f>
        <v>5</v>
      </c>
      <c r="F50" s="1231"/>
      <c r="G50" s="1231"/>
      <c r="H50" s="1231"/>
      <c r="I50" s="1231"/>
      <c r="J50" s="1230"/>
      <c r="K50" s="728" t="s">
        <v>1798</v>
      </c>
      <c r="L50" s="728"/>
      <c r="M50" s="731"/>
    </row>
    <row r="51" spans="1:13" ht="15" thickBot="1">
      <c r="A51" s="1528"/>
      <c r="B51" s="751" t="s">
        <v>1885</v>
      </c>
      <c r="C51" s="681">
        <f t="shared" si="3"/>
        <v>1.6666666666666666E-2</v>
      </c>
      <c r="D51" s="740">
        <v>12</v>
      </c>
      <c r="E51" s="1240">
        <f>'OR06-理赔保全'!M21</f>
        <v>12</v>
      </c>
      <c r="F51" s="1243"/>
      <c r="G51" s="1243"/>
      <c r="H51" s="1243"/>
      <c r="I51" s="1243"/>
      <c r="J51" s="1244"/>
      <c r="K51" s="741" t="s">
        <v>1798</v>
      </c>
      <c r="L51" s="741"/>
      <c r="M51" s="742"/>
    </row>
    <row r="52" spans="1:13" ht="14.25">
      <c r="A52" s="1526" t="s">
        <v>1894</v>
      </c>
      <c r="B52" s="752" t="s">
        <v>1769</v>
      </c>
      <c r="C52" s="674">
        <f t="shared" ref="C52:C70" si="4">70%*(1/18)</f>
        <v>3.8888888888888883E-2</v>
      </c>
      <c r="D52" s="721">
        <v>5</v>
      </c>
      <c r="E52" s="1222">
        <f>D52</f>
        <v>5</v>
      </c>
      <c r="F52" s="1241"/>
      <c r="G52" s="1241"/>
      <c r="H52" s="1241"/>
      <c r="I52" s="1241"/>
      <c r="J52" s="1242"/>
      <c r="K52" s="722" t="s">
        <v>1960</v>
      </c>
      <c r="L52" s="722"/>
      <c r="M52" s="723"/>
    </row>
    <row r="53" spans="1:13" ht="14.25">
      <c r="A53" s="1527"/>
      <c r="B53" s="746" t="s">
        <v>1770</v>
      </c>
      <c r="C53" s="677">
        <f t="shared" si="4"/>
        <v>3.8888888888888883E-2</v>
      </c>
      <c r="D53" s="726">
        <v>3</v>
      </c>
      <c r="E53" s="1223">
        <f>'OR08-分公司理赔'!M7</f>
        <v>1.5</v>
      </c>
      <c r="F53" s="1231"/>
      <c r="G53" s="1231"/>
      <c r="H53" s="1231"/>
      <c r="I53" s="1231"/>
      <c r="J53" s="1230"/>
      <c r="K53" s="728" t="s">
        <v>1798</v>
      </c>
      <c r="L53" s="728"/>
      <c r="M53" s="731"/>
    </row>
    <row r="54" spans="1:13" ht="14.25">
      <c r="A54" s="1527"/>
      <c r="B54" s="746" t="s">
        <v>1109</v>
      </c>
      <c r="C54" s="677">
        <f t="shared" si="4"/>
        <v>3.8888888888888883E-2</v>
      </c>
      <c r="D54" s="726">
        <v>3</v>
      </c>
      <c r="E54" s="1223">
        <f>'OR08-分公司理赔'!M11</f>
        <v>3</v>
      </c>
      <c r="F54" s="1231"/>
      <c r="G54" s="1231"/>
      <c r="H54" s="1231"/>
      <c r="I54" s="1231"/>
      <c r="J54" s="1230"/>
      <c r="K54" s="728" t="s">
        <v>1798</v>
      </c>
      <c r="L54" s="728"/>
      <c r="M54" s="731"/>
    </row>
    <row r="55" spans="1:13" ht="14.25">
      <c r="A55" s="1527"/>
      <c r="B55" s="746" t="s">
        <v>117</v>
      </c>
      <c r="C55" s="677">
        <f t="shared" si="4"/>
        <v>3.8888888888888883E-2</v>
      </c>
      <c r="D55" s="726">
        <v>4</v>
      </c>
      <c r="E55" s="1223">
        <f>'OR08-分公司理赔'!M12</f>
        <v>4</v>
      </c>
      <c r="F55" s="1231"/>
      <c r="G55" s="1231"/>
      <c r="H55" s="1231"/>
      <c r="I55" s="1231"/>
      <c r="J55" s="1230"/>
      <c r="K55" s="728" t="s">
        <v>1798</v>
      </c>
      <c r="L55" s="728"/>
      <c r="M55" s="731"/>
    </row>
    <row r="56" spans="1:13" ht="14.25">
      <c r="A56" s="1527"/>
      <c r="B56" s="746" t="s">
        <v>1183</v>
      </c>
      <c r="C56" s="677">
        <f t="shared" si="4"/>
        <v>3.8888888888888883E-2</v>
      </c>
      <c r="D56" s="726">
        <v>6</v>
      </c>
      <c r="E56" s="1223">
        <f>'OR08-分公司理赔'!M13</f>
        <v>6</v>
      </c>
      <c r="F56" s="1231"/>
      <c r="G56" s="1231"/>
      <c r="H56" s="1231"/>
      <c r="I56" s="1231"/>
      <c r="J56" s="1230"/>
      <c r="K56" s="728" t="s">
        <v>1798</v>
      </c>
      <c r="L56" s="728"/>
      <c r="M56" s="731"/>
    </row>
    <row r="57" spans="1:13" ht="14.25">
      <c r="A57" s="1527"/>
      <c r="B57" s="746" t="s">
        <v>1890</v>
      </c>
      <c r="C57" s="677">
        <f t="shared" si="4"/>
        <v>3.8888888888888883E-2</v>
      </c>
      <c r="D57" s="726">
        <v>8</v>
      </c>
      <c r="E57" s="1513">
        <f>IF('OR06-理赔保全'!K24&lt;M57,D57,0)</f>
        <v>8</v>
      </c>
      <c r="F57" s="1231"/>
      <c r="G57" s="1231"/>
      <c r="H57" s="1231"/>
      <c r="I57" s="1231"/>
      <c r="J57" s="1230"/>
      <c r="K57" s="728" t="s">
        <v>1804</v>
      </c>
      <c r="L57" s="749" t="s">
        <v>1903</v>
      </c>
      <c r="M57" s="750">
        <v>0.5</v>
      </c>
    </row>
    <row r="58" spans="1:13" ht="14.25">
      <c r="A58" s="1527"/>
      <c r="B58" s="753" t="s">
        <v>1191</v>
      </c>
      <c r="C58" s="677">
        <f t="shared" si="4"/>
        <v>3.8888888888888883E-2</v>
      </c>
      <c r="D58" s="726">
        <v>6</v>
      </c>
      <c r="E58" s="1223">
        <f>'OR08-分公司理赔'!M19</f>
        <v>6</v>
      </c>
      <c r="F58" s="1231"/>
      <c r="G58" s="1231"/>
      <c r="H58" s="1231"/>
      <c r="I58" s="1231"/>
      <c r="J58" s="1230"/>
      <c r="K58" s="728" t="s">
        <v>1798</v>
      </c>
      <c r="L58" s="728"/>
      <c r="M58" s="731"/>
    </row>
    <row r="59" spans="1:13" ht="14.25">
      <c r="A59" s="1527"/>
      <c r="B59" s="753" t="s">
        <v>1772</v>
      </c>
      <c r="C59" s="677">
        <f t="shared" si="4"/>
        <v>3.8888888888888883E-2</v>
      </c>
      <c r="D59" s="726">
        <v>4</v>
      </c>
      <c r="E59" s="1223">
        <f>'OR08-分公司理赔'!M22</f>
        <v>4</v>
      </c>
      <c r="F59" s="1231"/>
      <c r="G59" s="1231"/>
      <c r="H59" s="1231"/>
      <c r="I59" s="1231"/>
      <c r="J59" s="1230"/>
      <c r="K59" s="728" t="s">
        <v>1798</v>
      </c>
      <c r="L59" s="728"/>
      <c r="M59" s="731"/>
    </row>
    <row r="60" spans="1:13" ht="14.25">
      <c r="A60" s="1527"/>
      <c r="B60" s="724" t="s">
        <v>1195</v>
      </c>
      <c r="C60" s="677">
        <f t="shared" si="4"/>
        <v>3.8888888888888883E-2</v>
      </c>
      <c r="D60" s="1525">
        <v>4</v>
      </c>
      <c r="E60" s="1535">
        <f>'OR08-分公司理赔'!M25</f>
        <v>4</v>
      </c>
      <c r="F60" s="1231"/>
      <c r="G60" s="1231"/>
      <c r="H60" s="1231"/>
      <c r="I60" s="1231"/>
      <c r="J60" s="1230"/>
      <c r="K60" s="728" t="s">
        <v>1798</v>
      </c>
      <c r="L60" s="728"/>
      <c r="M60" s="731"/>
    </row>
    <row r="61" spans="1:13" ht="14.25">
      <c r="A61" s="1527"/>
      <c r="B61" s="724" t="s">
        <v>1197</v>
      </c>
      <c r="C61" s="677">
        <f t="shared" si="4"/>
        <v>3.8888888888888883E-2</v>
      </c>
      <c r="D61" s="1525"/>
      <c r="E61" s="1535"/>
      <c r="F61" s="1231"/>
      <c r="G61" s="1231"/>
      <c r="H61" s="1231"/>
      <c r="I61" s="1231"/>
      <c r="J61" s="1230"/>
      <c r="K61" s="728" t="s">
        <v>1798</v>
      </c>
      <c r="L61" s="728"/>
      <c r="M61" s="731"/>
    </row>
    <row r="62" spans="1:13" ht="14.25">
      <c r="A62" s="1527"/>
      <c r="B62" s="724" t="s">
        <v>1198</v>
      </c>
      <c r="C62" s="677">
        <f t="shared" si="4"/>
        <v>3.8888888888888883E-2</v>
      </c>
      <c r="D62" s="1525"/>
      <c r="E62" s="1535"/>
      <c r="F62" s="1231"/>
      <c r="G62" s="1231"/>
      <c r="H62" s="1231"/>
      <c r="I62" s="1231"/>
      <c r="J62" s="1230"/>
      <c r="K62" s="728" t="s">
        <v>1798</v>
      </c>
      <c r="L62" s="728"/>
      <c r="M62" s="731"/>
    </row>
    <row r="63" spans="1:13" ht="14.25">
      <c r="A63" s="1527"/>
      <c r="B63" s="724" t="s">
        <v>1199</v>
      </c>
      <c r="C63" s="677">
        <f t="shared" si="4"/>
        <v>3.8888888888888883E-2</v>
      </c>
      <c r="D63" s="1525"/>
      <c r="E63" s="1535"/>
      <c r="F63" s="1231"/>
      <c r="G63" s="1231"/>
      <c r="H63" s="1231"/>
      <c r="I63" s="1231"/>
      <c r="J63" s="1230"/>
      <c r="K63" s="728" t="s">
        <v>1798</v>
      </c>
      <c r="L63" s="728"/>
      <c r="M63" s="731"/>
    </row>
    <row r="64" spans="1:13" ht="14.25">
      <c r="A64" s="1527"/>
      <c r="B64" s="754" t="s">
        <v>2102</v>
      </c>
      <c r="C64" s="677">
        <f t="shared" si="4"/>
        <v>3.8888888888888883E-2</v>
      </c>
      <c r="D64" s="726">
        <v>20</v>
      </c>
      <c r="E64" s="1223">
        <f>'OR08-分公司理赔'!M29</f>
        <v>20</v>
      </c>
      <c r="F64" s="1231"/>
      <c r="G64" s="1231"/>
      <c r="H64" s="1231"/>
      <c r="I64" s="1231"/>
      <c r="J64" s="1230"/>
      <c r="K64" s="728" t="s">
        <v>1798</v>
      </c>
      <c r="L64" s="728"/>
      <c r="M64" s="731"/>
    </row>
    <row r="65" spans="1:13" ht="14.25">
      <c r="A65" s="1527"/>
      <c r="B65" s="755" t="s">
        <v>2101</v>
      </c>
      <c r="C65" s="677">
        <f t="shared" si="4"/>
        <v>3.8888888888888883E-2</v>
      </c>
      <c r="D65" s="726">
        <v>12</v>
      </c>
      <c r="E65" s="1223">
        <f>'OR08-分公司理赔'!M31</f>
        <v>12</v>
      </c>
      <c r="F65" s="1231"/>
      <c r="G65" s="1231"/>
      <c r="H65" s="1231"/>
      <c r="I65" s="1231"/>
      <c r="J65" s="1230"/>
      <c r="K65" s="728" t="s">
        <v>1798</v>
      </c>
      <c r="L65" s="728"/>
      <c r="M65" s="731"/>
    </row>
    <row r="66" spans="1:13" ht="14.25">
      <c r="A66" s="1527"/>
      <c r="B66" s="724" t="s">
        <v>1205</v>
      </c>
      <c r="C66" s="677">
        <f t="shared" si="4"/>
        <v>3.8888888888888883E-2</v>
      </c>
      <c r="D66" s="726">
        <v>0</v>
      </c>
      <c r="E66" s="1234">
        <v>0</v>
      </c>
      <c r="F66" s="1231"/>
      <c r="G66" s="1231"/>
      <c r="H66" s="1231"/>
      <c r="I66" s="1231"/>
      <c r="J66" s="1230"/>
      <c r="K66" s="728" t="s">
        <v>1805</v>
      </c>
      <c r="L66" s="728"/>
      <c r="M66" s="731"/>
    </row>
    <row r="67" spans="1:13" ht="14.25">
      <c r="A67" s="1527"/>
      <c r="B67" s="737" t="s">
        <v>1162</v>
      </c>
      <c r="C67" s="677">
        <f t="shared" si="4"/>
        <v>3.8888888888888883E-2</v>
      </c>
      <c r="D67" s="726">
        <v>2</v>
      </c>
      <c r="E67" s="1223">
        <f>'OR08-分公司理赔'!M34</f>
        <v>2</v>
      </c>
      <c r="F67" s="1231"/>
      <c r="G67" s="1231"/>
      <c r="H67" s="1231"/>
      <c r="I67" s="1231"/>
      <c r="J67" s="1230"/>
      <c r="K67" s="728" t="s">
        <v>1798</v>
      </c>
      <c r="L67" s="728"/>
      <c r="M67" s="731"/>
    </row>
    <row r="68" spans="1:13" ht="14.25">
      <c r="A68" s="1527"/>
      <c r="B68" s="724" t="s">
        <v>1209</v>
      </c>
      <c r="C68" s="677">
        <f t="shared" si="4"/>
        <v>3.8888888888888883E-2</v>
      </c>
      <c r="D68" s="726">
        <v>2</v>
      </c>
      <c r="E68" s="1223">
        <f>'OR08-分公司理赔'!M36</f>
        <v>2</v>
      </c>
      <c r="F68" s="1231"/>
      <c r="G68" s="1231"/>
      <c r="H68" s="1231"/>
      <c r="I68" s="1231"/>
      <c r="J68" s="1230"/>
      <c r="K68" s="728" t="s">
        <v>1798</v>
      </c>
      <c r="L68" s="728"/>
      <c r="M68" s="731"/>
    </row>
    <row r="69" spans="1:13" ht="14.25">
      <c r="A69" s="1527"/>
      <c r="B69" s="724" t="s">
        <v>1213</v>
      </c>
      <c r="C69" s="677">
        <f t="shared" si="4"/>
        <v>3.8888888888888883E-2</v>
      </c>
      <c r="D69" s="726">
        <v>1</v>
      </c>
      <c r="E69" s="1223">
        <f>'OR08-分公司理赔'!M37</f>
        <v>1</v>
      </c>
      <c r="F69" s="1231"/>
      <c r="G69" s="1231"/>
      <c r="H69" s="1231"/>
      <c r="I69" s="1231"/>
      <c r="J69" s="1230"/>
      <c r="K69" s="728" t="s">
        <v>1798</v>
      </c>
      <c r="L69" s="756"/>
      <c r="M69" s="731"/>
    </row>
    <row r="70" spans="1:13" ht="15" thickBot="1">
      <c r="A70" s="1528"/>
      <c r="B70" s="757" t="s">
        <v>1893</v>
      </c>
      <c r="C70" s="681">
        <f t="shared" si="4"/>
        <v>3.8888888888888883E-2</v>
      </c>
      <c r="D70" s="740">
        <v>10</v>
      </c>
      <c r="E70" s="1240">
        <f>MAX(10-($D$64-$E$64)-($D$65-E65),0)</f>
        <v>10</v>
      </c>
      <c r="F70" s="1243"/>
      <c r="G70" s="1243"/>
      <c r="H70" s="1243"/>
      <c r="I70" s="1243"/>
      <c r="J70" s="1244"/>
      <c r="K70" s="741" t="s">
        <v>1804</v>
      </c>
      <c r="L70" s="1515" t="s">
        <v>2100</v>
      </c>
      <c r="M70" s="1516"/>
    </row>
    <row r="71" spans="1:13" ht="14.25">
      <c r="A71" s="1526" t="s">
        <v>1898</v>
      </c>
      <c r="B71" s="748" t="s">
        <v>131</v>
      </c>
      <c r="C71" s="674">
        <f t="shared" ref="C71:C79" si="5">40%*(1/18)</f>
        <v>2.2222222222222223E-2</v>
      </c>
      <c r="D71" s="721">
        <v>1</v>
      </c>
      <c r="E71" s="1245"/>
      <c r="F71" s="1246">
        <f>D71</f>
        <v>1</v>
      </c>
      <c r="G71" s="1247">
        <f>'OR13-分公司财务管理'!M22</f>
        <v>0.9</v>
      </c>
      <c r="H71" s="1248">
        <f>D71</f>
        <v>1</v>
      </c>
      <c r="I71" s="1249">
        <f>D71</f>
        <v>1</v>
      </c>
      <c r="J71" s="1250">
        <f>D71</f>
        <v>1</v>
      </c>
      <c r="K71" s="722" t="s">
        <v>1798</v>
      </c>
      <c r="L71" s="1531" t="s">
        <v>2062</v>
      </c>
      <c r="M71" s="1532"/>
    </row>
    <row r="72" spans="1:13" ht="14.25">
      <c r="A72" s="1527"/>
      <c r="B72" s="737" t="s">
        <v>1895</v>
      </c>
      <c r="C72" s="677">
        <f t="shared" si="5"/>
        <v>2.2222222222222223E-2</v>
      </c>
      <c r="D72" s="726">
        <v>3</v>
      </c>
      <c r="E72" s="1251"/>
      <c r="F72" s="1224">
        <f>'OR13-分公司财务管理'!M23</f>
        <v>3</v>
      </c>
      <c r="G72" s="1225">
        <f>'OR13-分公司财务管理'!M23</f>
        <v>3</v>
      </c>
      <c r="H72" s="1226">
        <f>'OR13-分公司财务管理'!M23</f>
        <v>3</v>
      </c>
      <c r="I72" s="1227">
        <f>'OR13-分公司财务管理'!M23</f>
        <v>3</v>
      </c>
      <c r="J72" s="1228">
        <f>'OR13-分公司财务管理'!M23</f>
        <v>3</v>
      </c>
      <c r="K72" s="728" t="s">
        <v>1798</v>
      </c>
      <c r="L72" s="728"/>
      <c r="M72" s="731"/>
    </row>
    <row r="73" spans="1:13" ht="14.25">
      <c r="A73" s="1527"/>
      <c r="B73" s="737" t="s">
        <v>1253</v>
      </c>
      <c r="C73" s="677">
        <f t="shared" si="5"/>
        <v>2.2222222222222223E-2</v>
      </c>
      <c r="D73" s="726">
        <v>3</v>
      </c>
      <c r="E73" s="1251"/>
      <c r="F73" s="1224">
        <f>'OR13-分公司财务管理'!M28</f>
        <v>3</v>
      </c>
      <c r="G73" s="1225">
        <f>'OR13-分公司财务管理'!M28</f>
        <v>3</v>
      </c>
      <c r="H73" s="1226">
        <f>'OR13-分公司财务管理'!M28</f>
        <v>3</v>
      </c>
      <c r="I73" s="1227">
        <f>'OR13-分公司财务管理'!M28</f>
        <v>3</v>
      </c>
      <c r="J73" s="1228">
        <f>'OR13-分公司财务管理'!M28</f>
        <v>3</v>
      </c>
      <c r="K73" s="728" t="s">
        <v>1798</v>
      </c>
      <c r="L73" s="728"/>
      <c r="M73" s="731"/>
    </row>
    <row r="74" spans="1:13" ht="14.25">
      <c r="A74" s="1527"/>
      <c r="B74" s="626" t="s">
        <v>1852</v>
      </c>
      <c r="C74" s="677">
        <f t="shared" si="5"/>
        <v>2.2222222222222223E-2</v>
      </c>
      <c r="D74" s="726">
        <v>3</v>
      </c>
      <c r="E74" s="1251"/>
      <c r="F74" s="1231"/>
      <c r="G74" s="1225">
        <f>'OR13-分公司财务管理'!M32</f>
        <v>3</v>
      </c>
      <c r="H74" s="1231"/>
      <c r="I74" s="1231"/>
      <c r="J74" s="1230"/>
      <c r="K74" s="728" t="s">
        <v>1798</v>
      </c>
      <c r="L74" s="728"/>
      <c r="M74" s="731"/>
    </row>
    <row r="75" spans="1:13" ht="14.25">
      <c r="A75" s="1527"/>
      <c r="B75" s="422" t="s">
        <v>2033</v>
      </c>
      <c r="C75" s="677"/>
      <c r="D75" s="726"/>
      <c r="E75" s="1251"/>
      <c r="F75" s="1224">
        <v>0</v>
      </c>
      <c r="G75" s="1225">
        <v>0</v>
      </c>
      <c r="H75" s="1226">
        <v>0</v>
      </c>
      <c r="I75" s="1227">
        <v>0</v>
      </c>
      <c r="J75" s="1228">
        <v>0</v>
      </c>
      <c r="K75" s="728" t="s">
        <v>1802</v>
      </c>
      <c r="L75" s="1517" t="s">
        <v>2034</v>
      </c>
      <c r="M75" s="1518"/>
    </row>
    <row r="76" spans="1:13" ht="14.25">
      <c r="A76" s="1527"/>
      <c r="B76" s="422" t="s">
        <v>2495</v>
      </c>
      <c r="C76" s="677"/>
      <c r="D76" s="726"/>
      <c r="E76" s="1251"/>
      <c r="F76" s="1224">
        <v>0</v>
      </c>
      <c r="G76" s="1225">
        <v>0</v>
      </c>
      <c r="H76" s="1252">
        <v>1</v>
      </c>
      <c r="I76" s="1227">
        <v>0</v>
      </c>
      <c r="J76" s="1228">
        <v>0</v>
      </c>
      <c r="K76" s="728" t="s">
        <v>1802</v>
      </c>
      <c r="L76" s="1517" t="s">
        <v>2035</v>
      </c>
      <c r="M76" s="1518"/>
    </row>
    <row r="77" spans="1:13" ht="15" thickBot="1">
      <c r="A77" s="1527"/>
      <c r="B77" s="422"/>
      <c r="C77" s="677">
        <f t="shared" si="5"/>
        <v>2.2222222222222223E-2</v>
      </c>
      <c r="D77" s="726">
        <v>12</v>
      </c>
      <c r="E77" s="1251"/>
      <c r="F77" s="1224">
        <f>12-0.5*F75/10-3*F76/10</f>
        <v>12</v>
      </c>
      <c r="G77" s="1225">
        <f>12-0.5*G75/10-3*G76/10</f>
        <v>12</v>
      </c>
      <c r="H77" s="1226">
        <f>12-0.5*H75/10-3*H76/10</f>
        <v>11.7</v>
      </c>
      <c r="I77" s="1227">
        <f>12-0.5*I75/10-3*I76/10</f>
        <v>12</v>
      </c>
      <c r="J77" s="1228">
        <f>12-0.5*J75/10-3*J76/10</f>
        <v>12</v>
      </c>
      <c r="K77" s="728" t="s">
        <v>1798</v>
      </c>
      <c r="L77" s="728"/>
      <c r="M77" s="731"/>
    </row>
    <row r="78" spans="1:13" ht="14.25">
      <c r="A78" s="1527"/>
      <c r="B78" s="737" t="s">
        <v>1896</v>
      </c>
      <c r="C78" s="677">
        <f t="shared" si="5"/>
        <v>2.2222222222222223E-2</v>
      </c>
      <c r="D78" s="726">
        <v>2</v>
      </c>
      <c r="E78" s="1251"/>
      <c r="F78" s="1231"/>
      <c r="G78" s="1225">
        <v>2</v>
      </c>
      <c r="H78" s="1226">
        <f>'OR13-分公司财务管理'!M40</f>
        <v>1.8</v>
      </c>
      <c r="I78" s="1231"/>
      <c r="J78" s="1230"/>
      <c r="K78" s="728" t="s">
        <v>1798</v>
      </c>
      <c r="L78" s="1531" t="s">
        <v>2062</v>
      </c>
      <c r="M78" s="1532"/>
    </row>
    <row r="79" spans="1:13" ht="14.25">
      <c r="A79" s="1527"/>
      <c r="B79" s="737" t="s">
        <v>1265</v>
      </c>
      <c r="C79" s="677">
        <f t="shared" si="5"/>
        <v>2.2222222222222223E-2</v>
      </c>
      <c r="D79" s="726">
        <v>2</v>
      </c>
      <c r="E79" s="1251"/>
      <c r="F79" s="1231"/>
      <c r="G79" s="1225">
        <f>'OR13-分公司财务管理'!M43</f>
        <v>2</v>
      </c>
      <c r="H79" s="1226">
        <f>'OR13-分公司财务管理'!M43</f>
        <v>2</v>
      </c>
      <c r="I79" s="1231"/>
      <c r="J79" s="1230"/>
      <c r="K79" s="728" t="s">
        <v>1798</v>
      </c>
      <c r="L79" s="728"/>
      <c r="M79" s="731"/>
    </row>
    <row r="80" spans="1:13" ht="15" thickBot="1">
      <c r="A80" s="1528"/>
      <c r="B80" s="758" t="s">
        <v>1897</v>
      </c>
      <c r="C80" s="681">
        <f>40%*(1/18)</f>
        <v>2.2222222222222223E-2</v>
      </c>
      <c r="D80" s="740">
        <v>10</v>
      </c>
      <c r="E80" s="1253"/>
      <c r="F80" s="1254">
        <f>MAX($D$80-$D$77+F77,0)</f>
        <v>10</v>
      </c>
      <c r="G80" s="1254">
        <f>MAX($D$80-$D$77+G77,0)</f>
        <v>10</v>
      </c>
      <c r="H80" s="1254">
        <f>MAX($D$80-$D$77+H77,0)</f>
        <v>9.6999999999999993</v>
      </c>
      <c r="I80" s="1254">
        <f>MAX($D$80-$D$77+I77,0)</f>
        <v>10</v>
      </c>
      <c r="J80" s="1254">
        <f>MAX($D$80-$D$77+J77,0)</f>
        <v>10</v>
      </c>
      <c r="K80" s="741" t="s">
        <v>1804</v>
      </c>
      <c r="L80" s="1515" t="s">
        <v>2100</v>
      </c>
      <c r="M80" s="1516"/>
    </row>
    <row r="81" spans="1:13" ht="43.5" thickBot="1">
      <c r="A81" s="759" t="s">
        <v>1857</v>
      </c>
      <c r="B81" s="760" t="s">
        <v>1899</v>
      </c>
      <c r="C81" s="761">
        <f>60%*(1/18)</f>
        <v>3.3333333333333333E-2</v>
      </c>
      <c r="D81" s="762">
        <v>3</v>
      </c>
      <c r="E81" s="1255"/>
      <c r="F81" s="1256"/>
      <c r="G81" s="1257">
        <f>'OR12-财务管理'!P25</f>
        <v>3</v>
      </c>
      <c r="H81" s="1258">
        <f>'OR12-财务管理'!P25</f>
        <v>3</v>
      </c>
      <c r="I81" s="1256"/>
      <c r="J81" s="1259"/>
      <c r="K81" s="763" t="s">
        <v>1798</v>
      </c>
      <c r="L81" s="763"/>
      <c r="M81" s="764"/>
    </row>
    <row r="82" spans="1:13" ht="15">
      <c r="B82" s="710"/>
      <c r="D82" s="718" t="s">
        <v>1409</v>
      </c>
      <c r="E82" s="1260">
        <f>C3*D3+C8*D8+SUMPRODUCT(C16:C18,D16:D18)+C21*D21+SUMPRODUCT(C26:C28,D26:D28)+C29*D29+C31*D31+SUMPRODUCT(C34:C39,D34:D39)+SUMPRODUCT(C41:C70,D41:D70)</f>
        <v>6.716666666666665</v>
      </c>
      <c r="F82" s="1260">
        <f>C2*D2+SUMPRODUCT(C4:C15,D4:D15)+C17*D17+C18*D18+SUMPRODUCT(C20:C23,D20:D23)+C25*D25+SUMPRODUCT(C27:C30,D27:D30)+C32*D32+C33*D33+SUMPRODUCT(C37:C41,D37:D41)+SUMPRODUCT(C71:C73,D71:D73)+C77*D77+C80*D80</f>
        <v>3.9611111111111108</v>
      </c>
      <c r="G82" s="1260">
        <f>SUMPRODUCT(C2:C15,D2:D15)+SUMPRODUCT(C17:C21,D17:D21)+SUMPRODUCT(C23:C25,D23:D25)+SUMPRODUCT(C27:C29,D27:D29)+SUMPRODUCT(C32:C33,D32:D33)+SUMPRODUCT(C37:C41,D37:D41)+SUMPRODUCT(C71:C81,D71:D81)</f>
        <v>4.3555555555555543</v>
      </c>
      <c r="H82" s="1260">
        <f>C2*D2+SUMPRODUCT(C4:C15,D4:D15)+SUMPRODUCT(C17:C21,D17:D21)+SUMPRODUCT(C23:C25,D23:D25)+SUMPRODUCT(C27:C30,D27:D30)+C32*D32+C33*D33+SUMPRODUCT(C37:C41,D37:D41)+SUMPRODUCT(C71:C73,D71:D73)+SUMPRODUCT(C75:C81,D75:D81)</f>
        <v>4.3055555555555554</v>
      </c>
      <c r="I82" s="1260">
        <f>C2*D2+SUMPRODUCT(C4:C15,D4:D15)+SUMPRODUCT(C19:C21,D19:D21)+SUMPRODUCT(C23:C25,D23:D25)+SUMPRODUCT(C27:C30,D27:D30)+C32*D32+C33*D33+SUMPRODUCT(C37:C41,D37:D41)+SUMPRODUCT(C71:C73,D71:D73)+C77*D77+C80*D80+C17*D17+C18*D18</f>
        <v>4.1166666666666663</v>
      </c>
      <c r="J82" s="1260">
        <f>C2*D2+SUMPRODUCT(C4:C15,D4:D15)+SUMPRODUCT(C17:C18,D17:D18)+SUMPRODUCT(C20:C21,D20:D21)+C23*D23+C25*D25+SUMPRODUCT(C27:C30,D27:D30)+C32*D32+C33*D33+SUMPRODUCT(C37:C41,D37:D41)+SUMPRODUCT(C71:C73,D71:D73)+C77*D77+C80*D80</f>
        <v>3.8833333333333333</v>
      </c>
    </row>
    <row r="83" spans="1:13" ht="15">
      <c r="A83" s="765"/>
      <c r="B83" s="710"/>
      <c r="D83" s="718" t="s">
        <v>1860</v>
      </c>
      <c r="E83" s="1260">
        <f t="shared" ref="E83:J83" si="6">SUMPRODUCT($C$2:$C$81,E2:E81)</f>
        <v>6.3996296296296311</v>
      </c>
      <c r="F83" s="1260">
        <f t="shared" si="6"/>
        <v>3.541572052671893</v>
      </c>
      <c r="G83" s="1260">
        <f t="shared" si="6"/>
        <v>4.2357758620689658</v>
      </c>
      <c r="H83" s="1260">
        <f t="shared" si="6"/>
        <v>4.0096228415537523</v>
      </c>
      <c r="I83" s="1260">
        <f t="shared" si="6"/>
        <v>4.0279308836938448</v>
      </c>
      <c r="J83" s="1260">
        <f t="shared" si="6"/>
        <v>3.7953142003670295</v>
      </c>
    </row>
    <row r="84" spans="1:13" ht="15">
      <c r="A84" s="765"/>
      <c r="B84" s="710"/>
      <c r="D84" s="718" t="s">
        <v>1403</v>
      </c>
      <c r="E84" s="1260">
        <f t="shared" ref="E84:J84" si="7">E83/E82*100</f>
        <v>95.279845602426292</v>
      </c>
      <c r="F84" s="1260">
        <f t="shared" si="7"/>
        <v>89.408551119346541</v>
      </c>
      <c r="G84" s="1260">
        <f t="shared" si="7"/>
        <v>97.249956016889556</v>
      </c>
      <c r="H84" s="1260">
        <f t="shared" si="7"/>
        <v>93.126724061893611</v>
      </c>
      <c r="I84" s="1260">
        <f t="shared" si="7"/>
        <v>97.844474907542804</v>
      </c>
      <c r="J84" s="1260">
        <f t="shared" si="7"/>
        <v>97.733412884987885</v>
      </c>
    </row>
    <row r="85" spans="1:13" ht="14.25">
      <c r="A85" s="765"/>
      <c r="B85" s="766" t="s">
        <v>1829</v>
      </c>
    </row>
    <row r="86" spans="1:13" ht="14.25">
      <c r="A86" s="765"/>
      <c r="B86" s="710"/>
      <c r="G86" s="1262"/>
      <c r="H86" s="1262"/>
      <c r="I86" s="1262"/>
      <c r="J86" s="1262"/>
    </row>
    <row r="87" spans="1:13" ht="15">
      <c r="A87" s="765"/>
      <c r="B87" s="710"/>
      <c r="C87" s="767" t="s">
        <v>1418</v>
      </c>
      <c r="D87" s="850">
        <f>VALUE($I$84)</f>
        <v>97.844474907542804</v>
      </c>
      <c r="G87" s="1262"/>
      <c r="H87" s="1262"/>
      <c r="I87" s="1262"/>
      <c r="J87" s="1262"/>
    </row>
    <row r="88" spans="1:13" ht="15">
      <c r="A88" s="765"/>
      <c r="B88" s="710"/>
      <c r="C88" s="767" t="s">
        <v>1419</v>
      </c>
      <c r="D88" s="850">
        <f>VALUE($J$84)</f>
        <v>97.733412884987885</v>
      </c>
      <c r="G88" s="1262"/>
      <c r="H88" s="1262"/>
      <c r="I88" s="1262"/>
      <c r="J88" s="1262"/>
    </row>
    <row r="89" spans="1:13" ht="15">
      <c r="A89" s="765"/>
      <c r="B89" s="710"/>
      <c r="C89" s="767" t="s">
        <v>1416</v>
      </c>
      <c r="D89" s="850">
        <f>VALUE($G$84)</f>
        <v>97.249956016889556</v>
      </c>
    </row>
    <row r="90" spans="1:13" ht="15">
      <c r="A90" s="710"/>
      <c r="B90" s="710"/>
      <c r="C90" s="767" t="s">
        <v>1414</v>
      </c>
      <c r="D90" s="850">
        <f>VALUE($E$84)</f>
        <v>95.279845602426292</v>
      </c>
    </row>
    <row r="91" spans="1:13" ht="15">
      <c r="A91" s="710"/>
      <c r="C91" s="767" t="s">
        <v>1417</v>
      </c>
      <c r="D91" s="850">
        <f>VALUE($H$84)</f>
        <v>93.126724061893611</v>
      </c>
    </row>
    <row r="92" spans="1:13" ht="15">
      <c r="C92" s="767" t="s">
        <v>1415</v>
      </c>
      <c r="D92" s="850">
        <f>VALUE($F$84)</f>
        <v>89.408551119346541</v>
      </c>
    </row>
    <row r="93" spans="1:13">
      <c r="A93" s="641" t="s">
        <v>1994</v>
      </c>
    </row>
    <row r="94" spans="1:13">
      <c r="A94" s="641" t="s">
        <v>1993</v>
      </c>
    </row>
    <row r="95" spans="1:13">
      <c r="A95" s="641" t="s">
        <v>1992</v>
      </c>
    </row>
    <row r="96" spans="1:13">
      <c r="A96" s="641" t="s">
        <v>1991</v>
      </c>
    </row>
  </sheetData>
  <sortState ref="C87:D92">
    <sortCondition descending="1" ref="D87"/>
  </sortState>
  <dataConsolidate/>
  <mergeCells count="25">
    <mergeCell ref="L1:M1"/>
    <mergeCell ref="L17:M17"/>
    <mergeCell ref="L27:M27"/>
    <mergeCell ref="L28:M28"/>
    <mergeCell ref="E60:E63"/>
    <mergeCell ref="L30:M30"/>
    <mergeCell ref="L7:M7"/>
    <mergeCell ref="L32:M32"/>
    <mergeCell ref="L3:M3"/>
    <mergeCell ref="L70:M70"/>
    <mergeCell ref="L75:M75"/>
    <mergeCell ref="L76:M76"/>
    <mergeCell ref="A2:A16"/>
    <mergeCell ref="A17:A41"/>
    <mergeCell ref="D60:D63"/>
    <mergeCell ref="A42:A51"/>
    <mergeCell ref="A52:A70"/>
    <mergeCell ref="B5:B6"/>
    <mergeCell ref="B7:B8"/>
    <mergeCell ref="A71:A80"/>
    <mergeCell ref="B38:B39"/>
    <mergeCell ref="L71:M71"/>
    <mergeCell ref="L41:M41"/>
    <mergeCell ref="L80:M80"/>
    <mergeCell ref="L78:M78"/>
  </mergeCells>
  <phoneticPr fontId="3" type="noConversion"/>
  <conditionalFormatting sqref="F2:J2">
    <cfRule type="cellIs" dxfId="394" priority="76" operator="lessThan">
      <formula>$D$2</formula>
    </cfRule>
  </conditionalFormatting>
  <conditionalFormatting sqref="F4:J4">
    <cfRule type="cellIs" dxfId="393" priority="75" operator="lessThan">
      <formula>$D$4</formula>
    </cfRule>
  </conditionalFormatting>
  <conditionalFormatting sqref="F75:J76 E38:J38 F5:J5">
    <cfRule type="cellIs" dxfId="392" priority="74" operator="greaterThan">
      <formula>0</formula>
    </cfRule>
  </conditionalFormatting>
  <conditionalFormatting sqref="F10:J10">
    <cfRule type="cellIs" dxfId="391" priority="70" operator="lessThan">
      <formula>$D$10</formula>
    </cfRule>
    <cfRule type="cellIs" dxfId="390" priority="73" operator="lessThan">
      <formula>$D$10</formula>
    </cfRule>
  </conditionalFormatting>
  <conditionalFormatting sqref="F9:J9">
    <cfRule type="cellIs" dxfId="389" priority="72" operator="lessThan">
      <formula>$D$9</formula>
    </cfRule>
  </conditionalFormatting>
  <conditionalFormatting sqref="F6:J6">
    <cfRule type="cellIs" dxfId="388" priority="71" operator="lessThan">
      <formula>$D$6</formula>
    </cfRule>
  </conditionalFormatting>
  <conditionalFormatting sqref="F11:J15">
    <cfRule type="cellIs" dxfId="387" priority="69" operator="lessThan">
      <formula>D11</formula>
    </cfRule>
  </conditionalFormatting>
  <conditionalFormatting sqref="F11:J11">
    <cfRule type="cellIs" dxfId="386" priority="68" operator="lessThan">
      <formula>$D$11</formula>
    </cfRule>
  </conditionalFormatting>
  <conditionalFormatting sqref="F12:J12">
    <cfRule type="cellIs" dxfId="385" priority="67" operator="lessThan">
      <formula>$D$12</formula>
    </cfRule>
  </conditionalFormatting>
  <conditionalFormatting sqref="F13:J13">
    <cfRule type="cellIs" dxfId="384" priority="66" operator="lessThan">
      <formula>$D$13</formula>
    </cfRule>
  </conditionalFormatting>
  <conditionalFormatting sqref="F14:J14">
    <cfRule type="cellIs" dxfId="383" priority="65" operator="lessThan">
      <formula>$D$14</formula>
    </cfRule>
  </conditionalFormatting>
  <conditionalFormatting sqref="F15:J15">
    <cfRule type="cellIs" dxfId="382" priority="64" operator="lessThan">
      <formula>$D$15</formula>
    </cfRule>
  </conditionalFormatting>
  <conditionalFormatting sqref="E16">
    <cfRule type="cellIs" dxfId="381" priority="63" operator="lessThan">
      <formula>$D$16</formula>
    </cfRule>
  </conditionalFormatting>
  <conditionalFormatting sqref="E17:J17">
    <cfRule type="cellIs" dxfId="380" priority="62" operator="lessThan">
      <formula>$D$17</formula>
    </cfRule>
  </conditionalFormatting>
  <conditionalFormatting sqref="E18:H18 J18">
    <cfRule type="cellIs" dxfId="379" priority="61" operator="lessThan">
      <formula>$D$18</formula>
    </cfRule>
  </conditionalFormatting>
  <conditionalFormatting sqref="F23:J23">
    <cfRule type="cellIs" dxfId="378" priority="60" operator="lessThan">
      <formula>$D$23</formula>
    </cfRule>
  </conditionalFormatting>
  <conditionalFormatting sqref="F25:J25">
    <cfRule type="cellIs" dxfId="377" priority="59" operator="lessThan">
      <formula>$D$25</formula>
    </cfRule>
  </conditionalFormatting>
  <conditionalFormatting sqref="E26">
    <cfRule type="cellIs" dxfId="376" priority="56" operator="lessThan">
      <formula>$D$26</formula>
    </cfRule>
  </conditionalFormatting>
  <conditionalFormatting sqref="E29:J29">
    <cfRule type="cellIs" dxfId="375" priority="54" operator="lessThan">
      <formula>$D$29</formula>
    </cfRule>
  </conditionalFormatting>
  <conditionalFormatting sqref="E31">
    <cfRule type="cellIs" dxfId="374" priority="53" operator="lessThan">
      <formula>$D$31</formula>
    </cfRule>
  </conditionalFormatting>
  <conditionalFormatting sqref="F33:J33">
    <cfRule type="cellIs" dxfId="373" priority="52" operator="lessThan">
      <formula>$D$33</formula>
    </cfRule>
  </conditionalFormatting>
  <conditionalFormatting sqref="E34">
    <cfRule type="cellIs" dxfId="372" priority="51" operator="lessThan">
      <formula>$D$34</formula>
    </cfRule>
  </conditionalFormatting>
  <conditionalFormatting sqref="E35">
    <cfRule type="cellIs" dxfId="371" priority="50" operator="lessThan">
      <formula>$D$35</formula>
    </cfRule>
  </conditionalFormatting>
  <conditionalFormatting sqref="E36">
    <cfRule type="cellIs" dxfId="370" priority="48" operator="lessThan">
      <formula>$D$36</formula>
    </cfRule>
  </conditionalFormatting>
  <conditionalFormatting sqref="E39:J39">
    <cfRule type="cellIs" dxfId="369" priority="46" operator="lessThan">
      <formula>$D$39</formula>
    </cfRule>
  </conditionalFormatting>
  <conditionalFormatting sqref="F40:J40">
    <cfRule type="cellIs" dxfId="368" priority="45" operator="lessThan">
      <formula>$D$40</formula>
    </cfRule>
  </conditionalFormatting>
  <conditionalFormatting sqref="E42:E70">
    <cfRule type="cellIs" dxfId="2" priority="43" operator="lessThan">
      <formula>$D42</formula>
    </cfRule>
  </conditionalFormatting>
  <conditionalFormatting sqref="F71:J73">
    <cfRule type="cellIs" dxfId="367" priority="40" operator="lessThan">
      <formula>$D71</formula>
    </cfRule>
  </conditionalFormatting>
  <conditionalFormatting sqref="G74">
    <cfRule type="cellIs" dxfId="366" priority="39" operator="lessThan">
      <formula>$D$74</formula>
    </cfRule>
  </conditionalFormatting>
  <conditionalFormatting sqref="F77">
    <cfRule type="cellIs" dxfId="365" priority="37" operator="lessThan">
      <formula>$D$77</formula>
    </cfRule>
  </conditionalFormatting>
  <conditionalFormatting sqref="G78:H78">
    <cfRule type="cellIs" dxfId="364" priority="36" operator="lessThan">
      <formula>$D$78</formula>
    </cfRule>
  </conditionalFormatting>
  <conditionalFormatting sqref="G79:H79">
    <cfRule type="cellIs" dxfId="363" priority="35" operator="lessThan">
      <formula>2</formula>
    </cfRule>
  </conditionalFormatting>
  <conditionalFormatting sqref="F80:J80">
    <cfRule type="cellIs" dxfId="362" priority="34" operator="lessThan">
      <formula>$D$80</formula>
    </cfRule>
  </conditionalFormatting>
  <conditionalFormatting sqref="F30 H30:J30">
    <cfRule type="cellIs" dxfId="361" priority="33" operator="lessThan">
      <formula>$D$30</formula>
    </cfRule>
  </conditionalFormatting>
  <conditionalFormatting sqref="F22">
    <cfRule type="cellIs" dxfId="360" priority="32" operator="lessThan">
      <formula>$D$22</formula>
    </cfRule>
  </conditionalFormatting>
  <conditionalFormatting sqref="H27:J27 E27:F27">
    <cfRule type="cellIs" dxfId="359" priority="30" operator="lessThan">
      <formula>$D$27</formula>
    </cfRule>
  </conditionalFormatting>
  <conditionalFormatting sqref="E28:F28 H28:J28 G27:G28">
    <cfRule type="cellIs" dxfId="358" priority="28" operator="lessThan">
      <formula>$D$28</formula>
    </cfRule>
  </conditionalFormatting>
  <conditionalFormatting sqref="H75">
    <cfRule type="cellIs" dxfId="357" priority="23" operator="lessThan">
      <formula>$D75</formula>
    </cfRule>
  </conditionalFormatting>
  <conditionalFormatting sqref="H77">
    <cfRule type="cellIs" dxfId="356" priority="21" operator="lessThan">
      <formula>$D77</formula>
    </cfRule>
  </conditionalFormatting>
  <conditionalFormatting sqref="E8:J8">
    <cfRule type="aboveAverage" dxfId="355" priority="18"/>
  </conditionalFormatting>
  <conditionalFormatting sqref="E7:J7">
    <cfRule type="cellIs" dxfId="354" priority="14" operator="lessThan">
      <formula>1</formula>
    </cfRule>
  </conditionalFormatting>
  <conditionalFormatting sqref="F32:J32">
    <cfRule type="cellIs" dxfId="353" priority="13" operator="lessThan">
      <formula>3</formula>
    </cfRule>
  </conditionalFormatting>
  <conditionalFormatting sqref="E41:J41">
    <cfRule type="cellIs" dxfId="352" priority="12" operator="lessThan">
      <formula>10</formula>
    </cfRule>
  </conditionalFormatting>
  <conditionalFormatting sqref="E70">
    <cfRule type="cellIs" dxfId="351" priority="11" operator="lessThan">
      <formula>$D70</formula>
    </cfRule>
  </conditionalFormatting>
  <conditionalFormatting sqref="G32">
    <cfRule type="cellIs" dxfId="350" priority="10" operator="lessThan">
      <formula>3</formula>
    </cfRule>
  </conditionalFormatting>
  <conditionalFormatting sqref="F32">
    <cfRule type="cellIs" dxfId="349" priority="9" operator="lessThan">
      <formula>$D$30</formula>
    </cfRule>
  </conditionalFormatting>
  <conditionalFormatting sqref="G32:J32">
    <cfRule type="cellIs" dxfId="348" priority="8" operator="lessThan">
      <formula>$D$30</formula>
    </cfRule>
  </conditionalFormatting>
  <conditionalFormatting sqref="F41">
    <cfRule type="cellIs" dxfId="347" priority="7" operator="lessThan">
      <formula>3</formula>
    </cfRule>
  </conditionalFormatting>
  <conditionalFormatting sqref="F41">
    <cfRule type="cellIs" dxfId="346" priority="6" operator="lessThan">
      <formula>$D$30</formula>
    </cfRule>
  </conditionalFormatting>
  <conditionalFormatting sqref="F41">
    <cfRule type="cellIs" dxfId="345" priority="5" operator="lessThan">
      <formula>$D41</formula>
    </cfRule>
  </conditionalFormatting>
  <conditionalFormatting sqref="I18">
    <cfRule type="cellIs" dxfId="344" priority="4" operator="lessThan">
      <formula>$D$18</formula>
    </cfRule>
  </conditionalFormatting>
  <conditionalFormatting sqref="E7:F7">
    <cfRule type="cellIs" dxfId="4" priority="3" operator="lessThan">
      <formula>$D$4</formula>
    </cfRule>
  </conditionalFormatting>
  <conditionalFormatting sqref="H7:J7">
    <cfRule type="cellIs" dxfId="3" priority="2" operator="lessThan">
      <formula>$D$4</formula>
    </cfRule>
  </conditionalFormatting>
  <conditionalFormatting sqref="H75">
    <cfRule type="cellIs" dxfId="1" priority="1" operator="lessThan">
      <formula>$D75</formula>
    </cfRule>
  </conditionalFormatting>
  <hyperlinks>
    <hyperlink ref="A93" location="绩效总分!A1" display="绩效总分"/>
    <hyperlink ref="A94" location="'总公司绩效-I'!A1" display="总公司绩效-I"/>
    <hyperlink ref="A95" location="分公司绩效!A1" display="分公司绩效"/>
    <hyperlink ref="A96" location="目录!A1" display="目录"/>
  </hyperlinks>
  <pageMargins left="0.7" right="0.7" top="0.75" bottom="0.75" header="0.3" footer="0.3"/>
  <pageSetup paperSize="9" orientation="portrait" r:id="rId1"/>
  <ignoredErrors>
    <ignoredError sqref="G24:I24" formula="1"/>
  </ignoredErrors>
  <legacyDrawing r:id="rId2"/>
</worksheet>
</file>

<file path=xl/worksheets/sheet7.xml><?xml version="1.0" encoding="utf-8"?>
<worksheet xmlns="http://schemas.openxmlformats.org/spreadsheetml/2006/main" xmlns:r="http://schemas.openxmlformats.org/officeDocument/2006/relationships">
  <sheetPr>
    <tabColor theme="3"/>
  </sheetPr>
  <dimension ref="A1:L142"/>
  <sheetViews>
    <sheetView workbookViewId="0">
      <pane xSplit="4" ySplit="1" topLeftCell="F32" activePane="bottomRight" state="frozenSplit"/>
      <selection pane="topRight" activeCell="E1" sqref="E1"/>
      <selection pane="bottomLeft" activeCell="A19" sqref="A19"/>
      <selection pane="bottomRight" activeCell="D133" sqref="D133"/>
    </sheetView>
  </sheetViews>
  <sheetFormatPr defaultRowHeight="13.5"/>
  <cols>
    <col min="1" max="1" width="7.625" style="771" customWidth="1"/>
    <col min="2" max="2" width="47" style="771" customWidth="1"/>
    <col min="3" max="3" width="10.375" style="771" customWidth="1"/>
    <col min="4" max="4" width="9.25" style="771" bestFit="1" customWidth="1"/>
    <col min="5" max="5" width="9.625" style="771" bestFit="1" customWidth="1"/>
    <col min="6" max="6" width="8.375" style="771" bestFit="1" customWidth="1"/>
    <col min="7" max="7" width="9.75" style="771" customWidth="1"/>
    <col min="8" max="8" width="10.25" style="771" customWidth="1"/>
    <col min="9" max="9" width="8.5" style="771" bestFit="1" customWidth="1"/>
    <col min="10" max="10" width="16.75" style="771" customWidth="1"/>
    <col min="11" max="11" width="11.25" style="771" bestFit="1" customWidth="1"/>
    <col min="12" max="16384" width="9" style="771"/>
  </cols>
  <sheetData>
    <row r="1" spans="1:12" ht="15.75" thickBot="1">
      <c r="A1" s="768" t="s">
        <v>1839</v>
      </c>
      <c r="B1" s="769" t="s">
        <v>1834</v>
      </c>
      <c r="C1" s="769" t="s">
        <v>1840</v>
      </c>
      <c r="D1" s="769" t="s">
        <v>489</v>
      </c>
      <c r="E1" s="770" t="s">
        <v>1083</v>
      </c>
      <c r="F1" s="770" t="s">
        <v>1841</v>
      </c>
      <c r="G1" s="770" t="s">
        <v>1287</v>
      </c>
      <c r="H1" s="770" t="s">
        <v>1413</v>
      </c>
      <c r="I1" s="770" t="s">
        <v>1286</v>
      </c>
      <c r="J1" s="769" t="s">
        <v>1801</v>
      </c>
    </row>
    <row r="2" spans="1:12" ht="16.5" customHeight="1">
      <c r="A2" s="1553" t="s">
        <v>1848</v>
      </c>
      <c r="B2" s="772" t="s">
        <v>7</v>
      </c>
      <c r="C2" s="1567">
        <v>1.6666666666666666E-2</v>
      </c>
      <c r="D2" s="1564">
        <v>5</v>
      </c>
      <c r="E2" s="1545"/>
      <c r="F2" s="1545"/>
      <c r="G2" s="1545"/>
      <c r="H2" s="1545"/>
      <c r="I2" s="1561">
        <f>'OR02-销售承保'!R31</f>
        <v>5</v>
      </c>
      <c r="J2" s="773" t="s">
        <v>1798</v>
      </c>
      <c r="K2" s="774" t="s">
        <v>1843</v>
      </c>
      <c r="L2" s="775"/>
    </row>
    <row r="3" spans="1:12" ht="16.5" customHeight="1">
      <c r="A3" s="1549"/>
      <c r="B3" s="776" t="s">
        <v>10</v>
      </c>
      <c r="C3" s="1568"/>
      <c r="D3" s="1565"/>
      <c r="E3" s="1546"/>
      <c r="F3" s="1546"/>
      <c r="G3" s="1546"/>
      <c r="H3" s="1546"/>
      <c r="I3" s="1562"/>
      <c r="J3" s="777" t="s">
        <v>1798</v>
      </c>
      <c r="K3" s="774" t="s">
        <v>1844</v>
      </c>
      <c r="L3" s="778"/>
    </row>
    <row r="4" spans="1:12" ht="16.5" customHeight="1">
      <c r="A4" s="1549"/>
      <c r="B4" s="776" t="s">
        <v>13</v>
      </c>
      <c r="C4" s="1569">
        <v>1.6666666666666666E-2</v>
      </c>
      <c r="D4" s="1566">
        <v>5</v>
      </c>
      <c r="E4" s="1547"/>
      <c r="F4" s="1547"/>
      <c r="G4" s="1547"/>
      <c r="H4" s="1547"/>
      <c r="I4" s="1563">
        <f>'OR02-销售承保'!R33</f>
        <v>5</v>
      </c>
      <c r="J4" s="777" t="s">
        <v>1798</v>
      </c>
      <c r="K4" s="774" t="s">
        <v>1835</v>
      </c>
      <c r="L4" s="779"/>
    </row>
    <row r="5" spans="1:12" ht="16.5" customHeight="1">
      <c r="A5" s="1549"/>
      <c r="B5" s="776" t="s">
        <v>17</v>
      </c>
      <c r="C5" s="1568"/>
      <c r="D5" s="1565"/>
      <c r="E5" s="1546"/>
      <c r="F5" s="1546"/>
      <c r="G5" s="1546"/>
      <c r="H5" s="1546"/>
      <c r="I5" s="1562"/>
      <c r="J5" s="777" t="s">
        <v>1798</v>
      </c>
      <c r="K5" s="774" t="s">
        <v>1836</v>
      </c>
      <c r="L5" s="780"/>
    </row>
    <row r="6" spans="1:12" ht="17.25" thickBot="1">
      <c r="A6" s="1554"/>
      <c r="B6" s="781" t="s">
        <v>21</v>
      </c>
      <c r="C6" s="782">
        <v>1.6666666666666666E-2</v>
      </c>
      <c r="D6" s="783">
        <v>5</v>
      </c>
      <c r="E6" s="784"/>
      <c r="F6" s="784"/>
      <c r="G6" s="784"/>
      <c r="H6" s="784"/>
      <c r="I6" s="785">
        <f>'OR02-销售承保'!H35</f>
        <v>5</v>
      </c>
      <c r="J6" s="786" t="s">
        <v>1798</v>
      </c>
      <c r="K6" s="774" t="s">
        <v>1845</v>
      </c>
      <c r="L6" s="787"/>
    </row>
    <row r="7" spans="1:12" ht="57.75" thickBot="1">
      <c r="A7" s="788" t="s">
        <v>1846</v>
      </c>
      <c r="B7" s="789" t="s">
        <v>1847</v>
      </c>
      <c r="C7" s="790">
        <f>70%*(1/18)</f>
        <v>3.8888888888888883E-2</v>
      </c>
      <c r="D7" s="791">
        <v>3</v>
      </c>
      <c r="E7" s="792"/>
      <c r="F7" s="792"/>
      <c r="G7" s="792"/>
      <c r="H7" s="792"/>
      <c r="I7" s="793">
        <f>'OR04-分公司销售、承保、保全'!M70</f>
        <v>3</v>
      </c>
      <c r="J7" s="794" t="s">
        <v>1798</v>
      </c>
    </row>
    <row r="8" spans="1:12" ht="13.5" customHeight="1">
      <c r="A8" s="1553" t="s">
        <v>1282</v>
      </c>
      <c r="B8" s="795" t="s">
        <v>1847</v>
      </c>
      <c r="C8" s="796">
        <f>70%*(1/18)</f>
        <v>3.8888888888888883E-2</v>
      </c>
      <c r="D8" s="797">
        <v>2</v>
      </c>
      <c r="E8" s="798"/>
      <c r="F8" s="798"/>
      <c r="G8" s="798"/>
      <c r="H8" s="798"/>
      <c r="I8" s="799">
        <f>'OR08-分公司理赔'!M34</f>
        <v>2</v>
      </c>
      <c r="J8" s="773" t="s">
        <v>1798</v>
      </c>
    </row>
    <row r="9" spans="1:12" ht="13.5" customHeight="1">
      <c r="A9" s="1549"/>
      <c r="B9" s="800" t="s">
        <v>1209</v>
      </c>
      <c r="C9" s="801">
        <f>70%*(1/18)</f>
        <v>3.8888888888888883E-2</v>
      </c>
      <c r="D9" s="802">
        <v>2</v>
      </c>
      <c r="E9" s="803"/>
      <c r="F9" s="803"/>
      <c r="G9" s="803"/>
      <c r="H9" s="803"/>
      <c r="I9" s="804">
        <f>'OR08-分公司理赔'!M36</f>
        <v>2</v>
      </c>
      <c r="J9" s="777" t="s">
        <v>1798</v>
      </c>
    </row>
    <row r="10" spans="1:12" ht="13.5" customHeight="1" thickBot="1">
      <c r="A10" s="1554"/>
      <c r="B10" s="805" t="s">
        <v>1213</v>
      </c>
      <c r="C10" s="782">
        <f>70%*(1/18)</f>
        <v>3.8888888888888883E-2</v>
      </c>
      <c r="D10" s="783">
        <v>1</v>
      </c>
      <c r="E10" s="784"/>
      <c r="F10" s="784"/>
      <c r="G10" s="784"/>
      <c r="H10" s="784"/>
      <c r="I10" s="785">
        <f>'OR08-分公司理赔'!M37</f>
        <v>1</v>
      </c>
      <c r="J10" s="786" t="s">
        <v>1798</v>
      </c>
    </row>
    <row r="11" spans="1:12" ht="15" customHeight="1">
      <c r="A11" s="1553" t="s">
        <v>1830</v>
      </c>
      <c r="B11" s="806" t="s">
        <v>26</v>
      </c>
      <c r="C11" s="807">
        <f>1/18</f>
        <v>5.5555555555555552E-2</v>
      </c>
      <c r="D11" s="807">
        <v>2</v>
      </c>
      <c r="E11" s="808">
        <f>'OR10-资金运用'!M4</f>
        <v>2</v>
      </c>
      <c r="F11" s="798"/>
      <c r="G11" s="798"/>
      <c r="H11" s="798"/>
      <c r="I11" s="809"/>
      <c r="J11" s="773" t="s">
        <v>1798</v>
      </c>
    </row>
    <row r="12" spans="1:12" ht="16.5">
      <c r="A12" s="1549"/>
      <c r="B12" s="810" t="s">
        <v>27</v>
      </c>
      <c r="C12" s="811">
        <f>1/18</f>
        <v>5.5555555555555552E-2</v>
      </c>
      <c r="D12" s="811">
        <v>2</v>
      </c>
      <c r="E12" s="812">
        <f>'OR10-资金运用'!M5</f>
        <v>2</v>
      </c>
      <c r="F12" s="803"/>
      <c r="G12" s="803"/>
      <c r="H12" s="803"/>
      <c r="I12" s="813"/>
      <c r="J12" s="777" t="s">
        <v>1798</v>
      </c>
    </row>
    <row r="13" spans="1:12" ht="16.5">
      <c r="A13" s="1549"/>
      <c r="B13" s="810" t="s">
        <v>29</v>
      </c>
      <c r="C13" s="811">
        <f t="shared" ref="C13:C62" si="0">1/18</f>
        <v>5.5555555555555552E-2</v>
      </c>
      <c r="D13" s="811">
        <v>2</v>
      </c>
      <c r="E13" s="812">
        <f>'OR10-资金运用'!M6</f>
        <v>2</v>
      </c>
      <c r="F13" s="803"/>
      <c r="G13" s="803"/>
      <c r="H13" s="803"/>
      <c r="I13" s="813"/>
      <c r="J13" s="777" t="s">
        <v>1798</v>
      </c>
    </row>
    <row r="14" spans="1:12" ht="14.25">
      <c r="A14" s="1549"/>
      <c r="B14" s="810" t="s">
        <v>30</v>
      </c>
      <c r="C14" s="1555">
        <f t="shared" si="0"/>
        <v>5.5555555555555552E-2</v>
      </c>
      <c r="D14" s="1555">
        <v>1</v>
      </c>
      <c r="E14" s="1551">
        <f>'OR10-资金运用'!M7</f>
        <v>1</v>
      </c>
      <c r="F14" s="1547"/>
      <c r="G14" s="1547"/>
      <c r="H14" s="1547"/>
      <c r="I14" s="1572"/>
      <c r="J14" s="777" t="s">
        <v>1798</v>
      </c>
    </row>
    <row r="15" spans="1:12" ht="14.25">
      <c r="A15" s="1549"/>
      <c r="B15" s="810" t="s">
        <v>32</v>
      </c>
      <c r="C15" s="1556"/>
      <c r="D15" s="1556"/>
      <c r="E15" s="1552"/>
      <c r="F15" s="1546"/>
      <c r="G15" s="1546"/>
      <c r="H15" s="1546"/>
      <c r="I15" s="1573"/>
      <c r="J15" s="777" t="s">
        <v>1798</v>
      </c>
    </row>
    <row r="16" spans="1:12" ht="16.5">
      <c r="A16" s="1549"/>
      <c r="B16" s="810" t="s">
        <v>34</v>
      </c>
      <c r="C16" s="811">
        <f t="shared" si="0"/>
        <v>5.5555555555555552E-2</v>
      </c>
      <c r="D16" s="811">
        <v>1</v>
      </c>
      <c r="E16" s="812">
        <f>'OR10-资金运用'!M9</f>
        <v>1</v>
      </c>
      <c r="F16" s="803"/>
      <c r="G16" s="803"/>
      <c r="H16" s="803"/>
      <c r="I16" s="813"/>
      <c r="J16" s="777" t="s">
        <v>1798</v>
      </c>
    </row>
    <row r="17" spans="1:10" ht="16.5">
      <c r="A17" s="1549"/>
      <c r="B17" s="810" t="s">
        <v>37</v>
      </c>
      <c r="C17" s="811">
        <f t="shared" si="0"/>
        <v>5.5555555555555552E-2</v>
      </c>
      <c r="D17" s="811">
        <v>2</v>
      </c>
      <c r="E17" s="812">
        <f>'OR10-资金运用'!M12</f>
        <v>2</v>
      </c>
      <c r="F17" s="803"/>
      <c r="G17" s="803"/>
      <c r="H17" s="803"/>
      <c r="I17" s="813"/>
      <c r="J17" s="777" t="s">
        <v>1798</v>
      </c>
    </row>
    <row r="18" spans="1:10" ht="14.25">
      <c r="A18" s="1549"/>
      <c r="B18" s="810" t="s">
        <v>41</v>
      </c>
      <c r="C18" s="1555">
        <f t="shared" si="0"/>
        <v>5.5555555555555552E-2</v>
      </c>
      <c r="D18" s="1555">
        <v>1</v>
      </c>
      <c r="E18" s="1551">
        <f>'OR10-资金运用'!M16</f>
        <v>1</v>
      </c>
      <c r="F18" s="1547"/>
      <c r="G18" s="1547"/>
      <c r="H18" s="1547"/>
      <c r="I18" s="1572"/>
      <c r="J18" s="777" t="s">
        <v>1798</v>
      </c>
    </row>
    <row r="19" spans="1:10" ht="14.25">
      <c r="A19" s="1549"/>
      <c r="B19" s="810" t="s">
        <v>42</v>
      </c>
      <c r="C19" s="1556"/>
      <c r="D19" s="1556"/>
      <c r="E19" s="1552"/>
      <c r="F19" s="1546"/>
      <c r="G19" s="1546"/>
      <c r="H19" s="1546"/>
      <c r="I19" s="1573"/>
      <c r="J19" s="777" t="s">
        <v>1798</v>
      </c>
    </row>
    <row r="20" spans="1:10" ht="16.5">
      <c r="A20" s="1549"/>
      <c r="B20" s="810" t="s">
        <v>43</v>
      </c>
      <c r="C20" s="811">
        <f t="shared" si="0"/>
        <v>5.5555555555555552E-2</v>
      </c>
      <c r="D20" s="811">
        <v>1</v>
      </c>
      <c r="E20" s="812">
        <f>'OR10-资金运用'!M18</f>
        <v>1</v>
      </c>
      <c r="F20" s="803"/>
      <c r="G20" s="803"/>
      <c r="H20" s="803"/>
      <c r="I20" s="813"/>
      <c r="J20" s="777" t="s">
        <v>1798</v>
      </c>
    </row>
    <row r="21" spans="1:10" ht="14.25">
      <c r="A21" s="1549"/>
      <c r="B21" s="810" t="s">
        <v>46</v>
      </c>
      <c r="C21" s="1555">
        <f t="shared" si="0"/>
        <v>5.5555555555555552E-2</v>
      </c>
      <c r="D21" s="1555">
        <v>1</v>
      </c>
      <c r="E21" s="1551">
        <f>'OR10-资金运用'!M21</f>
        <v>1</v>
      </c>
      <c r="F21" s="1547"/>
      <c r="G21" s="1547"/>
      <c r="H21" s="1547"/>
      <c r="I21" s="1572"/>
      <c r="J21" s="777" t="s">
        <v>1798</v>
      </c>
    </row>
    <row r="22" spans="1:10" ht="14.25" customHeight="1">
      <c r="A22" s="1549"/>
      <c r="B22" s="810" t="s">
        <v>48</v>
      </c>
      <c r="C22" s="1556"/>
      <c r="D22" s="1556"/>
      <c r="E22" s="1552"/>
      <c r="F22" s="1546"/>
      <c r="G22" s="1546"/>
      <c r="H22" s="1546"/>
      <c r="I22" s="1573"/>
      <c r="J22" s="777" t="s">
        <v>1798</v>
      </c>
    </row>
    <row r="23" spans="1:10" ht="14.25">
      <c r="A23" s="1549"/>
      <c r="B23" s="810" t="s">
        <v>50</v>
      </c>
      <c r="C23" s="1555">
        <f t="shared" si="0"/>
        <v>5.5555555555555552E-2</v>
      </c>
      <c r="D23" s="1555">
        <v>1</v>
      </c>
      <c r="E23" s="1551">
        <f>'OR10-资金运用'!M23</f>
        <v>1</v>
      </c>
      <c r="F23" s="1547"/>
      <c r="G23" s="1547"/>
      <c r="H23" s="1547"/>
      <c r="I23" s="1572"/>
      <c r="J23" s="777" t="s">
        <v>1798</v>
      </c>
    </row>
    <row r="24" spans="1:10" ht="14.25">
      <c r="A24" s="1549"/>
      <c r="B24" s="810" t="s">
        <v>52</v>
      </c>
      <c r="C24" s="1556"/>
      <c r="D24" s="1556"/>
      <c r="E24" s="1552"/>
      <c r="F24" s="1546"/>
      <c r="G24" s="1546"/>
      <c r="H24" s="1546"/>
      <c r="I24" s="1573"/>
      <c r="J24" s="777" t="s">
        <v>1798</v>
      </c>
    </row>
    <row r="25" spans="1:10" ht="14.25" customHeight="1">
      <c r="A25" s="1549"/>
      <c r="B25" s="810" t="s">
        <v>1837</v>
      </c>
      <c r="C25" s="1555">
        <f t="shared" si="0"/>
        <v>5.5555555555555552E-2</v>
      </c>
      <c r="D25" s="1555">
        <v>1</v>
      </c>
      <c r="E25" s="1551">
        <f>'OR10-资金运用'!M25</f>
        <v>1</v>
      </c>
      <c r="F25" s="1547"/>
      <c r="G25" s="1547"/>
      <c r="H25" s="1547"/>
      <c r="I25" s="1572"/>
      <c r="J25" s="777" t="s">
        <v>1798</v>
      </c>
    </row>
    <row r="26" spans="1:10" ht="16.5" customHeight="1">
      <c r="A26" s="1549"/>
      <c r="B26" s="810" t="s">
        <v>1838</v>
      </c>
      <c r="C26" s="1556"/>
      <c r="D26" s="1556"/>
      <c r="E26" s="1552"/>
      <c r="F26" s="1546"/>
      <c r="G26" s="1546"/>
      <c r="H26" s="1546"/>
      <c r="I26" s="1573"/>
      <c r="J26" s="777" t="s">
        <v>1798</v>
      </c>
    </row>
    <row r="27" spans="1:10" ht="16.5">
      <c r="A27" s="1549"/>
      <c r="B27" s="810" t="s">
        <v>54</v>
      </c>
      <c r="C27" s="811">
        <f t="shared" si="0"/>
        <v>5.5555555555555552E-2</v>
      </c>
      <c r="D27" s="811">
        <v>5</v>
      </c>
      <c r="E27" s="812">
        <f>'OR10-资金运用'!M27</f>
        <v>5</v>
      </c>
      <c r="F27" s="803"/>
      <c r="G27" s="803"/>
      <c r="H27" s="803"/>
      <c r="I27" s="813"/>
      <c r="J27" s="777" t="s">
        <v>1798</v>
      </c>
    </row>
    <row r="28" spans="1:10" ht="16.5">
      <c r="A28" s="1549"/>
      <c r="B28" s="810" t="s">
        <v>56</v>
      </c>
      <c r="C28" s="811">
        <f t="shared" si="0"/>
        <v>5.5555555555555552E-2</v>
      </c>
      <c r="D28" s="811">
        <v>1</v>
      </c>
      <c r="E28" s="812">
        <f>'OR10-资金运用'!M28</f>
        <v>1</v>
      </c>
      <c r="F28" s="803"/>
      <c r="G28" s="803"/>
      <c r="H28" s="803"/>
      <c r="I28" s="813"/>
      <c r="J28" s="777" t="s">
        <v>1798</v>
      </c>
    </row>
    <row r="29" spans="1:10" ht="14.25" customHeight="1">
      <c r="A29" s="1549"/>
      <c r="B29" s="810" t="s">
        <v>58</v>
      </c>
      <c r="C29" s="811">
        <f t="shared" si="0"/>
        <v>5.5555555555555552E-2</v>
      </c>
      <c r="D29" s="811">
        <v>1</v>
      </c>
      <c r="E29" s="812">
        <f>'OR10-资金运用'!M29</f>
        <v>1</v>
      </c>
      <c r="F29" s="803"/>
      <c r="G29" s="803"/>
      <c r="H29" s="803"/>
      <c r="I29" s="813"/>
      <c r="J29" s="777" t="s">
        <v>1798</v>
      </c>
    </row>
    <row r="30" spans="1:10" ht="16.5" customHeight="1">
      <c r="A30" s="1549"/>
      <c r="B30" s="810" t="s">
        <v>60</v>
      </c>
      <c r="C30" s="811">
        <f t="shared" si="0"/>
        <v>5.5555555555555552E-2</v>
      </c>
      <c r="D30" s="811">
        <v>2</v>
      </c>
      <c r="E30" s="812">
        <f>'OR10-资金运用'!M30</f>
        <v>2</v>
      </c>
      <c r="F30" s="803"/>
      <c r="G30" s="803"/>
      <c r="H30" s="803"/>
      <c r="I30" s="813"/>
      <c r="J30" s="777" t="s">
        <v>1798</v>
      </c>
    </row>
    <row r="31" spans="1:10" ht="16.5">
      <c r="A31" s="1549"/>
      <c r="B31" s="810" t="s">
        <v>62</v>
      </c>
      <c r="C31" s="811">
        <f t="shared" si="0"/>
        <v>5.5555555555555552E-2</v>
      </c>
      <c r="D31" s="811">
        <v>4</v>
      </c>
      <c r="E31" s="812">
        <f>'OR10-资金运用'!M31</f>
        <v>4</v>
      </c>
      <c r="F31" s="803"/>
      <c r="G31" s="803"/>
      <c r="H31" s="803"/>
      <c r="I31" s="813"/>
      <c r="J31" s="777" t="s">
        <v>1798</v>
      </c>
    </row>
    <row r="32" spans="1:10" ht="14.25" customHeight="1">
      <c r="A32" s="1549"/>
      <c r="B32" s="810" t="s">
        <v>64</v>
      </c>
      <c r="C32" s="1555">
        <f t="shared" si="0"/>
        <v>5.5555555555555552E-2</v>
      </c>
      <c r="D32" s="1555">
        <v>3</v>
      </c>
      <c r="E32" s="1551">
        <f>'OR10-资金运用'!M32</f>
        <v>3</v>
      </c>
      <c r="F32" s="1547"/>
      <c r="G32" s="1547"/>
      <c r="H32" s="1547"/>
      <c r="I32" s="1572"/>
      <c r="J32" s="777" t="s">
        <v>1798</v>
      </c>
    </row>
    <row r="33" spans="1:10" ht="14.25">
      <c r="A33" s="1549"/>
      <c r="B33" s="810" t="s">
        <v>66</v>
      </c>
      <c r="C33" s="1556"/>
      <c r="D33" s="1556"/>
      <c r="E33" s="1552"/>
      <c r="F33" s="1546"/>
      <c r="G33" s="1546"/>
      <c r="H33" s="1546"/>
      <c r="I33" s="1573"/>
      <c r="J33" s="777" t="s">
        <v>1798</v>
      </c>
    </row>
    <row r="34" spans="1:10" ht="14.25" customHeight="1">
      <c r="A34" s="1549"/>
      <c r="B34" s="800" t="s">
        <v>67</v>
      </c>
      <c r="C34" s="811">
        <f t="shared" si="0"/>
        <v>5.5555555555555552E-2</v>
      </c>
      <c r="D34" s="811">
        <v>5</v>
      </c>
      <c r="E34" s="812">
        <f>'OR10-资金运用'!M34</f>
        <v>5</v>
      </c>
      <c r="F34" s="803"/>
      <c r="G34" s="803"/>
      <c r="H34" s="803"/>
      <c r="I34" s="813"/>
      <c r="J34" s="777" t="s">
        <v>1798</v>
      </c>
    </row>
    <row r="35" spans="1:10" ht="16.5">
      <c r="A35" s="1549"/>
      <c r="B35" s="810" t="s">
        <v>69</v>
      </c>
      <c r="C35" s="811">
        <f t="shared" si="0"/>
        <v>5.5555555555555552E-2</v>
      </c>
      <c r="D35" s="811">
        <v>1</v>
      </c>
      <c r="E35" s="812">
        <f>'OR10-资金运用'!M35</f>
        <v>1</v>
      </c>
      <c r="F35" s="803"/>
      <c r="G35" s="803"/>
      <c r="H35" s="803"/>
      <c r="I35" s="813"/>
      <c r="J35" s="777" t="s">
        <v>1798</v>
      </c>
    </row>
    <row r="36" spans="1:10" ht="14.25" customHeight="1">
      <c r="A36" s="1549"/>
      <c r="B36" s="810" t="s">
        <v>71</v>
      </c>
      <c r="C36" s="1555">
        <f t="shared" si="0"/>
        <v>5.5555555555555552E-2</v>
      </c>
      <c r="D36" s="1555">
        <v>1</v>
      </c>
      <c r="E36" s="1551">
        <f>'OR10-资金运用'!M36</f>
        <v>1</v>
      </c>
      <c r="F36" s="1547"/>
      <c r="G36" s="1547"/>
      <c r="H36" s="1547"/>
      <c r="I36" s="1572"/>
      <c r="J36" s="777" t="s">
        <v>1798</v>
      </c>
    </row>
    <row r="37" spans="1:10" ht="14.25">
      <c r="A37" s="1549"/>
      <c r="B37" s="810" t="s">
        <v>73</v>
      </c>
      <c r="C37" s="1556"/>
      <c r="D37" s="1556"/>
      <c r="E37" s="1552"/>
      <c r="F37" s="1546"/>
      <c r="G37" s="1546"/>
      <c r="H37" s="1546"/>
      <c r="I37" s="1573"/>
      <c r="J37" s="777" t="s">
        <v>1798</v>
      </c>
    </row>
    <row r="38" spans="1:10" ht="14.25">
      <c r="A38" s="1549"/>
      <c r="B38" s="810" t="s">
        <v>74</v>
      </c>
      <c r="C38" s="1555">
        <f t="shared" si="0"/>
        <v>5.5555555555555552E-2</v>
      </c>
      <c r="D38" s="1555">
        <v>1</v>
      </c>
      <c r="E38" s="1551">
        <f>'OR10-资金运用'!M38</f>
        <v>1</v>
      </c>
      <c r="F38" s="1547"/>
      <c r="G38" s="1547"/>
      <c r="H38" s="1547"/>
      <c r="I38" s="1572"/>
      <c r="J38" s="777" t="s">
        <v>1798</v>
      </c>
    </row>
    <row r="39" spans="1:10" ht="14.25">
      <c r="A39" s="1549"/>
      <c r="B39" s="810" t="s">
        <v>76</v>
      </c>
      <c r="C39" s="1556"/>
      <c r="D39" s="1556"/>
      <c r="E39" s="1552"/>
      <c r="F39" s="1546"/>
      <c r="G39" s="1546"/>
      <c r="H39" s="1546"/>
      <c r="I39" s="1573"/>
      <c r="J39" s="777" t="s">
        <v>1798</v>
      </c>
    </row>
    <row r="40" spans="1:10" ht="14.25">
      <c r="A40" s="1549"/>
      <c r="B40" s="810" t="s">
        <v>77</v>
      </c>
      <c r="C40" s="1555">
        <f t="shared" si="0"/>
        <v>5.5555555555555552E-2</v>
      </c>
      <c r="D40" s="1555">
        <v>1</v>
      </c>
      <c r="E40" s="1551">
        <f>'OR10-资金运用'!M40</f>
        <v>1</v>
      </c>
      <c r="F40" s="1547"/>
      <c r="G40" s="1547"/>
      <c r="H40" s="1547"/>
      <c r="I40" s="1572"/>
      <c r="J40" s="777" t="s">
        <v>1798</v>
      </c>
    </row>
    <row r="41" spans="1:10" ht="14.25">
      <c r="A41" s="1549"/>
      <c r="B41" s="810" t="s">
        <v>79</v>
      </c>
      <c r="C41" s="1556"/>
      <c r="D41" s="1556"/>
      <c r="E41" s="1552"/>
      <c r="F41" s="1546"/>
      <c r="G41" s="1546"/>
      <c r="H41" s="1546"/>
      <c r="I41" s="1573"/>
      <c r="J41" s="777" t="s">
        <v>1798</v>
      </c>
    </row>
    <row r="42" spans="1:10" ht="16.5">
      <c r="A42" s="1549"/>
      <c r="B42" s="810" t="s">
        <v>80</v>
      </c>
      <c r="C42" s="811">
        <f t="shared" si="0"/>
        <v>5.5555555555555552E-2</v>
      </c>
      <c r="D42" s="811">
        <v>5</v>
      </c>
      <c r="E42" s="812">
        <f>'OR10-资金运用'!M42</f>
        <v>5</v>
      </c>
      <c r="F42" s="803"/>
      <c r="G42" s="803"/>
      <c r="H42" s="803"/>
      <c r="I42" s="813"/>
      <c r="J42" s="777" t="s">
        <v>1798</v>
      </c>
    </row>
    <row r="43" spans="1:10" ht="14.25" customHeight="1">
      <c r="A43" s="1549"/>
      <c r="B43" s="810" t="s">
        <v>81</v>
      </c>
      <c r="C43" s="1555">
        <f t="shared" si="0"/>
        <v>5.5555555555555552E-2</v>
      </c>
      <c r="D43" s="1555">
        <v>2</v>
      </c>
      <c r="E43" s="1551">
        <f>'OR10-资金运用'!M43</f>
        <v>2</v>
      </c>
      <c r="F43" s="1547"/>
      <c r="G43" s="1547"/>
      <c r="H43" s="1547"/>
      <c r="I43" s="1572"/>
      <c r="J43" s="777" t="s">
        <v>1798</v>
      </c>
    </row>
    <row r="44" spans="1:10" ht="14.25">
      <c r="A44" s="1549"/>
      <c r="B44" s="810" t="s">
        <v>83</v>
      </c>
      <c r="C44" s="1556"/>
      <c r="D44" s="1556"/>
      <c r="E44" s="1552"/>
      <c r="F44" s="1546"/>
      <c r="G44" s="1546"/>
      <c r="H44" s="1546"/>
      <c r="I44" s="1573"/>
      <c r="J44" s="777" t="s">
        <v>1798</v>
      </c>
    </row>
    <row r="45" spans="1:10" ht="14.25">
      <c r="A45" s="1549"/>
      <c r="B45" s="810" t="s">
        <v>84</v>
      </c>
      <c r="C45" s="1555">
        <f t="shared" si="0"/>
        <v>5.5555555555555552E-2</v>
      </c>
      <c r="D45" s="1555">
        <v>1</v>
      </c>
      <c r="E45" s="1551">
        <f>'OR10-资金运用'!M45</f>
        <v>1</v>
      </c>
      <c r="F45" s="1547"/>
      <c r="G45" s="1547"/>
      <c r="H45" s="1547"/>
      <c r="I45" s="1572"/>
      <c r="J45" s="777" t="s">
        <v>1798</v>
      </c>
    </row>
    <row r="46" spans="1:10" ht="14.25">
      <c r="A46" s="1549"/>
      <c r="B46" s="810" t="s">
        <v>86</v>
      </c>
      <c r="C46" s="1556"/>
      <c r="D46" s="1556"/>
      <c r="E46" s="1552"/>
      <c r="F46" s="1546"/>
      <c r="G46" s="1546"/>
      <c r="H46" s="1546"/>
      <c r="I46" s="1573"/>
      <c r="J46" s="777" t="s">
        <v>1798</v>
      </c>
    </row>
    <row r="47" spans="1:10" ht="14.25" customHeight="1">
      <c r="A47" s="1549"/>
      <c r="B47" s="810" t="s">
        <v>87</v>
      </c>
      <c r="C47" s="811">
        <f t="shared" si="0"/>
        <v>5.5555555555555552E-2</v>
      </c>
      <c r="D47" s="811">
        <v>5</v>
      </c>
      <c r="E47" s="812">
        <f>'OR10-资金运用'!M47</f>
        <v>5</v>
      </c>
      <c r="F47" s="814"/>
      <c r="G47" s="814"/>
      <c r="H47" s="814"/>
      <c r="I47" s="815"/>
      <c r="J47" s="777" t="s">
        <v>1798</v>
      </c>
    </row>
    <row r="48" spans="1:10" ht="14.25">
      <c r="A48" s="1549"/>
      <c r="B48" s="810" t="s">
        <v>88</v>
      </c>
      <c r="C48" s="1555">
        <f t="shared" si="0"/>
        <v>5.5555555555555552E-2</v>
      </c>
      <c r="D48" s="1555">
        <v>1</v>
      </c>
      <c r="E48" s="1551">
        <f>'OR10-资金运用'!M48</f>
        <v>1</v>
      </c>
      <c r="F48" s="1547"/>
      <c r="G48" s="1574">
        <f>'OR10-资金运用'!M48</f>
        <v>1</v>
      </c>
      <c r="H48" s="1547"/>
      <c r="I48" s="1572"/>
      <c r="J48" s="777" t="s">
        <v>1798</v>
      </c>
    </row>
    <row r="49" spans="1:10" ht="14.25" customHeight="1">
      <c r="A49" s="1549"/>
      <c r="B49" s="810" t="s">
        <v>90</v>
      </c>
      <c r="C49" s="1556"/>
      <c r="D49" s="1556"/>
      <c r="E49" s="1552"/>
      <c r="F49" s="1546"/>
      <c r="G49" s="1575"/>
      <c r="H49" s="1546"/>
      <c r="I49" s="1573"/>
      <c r="J49" s="777" t="s">
        <v>1798</v>
      </c>
    </row>
    <row r="50" spans="1:10" ht="14.25">
      <c r="A50" s="1549"/>
      <c r="B50" s="800" t="s">
        <v>91</v>
      </c>
      <c r="C50" s="1555">
        <f t="shared" si="0"/>
        <v>5.5555555555555552E-2</v>
      </c>
      <c r="D50" s="1555">
        <v>1</v>
      </c>
      <c r="E50" s="1551">
        <f>'OR10-资金运用'!M50</f>
        <v>1</v>
      </c>
      <c r="F50" s="1547"/>
      <c r="G50" s="1547"/>
      <c r="H50" s="1547"/>
      <c r="I50" s="1572"/>
      <c r="J50" s="777" t="s">
        <v>1798</v>
      </c>
    </row>
    <row r="51" spans="1:10" ht="14.25" customHeight="1">
      <c r="A51" s="1549"/>
      <c r="B51" s="810" t="s">
        <v>93</v>
      </c>
      <c r="C51" s="1556"/>
      <c r="D51" s="1556"/>
      <c r="E51" s="1552"/>
      <c r="F51" s="1546"/>
      <c r="G51" s="1546"/>
      <c r="H51" s="1546"/>
      <c r="I51" s="1573"/>
      <c r="J51" s="777" t="s">
        <v>1798</v>
      </c>
    </row>
    <row r="52" spans="1:10" ht="16.5">
      <c r="A52" s="1549"/>
      <c r="B52" s="810" t="s">
        <v>95</v>
      </c>
      <c r="C52" s="811">
        <f t="shared" si="0"/>
        <v>5.5555555555555552E-2</v>
      </c>
      <c r="D52" s="811">
        <v>5</v>
      </c>
      <c r="E52" s="814"/>
      <c r="F52" s="814"/>
      <c r="G52" s="816">
        <f>'OR10-资金运用'!M52</f>
        <v>5</v>
      </c>
      <c r="H52" s="814"/>
      <c r="I52" s="815"/>
      <c r="J52" s="777" t="s">
        <v>1798</v>
      </c>
    </row>
    <row r="53" spans="1:10" ht="16.5">
      <c r="A53" s="1549"/>
      <c r="B53" s="810" t="s">
        <v>96</v>
      </c>
      <c r="C53" s="817">
        <f t="shared" si="0"/>
        <v>5.5555555555555552E-2</v>
      </c>
      <c r="D53" s="811">
        <v>5</v>
      </c>
      <c r="E53" s="818">
        <f>'OR10-资金运用'!M53</f>
        <v>5</v>
      </c>
      <c r="F53" s="814"/>
      <c r="G53" s="814"/>
      <c r="H53" s="814"/>
      <c r="I53" s="815"/>
      <c r="J53" s="777" t="s">
        <v>1798</v>
      </c>
    </row>
    <row r="54" spans="1:10" ht="14.25" customHeight="1">
      <c r="A54" s="1549"/>
      <c r="B54" s="810" t="s">
        <v>97</v>
      </c>
      <c r="C54" s="1557">
        <f t="shared" si="0"/>
        <v>5.5555555555555552E-2</v>
      </c>
      <c r="D54" s="1555">
        <v>3</v>
      </c>
      <c r="E54" s="1570">
        <f>'OR10-资金运用'!M54</f>
        <v>3</v>
      </c>
      <c r="F54" s="1547"/>
      <c r="G54" s="1547"/>
      <c r="H54" s="1547"/>
      <c r="I54" s="1572"/>
      <c r="J54" s="777" t="s">
        <v>1798</v>
      </c>
    </row>
    <row r="55" spans="1:10" ht="14.25">
      <c r="A55" s="1549"/>
      <c r="B55" s="810" t="s">
        <v>99</v>
      </c>
      <c r="C55" s="1556"/>
      <c r="D55" s="1556"/>
      <c r="E55" s="1571"/>
      <c r="F55" s="1546"/>
      <c r="G55" s="1546"/>
      <c r="H55" s="1546"/>
      <c r="I55" s="1573"/>
      <c r="J55" s="777" t="s">
        <v>1798</v>
      </c>
    </row>
    <row r="56" spans="1:10" ht="14.25" customHeight="1">
      <c r="A56" s="1549"/>
      <c r="B56" s="800" t="s">
        <v>100</v>
      </c>
      <c r="C56" s="811">
        <f t="shared" si="0"/>
        <v>5.5555555555555552E-2</v>
      </c>
      <c r="D56" s="811">
        <v>1</v>
      </c>
      <c r="E56" s="814"/>
      <c r="F56" s="814"/>
      <c r="G56" s="814"/>
      <c r="H56" s="814"/>
      <c r="I56" s="804">
        <f>'OR10-资金运用'!M56</f>
        <v>1</v>
      </c>
      <c r="J56" s="777" t="s">
        <v>1798</v>
      </c>
    </row>
    <row r="57" spans="1:10" ht="16.5">
      <c r="A57" s="1549"/>
      <c r="B57" s="800" t="s">
        <v>101</v>
      </c>
      <c r="C57" s="811">
        <f t="shared" si="0"/>
        <v>5.5555555555555552E-2</v>
      </c>
      <c r="D57" s="811">
        <v>1</v>
      </c>
      <c r="E57" s="814"/>
      <c r="F57" s="814"/>
      <c r="G57" s="814"/>
      <c r="H57" s="814"/>
      <c r="I57" s="804">
        <f>'OR10-资金运用'!M57</f>
        <v>1</v>
      </c>
      <c r="J57" s="777" t="s">
        <v>1798</v>
      </c>
    </row>
    <row r="58" spans="1:10" ht="16.5">
      <c r="A58" s="1549"/>
      <c r="B58" s="800" t="s">
        <v>102</v>
      </c>
      <c r="C58" s="811">
        <f t="shared" si="0"/>
        <v>5.5555555555555552E-2</v>
      </c>
      <c r="D58" s="811">
        <v>1</v>
      </c>
      <c r="E58" s="814"/>
      <c r="F58" s="814"/>
      <c r="G58" s="814"/>
      <c r="H58" s="814"/>
      <c r="I58" s="804">
        <f>'OR10-资金运用'!M58</f>
        <v>1</v>
      </c>
      <c r="J58" s="777" t="s">
        <v>1798</v>
      </c>
    </row>
    <row r="59" spans="1:10" ht="14.25" customHeight="1">
      <c r="A59" s="1549"/>
      <c r="B59" s="800" t="s">
        <v>103</v>
      </c>
      <c r="C59" s="811">
        <f t="shared" si="0"/>
        <v>5.5555555555555552E-2</v>
      </c>
      <c r="D59" s="811">
        <v>2</v>
      </c>
      <c r="E59" s="814"/>
      <c r="F59" s="814"/>
      <c r="G59" s="814"/>
      <c r="H59" s="814"/>
      <c r="I59" s="804">
        <f>'OR10-资金运用'!M59</f>
        <v>2</v>
      </c>
      <c r="J59" s="777" t="s">
        <v>1798</v>
      </c>
    </row>
    <row r="60" spans="1:10" ht="16.5" customHeight="1">
      <c r="A60" s="1549"/>
      <c r="B60" s="800" t="s">
        <v>104</v>
      </c>
      <c r="C60" s="811">
        <f t="shared" si="0"/>
        <v>5.5555555555555552E-2</v>
      </c>
      <c r="D60" s="811">
        <v>2</v>
      </c>
      <c r="E60" s="814"/>
      <c r="F60" s="814"/>
      <c r="G60" s="814"/>
      <c r="H60" s="814"/>
      <c r="I60" s="804">
        <f>'OR10-资金运用'!M60</f>
        <v>2</v>
      </c>
      <c r="J60" s="777" t="s">
        <v>1798</v>
      </c>
    </row>
    <row r="61" spans="1:10" ht="14.25" customHeight="1">
      <c r="A61" s="1549"/>
      <c r="B61" s="800" t="s">
        <v>105</v>
      </c>
      <c r="C61" s="811">
        <f t="shared" si="0"/>
        <v>5.5555555555555552E-2</v>
      </c>
      <c r="D61" s="811">
        <v>3</v>
      </c>
      <c r="E61" s="818">
        <f>'OR10-资金运用'!M61</f>
        <v>3</v>
      </c>
      <c r="F61" s="803"/>
      <c r="G61" s="803"/>
      <c r="H61" s="803"/>
      <c r="I61" s="813"/>
      <c r="J61" s="777" t="s">
        <v>1798</v>
      </c>
    </row>
    <row r="62" spans="1:10" ht="16.5" customHeight="1" thickBot="1">
      <c r="A62" s="1554"/>
      <c r="B62" s="805" t="s">
        <v>107</v>
      </c>
      <c r="C62" s="819">
        <f t="shared" si="0"/>
        <v>5.5555555555555552E-2</v>
      </c>
      <c r="D62" s="819">
        <v>2</v>
      </c>
      <c r="E62" s="820">
        <f>'OR10-资金运用'!M62</f>
        <v>2</v>
      </c>
      <c r="F62" s="784"/>
      <c r="G62" s="784"/>
      <c r="H62" s="784"/>
      <c r="I62" s="821"/>
      <c r="J62" s="786" t="s">
        <v>1798</v>
      </c>
    </row>
    <row r="63" spans="1:10" ht="16.5">
      <c r="A63" s="1558" t="s">
        <v>1842</v>
      </c>
      <c r="B63" s="806" t="s">
        <v>1989</v>
      </c>
      <c r="C63" s="807">
        <f>1/9</f>
        <v>0.1111111111111111</v>
      </c>
      <c r="D63" s="807">
        <v>8</v>
      </c>
      <c r="E63" s="798"/>
      <c r="F63" s="822">
        <f>'OR15-准备金再保险'!K4*'OR15-准备金再保险'!H4</f>
        <v>6</v>
      </c>
      <c r="G63" s="798"/>
      <c r="H63" s="798"/>
      <c r="I63" s="809"/>
      <c r="J63" s="773" t="s">
        <v>1804</v>
      </c>
    </row>
    <row r="64" spans="1:10" ht="14.25" customHeight="1">
      <c r="A64" s="1559"/>
      <c r="B64" s="800" t="s">
        <v>159</v>
      </c>
      <c r="C64" s="811">
        <f t="shared" ref="C64:C73" si="1">1/9</f>
        <v>0.1111111111111111</v>
      </c>
      <c r="D64" s="811">
        <v>9</v>
      </c>
      <c r="E64" s="803"/>
      <c r="F64" s="823">
        <f>'OR15-准备金再保险'!H7</f>
        <v>9</v>
      </c>
      <c r="G64" s="803"/>
      <c r="H64" s="803"/>
      <c r="I64" s="813"/>
      <c r="J64" s="777" t="s">
        <v>1798</v>
      </c>
    </row>
    <row r="65" spans="1:10" ht="16.5" customHeight="1">
      <c r="A65" s="1559"/>
      <c r="B65" s="800" t="s">
        <v>160</v>
      </c>
      <c r="C65" s="811">
        <f t="shared" si="1"/>
        <v>0.1111111111111111</v>
      </c>
      <c r="D65" s="811">
        <v>9</v>
      </c>
      <c r="E65" s="803"/>
      <c r="F65" s="823">
        <f>'OR15-准备金再保险'!H8</f>
        <v>9</v>
      </c>
      <c r="G65" s="803"/>
      <c r="H65" s="803"/>
      <c r="I65" s="813"/>
      <c r="J65" s="777" t="s">
        <v>1798</v>
      </c>
    </row>
    <row r="66" spans="1:10" ht="16.5" customHeight="1">
      <c r="A66" s="1559"/>
      <c r="B66" s="800" t="s">
        <v>483</v>
      </c>
      <c r="C66" s="811">
        <f t="shared" si="1"/>
        <v>0.1111111111111111</v>
      </c>
      <c r="D66" s="811">
        <v>9</v>
      </c>
      <c r="E66" s="803"/>
      <c r="F66" s="823">
        <f>$D$66*'OR15-准备金再保险'!$K$9</f>
        <v>6.75</v>
      </c>
      <c r="G66" s="803"/>
      <c r="H66" s="803"/>
      <c r="I66" s="813"/>
      <c r="J66" s="777" t="s">
        <v>2063</v>
      </c>
    </row>
    <row r="67" spans="1:10" ht="16.5">
      <c r="A67" s="1559"/>
      <c r="B67" s="800" t="s">
        <v>163</v>
      </c>
      <c r="C67" s="811">
        <f t="shared" si="1"/>
        <v>0.1111111111111111</v>
      </c>
      <c r="D67" s="811">
        <v>8</v>
      </c>
      <c r="E67" s="803"/>
      <c r="F67" s="823">
        <f>'OR15-准备金再保险'!M12</f>
        <v>8</v>
      </c>
      <c r="G67" s="803"/>
      <c r="H67" s="803"/>
      <c r="I67" s="813"/>
      <c r="J67" s="777" t="s">
        <v>1798</v>
      </c>
    </row>
    <row r="68" spans="1:10" ht="16.5">
      <c r="A68" s="1559"/>
      <c r="B68" s="800" t="s">
        <v>1723</v>
      </c>
      <c r="C68" s="811">
        <f t="shared" si="1"/>
        <v>0.1111111111111111</v>
      </c>
      <c r="D68" s="811">
        <v>8</v>
      </c>
      <c r="E68" s="803"/>
      <c r="F68" s="823">
        <f>'OR15-准备金再保险'!M13</f>
        <v>8</v>
      </c>
      <c r="G68" s="803"/>
      <c r="H68" s="803"/>
      <c r="I68" s="813"/>
      <c r="J68" s="777" t="s">
        <v>1798</v>
      </c>
    </row>
    <row r="69" spans="1:10" ht="16.5">
      <c r="A69" s="1559"/>
      <c r="B69" s="800" t="s">
        <v>484</v>
      </c>
      <c r="C69" s="811">
        <f t="shared" si="1"/>
        <v>0.1111111111111111</v>
      </c>
      <c r="D69" s="811">
        <v>10</v>
      </c>
      <c r="E69" s="803"/>
      <c r="F69" s="823">
        <f>'OR15-准备金再保险'!M14</f>
        <v>10</v>
      </c>
      <c r="G69" s="803"/>
      <c r="H69" s="803"/>
      <c r="I69" s="813"/>
      <c r="J69" s="777" t="s">
        <v>1798</v>
      </c>
    </row>
    <row r="70" spans="1:10" ht="14.25" customHeight="1">
      <c r="A70" s="1559"/>
      <c r="B70" s="800" t="s">
        <v>485</v>
      </c>
      <c r="C70" s="811">
        <f t="shared" si="1"/>
        <v>0.1111111111111111</v>
      </c>
      <c r="D70" s="811">
        <v>10</v>
      </c>
      <c r="E70" s="803"/>
      <c r="F70" s="823">
        <f>'OR15-准备金再保险'!M15</f>
        <v>10</v>
      </c>
      <c r="G70" s="803"/>
      <c r="H70" s="803"/>
      <c r="I70" s="813"/>
      <c r="J70" s="777" t="s">
        <v>1798</v>
      </c>
    </row>
    <row r="71" spans="1:10" ht="16.5">
      <c r="A71" s="1559"/>
      <c r="B71" s="800" t="s">
        <v>486</v>
      </c>
      <c r="C71" s="811">
        <f t="shared" si="1"/>
        <v>0.1111111111111111</v>
      </c>
      <c r="D71" s="811">
        <v>9</v>
      </c>
      <c r="E71" s="803"/>
      <c r="F71" s="823">
        <f>'OR15-准备金再保险'!M16</f>
        <v>9</v>
      </c>
      <c r="G71" s="803"/>
      <c r="H71" s="803"/>
      <c r="I71" s="813"/>
      <c r="J71" s="777" t="s">
        <v>1798</v>
      </c>
    </row>
    <row r="72" spans="1:10" ht="16.5">
      <c r="A72" s="1559"/>
      <c r="B72" s="800" t="s">
        <v>164</v>
      </c>
      <c r="C72" s="811">
        <f t="shared" si="1"/>
        <v>0.1111111111111111</v>
      </c>
      <c r="D72" s="811">
        <v>10</v>
      </c>
      <c r="E72" s="803"/>
      <c r="F72" s="823">
        <f>'OR15-准备金再保险'!M17</f>
        <v>10</v>
      </c>
      <c r="G72" s="803"/>
      <c r="H72" s="803"/>
      <c r="I72" s="813"/>
      <c r="J72" s="777" t="s">
        <v>1798</v>
      </c>
    </row>
    <row r="73" spans="1:10" ht="13.5" customHeight="1" thickBot="1">
      <c r="A73" s="1560"/>
      <c r="B73" s="805" t="s">
        <v>487</v>
      </c>
      <c r="C73" s="819">
        <f t="shared" si="1"/>
        <v>0.1111111111111111</v>
      </c>
      <c r="D73" s="819">
        <v>10</v>
      </c>
      <c r="E73" s="784"/>
      <c r="F73" s="824">
        <f>'OR15-准备金再保险'!M18</f>
        <v>10</v>
      </c>
      <c r="G73" s="784"/>
      <c r="H73" s="784"/>
      <c r="I73" s="821"/>
      <c r="J73" s="786" t="s">
        <v>1798</v>
      </c>
    </row>
    <row r="74" spans="1:10" ht="15" customHeight="1">
      <c r="A74" s="1548" t="s">
        <v>1849</v>
      </c>
      <c r="B74" s="825" t="s">
        <v>1850</v>
      </c>
      <c r="C74" s="826">
        <v>2.2222222222222223E-2</v>
      </c>
      <c r="D74" s="826">
        <v>5</v>
      </c>
      <c r="E74" s="827"/>
      <c r="F74" s="827"/>
      <c r="G74" s="828">
        <f>'OR13-分公司财务管理'!M4</f>
        <v>5</v>
      </c>
      <c r="H74" s="829">
        <f>'OR13-分公司财务管理'!M4</f>
        <v>5</v>
      </c>
      <c r="I74" s="830"/>
      <c r="J74" s="831" t="s">
        <v>1798</v>
      </c>
    </row>
    <row r="75" spans="1:10" ht="16.5">
      <c r="A75" s="1549"/>
      <c r="B75" s="776" t="s">
        <v>1780</v>
      </c>
      <c r="C75" s="811">
        <v>2.2222222222222223E-2</v>
      </c>
      <c r="D75" s="811">
        <v>2</v>
      </c>
      <c r="E75" s="803"/>
      <c r="F75" s="803"/>
      <c r="G75" s="816">
        <f>'OR13-分公司财务管理'!M5</f>
        <v>1.8</v>
      </c>
      <c r="H75" s="832">
        <f>'OR13-分公司财务管理'!M5</f>
        <v>1.8</v>
      </c>
      <c r="I75" s="813"/>
      <c r="J75" s="833" t="s">
        <v>1798</v>
      </c>
    </row>
    <row r="76" spans="1:10" ht="16.5">
      <c r="A76" s="1549"/>
      <c r="B76" s="776" t="s">
        <v>1851</v>
      </c>
      <c r="C76" s="811">
        <v>2.2222222222222223E-2</v>
      </c>
      <c r="D76" s="811">
        <v>2</v>
      </c>
      <c r="E76" s="803"/>
      <c r="F76" s="803"/>
      <c r="G76" s="816">
        <v>2</v>
      </c>
      <c r="H76" s="832">
        <v>2</v>
      </c>
      <c r="I76" s="813"/>
      <c r="J76" s="833" t="s">
        <v>1799</v>
      </c>
    </row>
    <row r="77" spans="1:10" ht="16.5">
      <c r="A77" s="1549"/>
      <c r="B77" s="776" t="s">
        <v>43</v>
      </c>
      <c r="C77" s="811">
        <v>2.2222222222222223E-2</v>
      </c>
      <c r="D77" s="811">
        <v>2</v>
      </c>
      <c r="E77" s="803"/>
      <c r="F77" s="803"/>
      <c r="G77" s="816">
        <f>'OR13-分公司财务管理'!M12</f>
        <v>2</v>
      </c>
      <c r="H77" s="832">
        <f>'OR13-分公司财务管理'!M12</f>
        <v>2</v>
      </c>
      <c r="I77" s="813"/>
      <c r="J77" s="833" t="s">
        <v>1798</v>
      </c>
    </row>
    <row r="78" spans="1:10" ht="16.5">
      <c r="A78" s="1549"/>
      <c r="B78" s="776" t="s">
        <v>1229</v>
      </c>
      <c r="C78" s="811">
        <v>2.2222222222222223E-2</v>
      </c>
      <c r="D78" s="811">
        <v>2</v>
      </c>
      <c r="E78" s="803"/>
      <c r="F78" s="803"/>
      <c r="G78" s="816">
        <f>'OR13-分公司财务管理'!M15</f>
        <v>2</v>
      </c>
      <c r="H78" s="803"/>
      <c r="I78" s="813"/>
      <c r="J78" s="833" t="s">
        <v>1798</v>
      </c>
    </row>
    <row r="79" spans="1:10" ht="16.5">
      <c r="A79" s="1549"/>
      <c r="B79" s="776" t="s">
        <v>117</v>
      </c>
      <c r="C79" s="811">
        <v>2.2222222222222223E-2</v>
      </c>
      <c r="D79" s="811">
        <v>2</v>
      </c>
      <c r="E79" s="803"/>
      <c r="F79" s="803"/>
      <c r="G79" s="816">
        <f>'OR13-分公司财务管理'!M16</f>
        <v>2</v>
      </c>
      <c r="H79" s="832">
        <f>'OR13-分公司财务管理'!M16</f>
        <v>2</v>
      </c>
      <c r="I79" s="813"/>
      <c r="J79" s="833" t="s">
        <v>1798</v>
      </c>
    </row>
    <row r="80" spans="1:10" ht="16.5">
      <c r="A80" s="1549"/>
      <c r="B80" s="834" t="s">
        <v>1783</v>
      </c>
      <c r="C80" s="817">
        <v>2.2222222222222223E-2</v>
      </c>
      <c r="D80" s="811">
        <v>4</v>
      </c>
      <c r="E80" s="803"/>
      <c r="F80" s="803"/>
      <c r="G80" s="803"/>
      <c r="H80" s="832">
        <f>'OR13-分公司财务管理'!M17</f>
        <v>4</v>
      </c>
      <c r="I80" s="813"/>
      <c r="J80" s="833" t="s">
        <v>1798</v>
      </c>
    </row>
    <row r="81" spans="1:10" ht="16.5">
      <c r="A81" s="1549"/>
      <c r="B81" s="834" t="s">
        <v>1784</v>
      </c>
      <c r="C81" s="811">
        <v>2.2222222222222223E-2</v>
      </c>
      <c r="D81" s="811">
        <v>6</v>
      </c>
      <c r="E81" s="803"/>
      <c r="F81" s="803"/>
      <c r="G81" s="803"/>
      <c r="H81" s="832">
        <f>'OR13-分公司财务管理'!M20</f>
        <v>6</v>
      </c>
      <c r="I81" s="813"/>
      <c r="J81" s="833" t="s">
        <v>1798</v>
      </c>
    </row>
    <row r="82" spans="1:10" ht="16.5">
      <c r="A82" s="1549"/>
      <c r="B82" s="776" t="s">
        <v>131</v>
      </c>
      <c r="C82" s="811">
        <v>2.2222222222222223E-2</v>
      </c>
      <c r="D82" s="811">
        <v>1</v>
      </c>
      <c r="E82" s="803"/>
      <c r="F82" s="803"/>
      <c r="G82" s="816">
        <f>'OR13-分公司财务管理'!M22</f>
        <v>0.9</v>
      </c>
      <c r="H82" s="803"/>
      <c r="I82" s="813"/>
      <c r="J82" s="833" t="s">
        <v>1798</v>
      </c>
    </row>
    <row r="83" spans="1:10" ht="16.5">
      <c r="A83" s="1549"/>
      <c r="B83" s="776" t="s">
        <v>1247</v>
      </c>
      <c r="C83" s="811">
        <v>2.2222222222222223E-2</v>
      </c>
      <c r="D83" s="811">
        <v>3</v>
      </c>
      <c r="E83" s="803"/>
      <c r="F83" s="803"/>
      <c r="G83" s="803"/>
      <c r="H83" s="832">
        <f>'OR13-分公司财务管理'!M23</f>
        <v>3</v>
      </c>
      <c r="I83" s="813"/>
      <c r="J83" s="833" t="s">
        <v>1798</v>
      </c>
    </row>
    <row r="84" spans="1:10" ht="16.5">
      <c r="A84" s="1549"/>
      <c r="B84" s="776" t="s">
        <v>1253</v>
      </c>
      <c r="C84" s="811">
        <v>2.2222222222222223E-2</v>
      </c>
      <c r="D84" s="811">
        <v>3</v>
      </c>
      <c r="E84" s="803"/>
      <c r="F84" s="803"/>
      <c r="G84" s="803"/>
      <c r="H84" s="832">
        <f>'OR13-分公司财务管理'!M28</f>
        <v>3</v>
      </c>
      <c r="I84" s="813"/>
      <c r="J84" s="833" t="s">
        <v>1798</v>
      </c>
    </row>
    <row r="85" spans="1:10" ht="16.5">
      <c r="A85" s="1549"/>
      <c r="B85" s="776" t="s">
        <v>1852</v>
      </c>
      <c r="C85" s="811">
        <v>2.2222222222222223E-2</v>
      </c>
      <c r="D85" s="811">
        <v>3</v>
      </c>
      <c r="E85" s="803"/>
      <c r="F85" s="803"/>
      <c r="G85" s="803"/>
      <c r="H85" s="832">
        <f>'OR13-分公司财务管理'!M32</f>
        <v>3</v>
      </c>
      <c r="I85" s="813"/>
      <c r="J85" s="833" t="s">
        <v>1798</v>
      </c>
    </row>
    <row r="86" spans="1:10" ht="16.5">
      <c r="A86" s="1549"/>
      <c r="B86" s="834" t="s">
        <v>2059</v>
      </c>
      <c r="C86" s="811">
        <v>2.2222222222222223E-2</v>
      </c>
      <c r="D86" s="811">
        <v>10</v>
      </c>
      <c r="E86" s="803"/>
      <c r="F86" s="803"/>
      <c r="G86" s="816">
        <f>'OR13-分公司财务管理'!M35</f>
        <v>10</v>
      </c>
      <c r="H86" s="803"/>
      <c r="I86" s="813"/>
      <c r="J86" s="833" t="s">
        <v>1798</v>
      </c>
    </row>
    <row r="87" spans="1:10" ht="16.5">
      <c r="A87" s="1549"/>
      <c r="B87" s="776" t="s">
        <v>1259</v>
      </c>
      <c r="C87" s="811">
        <v>2.2222222222222223E-2</v>
      </c>
      <c r="D87" s="811">
        <v>3</v>
      </c>
      <c r="E87" s="803"/>
      <c r="F87" s="803"/>
      <c r="G87" s="816">
        <f>'OR13-分公司财务管理'!M37</f>
        <v>3</v>
      </c>
      <c r="H87" s="803"/>
      <c r="I87" s="813"/>
      <c r="J87" s="833" t="s">
        <v>1798</v>
      </c>
    </row>
    <row r="88" spans="1:10" ht="16.5">
      <c r="A88" s="1549"/>
      <c r="B88" s="834" t="s">
        <v>2058</v>
      </c>
      <c r="C88" s="811">
        <v>2.2222222222222223E-2</v>
      </c>
      <c r="D88" s="811">
        <v>12</v>
      </c>
      <c r="E88" s="803"/>
      <c r="F88" s="803"/>
      <c r="G88" s="803"/>
      <c r="H88" s="832">
        <f>'OR13-分公司财务管理'!M38</f>
        <v>11.7</v>
      </c>
      <c r="I88" s="813"/>
      <c r="J88" s="833" t="s">
        <v>1798</v>
      </c>
    </row>
    <row r="89" spans="1:10" ht="16.5">
      <c r="A89" s="1549"/>
      <c r="B89" s="776" t="s">
        <v>1788</v>
      </c>
      <c r="C89" s="811">
        <v>2.2222222222222223E-2</v>
      </c>
      <c r="D89" s="811">
        <v>2</v>
      </c>
      <c r="E89" s="803"/>
      <c r="F89" s="803"/>
      <c r="G89" s="816">
        <f>'OR13-分公司财务管理'!M40</f>
        <v>1.8</v>
      </c>
      <c r="H89" s="803"/>
      <c r="I89" s="813"/>
      <c r="J89" s="833" t="s">
        <v>1798</v>
      </c>
    </row>
    <row r="90" spans="1:10" ht="16.5">
      <c r="A90" s="1549"/>
      <c r="B90" s="776" t="s">
        <v>1265</v>
      </c>
      <c r="C90" s="811">
        <v>2.2222222222222223E-2</v>
      </c>
      <c r="D90" s="811">
        <v>2</v>
      </c>
      <c r="E90" s="803"/>
      <c r="F90" s="803"/>
      <c r="G90" s="816">
        <f>'OR13-分公司财务管理'!M43</f>
        <v>2</v>
      </c>
      <c r="H90" s="803"/>
      <c r="I90" s="813"/>
      <c r="J90" s="833" t="s">
        <v>1798</v>
      </c>
    </row>
    <row r="91" spans="1:10" ht="16.5">
      <c r="A91" s="1549"/>
      <c r="B91" s="834" t="s">
        <v>2060</v>
      </c>
      <c r="C91" s="811">
        <v>2.2222222222222223E-2</v>
      </c>
      <c r="D91" s="811">
        <v>6</v>
      </c>
      <c r="E91" s="803"/>
      <c r="F91" s="803"/>
      <c r="G91" s="816">
        <f>'OR13-分公司财务管理'!M46</f>
        <v>6</v>
      </c>
      <c r="H91" s="832">
        <f>'OR13-分公司财务管理'!M46</f>
        <v>6</v>
      </c>
      <c r="I91" s="813"/>
      <c r="J91" s="833" t="s">
        <v>1798</v>
      </c>
    </row>
    <row r="92" spans="1:10" ht="16.5">
      <c r="A92" s="1549"/>
      <c r="B92" s="834" t="s">
        <v>141</v>
      </c>
      <c r="C92" s="811">
        <v>2.2222222222222223E-2</v>
      </c>
      <c r="D92" s="811">
        <v>5</v>
      </c>
      <c r="E92" s="803"/>
      <c r="F92" s="803"/>
      <c r="G92" s="803"/>
      <c r="H92" s="832">
        <f>'OR13-分公司财务管理'!M48</f>
        <v>5</v>
      </c>
      <c r="I92" s="813"/>
      <c r="J92" s="833" t="s">
        <v>1798</v>
      </c>
    </row>
    <row r="93" spans="1:10" ht="16.5">
      <c r="A93" s="1549"/>
      <c r="B93" s="776" t="s">
        <v>1854</v>
      </c>
      <c r="C93" s="811">
        <v>2.2222222222222223E-2</v>
      </c>
      <c r="D93" s="811">
        <v>0</v>
      </c>
      <c r="E93" s="835"/>
      <c r="F93" s="835"/>
      <c r="G93" s="835"/>
      <c r="H93" s="835"/>
      <c r="I93" s="836"/>
      <c r="J93" s="833" t="s">
        <v>1798</v>
      </c>
    </row>
    <row r="94" spans="1:10" ht="16.5">
      <c r="A94" s="1549"/>
      <c r="B94" s="776" t="s">
        <v>1775</v>
      </c>
      <c r="C94" s="811">
        <v>2.2222222222222223E-2</v>
      </c>
      <c r="D94" s="811">
        <v>3</v>
      </c>
      <c r="E94" s="803"/>
      <c r="F94" s="803"/>
      <c r="G94" s="816">
        <f>'OR13-分公司财务管理'!M50</f>
        <v>3</v>
      </c>
      <c r="H94" s="832">
        <f>'OR13-分公司财务管理'!M50</f>
        <v>3</v>
      </c>
      <c r="I94" s="804">
        <f>'OR13-分公司财务管理'!M50</f>
        <v>3</v>
      </c>
      <c r="J94" s="833" t="s">
        <v>1798</v>
      </c>
    </row>
    <row r="95" spans="1:10" ht="16.5">
      <c r="A95" s="1549"/>
      <c r="B95" s="776" t="s">
        <v>1776</v>
      </c>
      <c r="C95" s="811">
        <v>2.2222222222222223E-2</v>
      </c>
      <c r="D95" s="811">
        <v>2</v>
      </c>
      <c r="E95" s="803"/>
      <c r="F95" s="803"/>
      <c r="G95" s="816">
        <f>'OR13-分公司财务管理'!M52</f>
        <v>2</v>
      </c>
      <c r="H95" s="832">
        <f>'OR13-分公司财务管理'!M52</f>
        <v>2</v>
      </c>
      <c r="I95" s="804">
        <f>'OR13-分公司财务管理'!M52</f>
        <v>2</v>
      </c>
      <c r="J95" s="833" t="s">
        <v>1798</v>
      </c>
    </row>
    <row r="96" spans="1:10" ht="17.25" thickBot="1">
      <c r="A96" s="1550"/>
      <c r="B96" s="834" t="s">
        <v>1855</v>
      </c>
      <c r="C96" s="817">
        <v>2.2222222222222223E-2</v>
      </c>
      <c r="D96" s="817">
        <v>10</v>
      </c>
      <c r="E96" s="814"/>
      <c r="F96" s="814"/>
      <c r="G96" s="837">
        <f>MAX($D$96-($D$86-G86)-($D$91-G91),0)</f>
        <v>10</v>
      </c>
      <c r="H96" s="837">
        <f>MAX($D$96-($D$81-H81)-($D$91-H91)-($D$88-H88),0)</f>
        <v>9.6999999999999993</v>
      </c>
      <c r="I96" s="815"/>
      <c r="J96" s="838" t="s">
        <v>1908</v>
      </c>
    </row>
    <row r="97" spans="1:10" ht="16.5" customHeight="1">
      <c r="A97" s="1540" t="s">
        <v>1857</v>
      </c>
      <c r="B97" s="839" t="s">
        <v>1716</v>
      </c>
      <c r="C97" s="807">
        <f>60%*(1/18)</f>
        <v>3.3333333333333333E-2</v>
      </c>
      <c r="D97" s="807">
        <v>6</v>
      </c>
      <c r="E97" s="798"/>
      <c r="F97" s="798"/>
      <c r="G97" s="840">
        <v>6</v>
      </c>
      <c r="H97" s="841">
        <v>6</v>
      </c>
      <c r="I97" s="809"/>
      <c r="J97" s="773" t="s">
        <v>1909</v>
      </c>
    </row>
    <row r="98" spans="1:10" ht="16.5">
      <c r="A98" s="1541"/>
      <c r="B98" s="842" t="s">
        <v>191</v>
      </c>
      <c r="C98" s="811">
        <f t="shared" ref="C98:C124" si="2">60%*(1/18)</f>
        <v>3.3333333333333333E-2</v>
      </c>
      <c r="D98" s="811">
        <v>4</v>
      </c>
      <c r="E98" s="803"/>
      <c r="F98" s="803"/>
      <c r="G98" s="816">
        <f>'OR12-财务管理'!$P$6</f>
        <v>4</v>
      </c>
      <c r="H98" s="832">
        <f>'OR12-财务管理'!$P$6</f>
        <v>4</v>
      </c>
      <c r="I98" s="813"/>
      <c r="J98" s="777" t="s">
        <v>1798</v>
      </c>
    </row>
    <row r="99" spans="1:10" ht="16.5">
      <c r="A99" s="1541"/>
      <c r="B99" s="842" t="s">
        <v>1733</v>
      </c>
      <c r="C99" s="843">
        <f t="shared" si="2"/>
        <v>3.3333333333333333E-2</v>
      </c>
      <c r="D99" s="811">
        <v>2</v>
      </c>
      <c r="E99" s="803"/>
      <c r="F99" s="803"/>
      <c r="G99" s="816">
        <f>'OR12-财务管理'!P7</f>
        <v>2</v>
      </c>
      <c r="H99" s="832">
        <f>'OR12-财务管理'!P7</f>
        <v>2</v>
      </c>
      <c r="I99" s="813"/>
      <c r="J99" s="777" t="s">
        <v>1798</v>
      </c>
    </row>
    <row r="100" spans="1:10" ht="16.5">
      <c r="A100" s="1541"/>
      <c r="B100" s="842" t="s">
        <v>1735</v>
      </c>
      <c r="C100" s="811">
        <f t="shared" si="2"/>
        <v>3.3333333333333333E-2</v>
      </c>
      <c r="D100" s="811">
        <v>4</v>
      </c>
      <c r="E100" s="803"/>
      <c r="F100" s="803"/>
      <c r="G100" s="816">
        <f>'OR12-财务管理'!$P$11</f>
        <v>4</v>
      </c>
      <c r="H100" s="832">
        <f>'OR12-财务管理'!$P$11</f>
        <v>4</v>
      </c>
      <c r="I100" s="813"/>
      <c r="J100" s="777" t="s">
        <v>1798</v>
      </c>
    </row>
    <row r="101" spans="1:10" ht="16.5">
      <c r="A101" s="1541"/>
      <c r="B101" s="800" t="s">
        <v>117</v>
      </c>
      <c r="C101" s="843">
        <f t="shared" si="2"/>
        <v>3.3333333333333333E-2</v>
      </c>
      <c r="D101" s="811">
        <v>4</v>
      </c>
      <c r="E101" s="803"/>
      <c r="F101" s="803"/>
      <c r="G101" s="816">
        <f>'OR12-财务管理'!P14</f>
        <v>4</v>
      </c>
      <c r="H101" s="832">
        <f>G101</f>
        <v>4</v>
      </c>
      <c r="I101" s="813"/>
      <c r="J101" s="777" t="s">
        <v>1798</v>
      </c>
    </row>
    <row r="102" spans="1:10" ht="16.5">
      <c r="A102" s="1541"/>
      <c r="B102" s="800" t="s">
        <v>54</v>
      </c>
      <c r="C102" s="811">
        <f t="shared" si="2"/>
        <v>3.3333333333333333E-2</v>
      </c>
      <c r="D102" s="811">
        <v>5</v>
      </c>
      <c r="E102" s="803"/>
      <c r="F102" s="803"/>
      <c r="G102" s="816">
        <f>'OR12-财务管理'!P15</f>
        <v>5</v>
      </c>
      <c r="H102" s="832">
        <f>G102</f>
        <v>5</v>
      </c>
      <c r="I102" s="813"/>
      <c r="J102" s="777" t="s">
        <v>1798</v>
      </c>
    </row>
    <row r="103" spans="1:10" ht="16.5">
      <c r="A103" s="1541"/>
      <c r="B103" s="800" t="s">
        <v>122</v>
      </c>
      <c r="C103" s="811">
        <f t="shared" si="2"/>
        <v>3.3333333333333333E-2</v>
      </c>
      <c r="D103" s="811">
        <v>1</v>
      </c>
      <c r="E103" s="803"/>
      <c r="F103" s="803"/>
      <c r="G103" s="803"/>
      <c r="H103" s="832">
        <f>'OR12-财务管理'!P16</f>
        <v>1</v>
      </c>
      <c r="I103" s="813"/>
      <c r="J103" s="777" t="s">
        <v>1798</v>
      </c>
    </row>
    <row r="104" spans="1:10" ht="16.5">
      <c r="A104" s="1541"/>
      <c r="B104" s="834" t="s">
        <v>125</v>
      </c>
      <c r="C104" s="811">
        <f t="shared" si="2"/>
        <v>3.3333333333333333E-2</v>
      </c>
      <c r="D104" s="811">
        <v>4</v>
      </c>
      <c r="E104" s="803"/>
      <c r="F104" s="803"/>
      <c r="G104" s="803"/>
      <c r="H104" s="832">
        <f>'OR12-财务管理'!P17</f>
        <v>4</v>
      </c>
      <c r="I104" s="813"/>
      <c r="J104" s="777" t="s">
        <v>1798</v>
      </c>
    </row>
    <row r="105" spans="1:10" ht="16.5">
      <c r="A105" s="1541"/>
      <c r="B105" s="800" t="s">
        <v>126</v>
      </c>
      <c r="C105" s="811">
        <f t="shared" si="2"/>
        <v>3.3333333333333333E-2</v>
      </c>
      <c r="D105" s="811">
        <v>1</v>
      </c>
      <c r="E105" s="803"/>
      <c r="F105" s="803"/>
      <c r="G105" s="816">
        <f>'OR12-财务管理'!P18</f>
        <v>1</v>
      </c>
      <c r="H105" s="803"/>
      <c r="I105" s="813"/>
      <c r="J105" s="777" t="s">
        <v>1798</v>
      </c>
    </row>
    <row r="106" spans="1:10" ht="16.5">
      <c r="A106" s="1541"/>
      <c r="B106" s="834" t="s">
        <v>129</v>
      </c>
      <c r="C106" s="811">
        <f t="shared" si="2"/>
        <v>3.3333333333333333E-2</v>
      </c>
      <c r="D106" s="811">
        <v>5</v>
      </c>
      <c r="E106" s="803"/>
      <c r="F106" s="803"/>
      <c r="G106" s="816">
        <f>'OR12-财务管理'!P19</f>
        <v>5</v>
      </c>
      <c r="H106" s="803"/>
      <c r="I106" s="813"/>
      <c r="J106" s="777" t="s">
        <v>1798</v>
      </c>
    </row>
    <row r="107" spans="1:10" ht="16.5">
      <c r="A107" s="1541"/>
      <c r="B107" s="834" t="s">
        <v>130</v>
      </c>
      <c r="C107" s="811">
        <f t="shared" si="2"/>
        <v>3.3333333333333333E-2</v>
      </c>
      <c r="D107" s="811">
        <v>5</v>
      </c>
      <c r="E107" s="803"/>
      <c r="F107" s="803"/>
      <c r="G107" s="803"/>
      <c r="H107" s="832">
        <f>'OR12-财务管理'!P19</f>
        <v>5</v>
      </c>
      <c r="I107" s="813"/>
      <c r="J107" s="777" t="s">
        <v>1798</v>
      </c>
    </row>
    <row r="108" spans="1:10" ht="16.5">
      <c r="A108" s="1541"/>
      <c r="B108" s="800" t="s">
        <v>193</v>
      </c>
      <c r="C108" s="811">
        <f t="shared" si="2"/>
        <v>3.3333333333333333E-2</v>
      </c>
      <c r="D108" s="811">
        <v>1</v>
      </c>
      <c r="E108" s="803"/>
      <c r="F108" s="803"/>
      <c r="G108" s="816">
        <f>'OR12-财务管理'!P21</f>
        <v>1</v>
      </c>
      <c r="H108" s="803"/>
      <c r="I108" s="813"/>
      <c r="J108" s="777" t="s">
        <v>1798</v>
      </c>
    </row>
    <row r="109" spans="1:10" ht="16.5">
      <c r="A109" s="1541"/>
      <c r="B109" s="800" t="s">
        <v>131</v>
      </c>
      <c r="C109" s="811">
        <f t="shared" si="2"/>
        <v>3.3333333333333333E-2</v>
      </c>
      <c r="D109" s="811">
        <v>1</v>
      </c>
      <c r="E109" s="803"/>
      <c r="F109" s="803"/>
      <c r="G109" s="816">
        <f>'OR12-财务管理'!P22</f>
        <v>1</v>
      </c>
      <c r="H109" s="803"/>
      <c r="I109" s="813"/>
      <c r="J109" s="777" t="s">
        <v>1798</v>
      </c>
    </row>
    <row r="110" spans="1:10" ht="16.5">
      <c r="A110" s="1541"/>
      <c r="B110" s="834" t="s">
        <v>1717</v>
      </c>
      <c r="C110" s="811">
        <f t="shared" si="2"/>
        <v>3.3333333333333333E-2</v>
      </c>
      <c r="D110" s="811">
        <v>4</v>
      </c>
      <c r="E110" s="803"/>
      <c r="F110" s="803"/>
      <c r="G110" s="816">
        <f>'OR12-财务管理'!P23</f>
        <v>4</v>
      </c>
      <c r="H110" s="832">
        <f>G110</f>
        <v>4</v>
      </c>
      <c r="I110" s="813"/>
      <c r="J110" s="777" t="s">
        <v>1798</v>
      </c>
    </row>
    <row r="111" spans="1:10" ht="16.5">
      <c r="A111" s="1541"/>
      <c r="B111" s="800" t="s">
        <v>194</v>
      </c>
      <c r="C111" s="811">
        <f t="shared" si="2"/>
        <v>3.3333333333333333E-2</v>
      </c>
      <c r="D111" s="811">
        <v>1</v>
      </c>
      <c r="E111" s="803"/>
      <c r="F111" s="803"/>
      <c r="G111" s="816">
        <f>'OR12-财务管理'!P24</f>
        <v>1</v>
      </c>
      <c r="H111" s="803"/>
      <c r="I111" s="813"/>
      <c r="J111" s="777" t="s">
        <v>1798</v>
      </c>
    </row>
    <row r="112" spans="1:10" ht="16.5">
      <c r="A112" s="1541"/>
      <c r="B112" s="844" t="s">
        <v>1721</v>
      </c>
      <c r="C112" s="811">
        <f>60%*(1/18)</f>
        <v>3.3333333333333333E-2</v>
      </c>
      <c r="D112" s="811">
        <v>3</v>
      </c>
      <c r="E112" s="803"/>
      <c r="F112" s="803"/>
      <c r="G112" s="816">
        <f>'OR12-财务管理'!P25</f>
        <v>3</v>
      </c>
      <c r="H112" s="803"/>
      <c r="I112" s="813"/>
      <c r="J112" s="777" t="s">
        <v>1798</v>
      </c>
    </row>
    <row r="113" spans="1:10" ht="16.5">
      <c r="A113" s="1541"/>
      <c r="B113" s="800" t="s">
        <v>195</v>
      </c>
      <c r="C113" s="811">
        <f t="shared" si="2"/>
        <v>3.3333333333333333E-2</v>
      </c>
      <c r="D113" s="811">
        <v>1</v>
      </c>
      <c r="E113" s="803"/>
      <c r="F113" s="803"/>
      <c r="G113" s="803"/>
      <c r="H113" s="832">
        <f>'OR12-财务管理'!P28</f>
        <v>1</v>
      </c>
      <c r="I113" s="813"/>
      <c r="J113" s="777" t="s">
        <v>1798</v>
      </c>
    </row>
    <row r="114" spans="1:10" ht="16.5">
      <c r="A114" s="1541"/>
      <c r="B114" s="834" t="s">
        <v>137</v>
      </c>
      <c r="C114" s="811">
        <f t="shared" si="2"/>
        <v>3.3333333333333333E-2</v>
      </c>
      <c r="D114" s="811">
        <v>3</v>
      </c>
      <c r="E114" s="803"/>
      <c r="F114" s="803"/>
      <c r="G114" s="803"/>
      <c r="H114" s="832">
        <f>'OR12-财务管理'!P29</f>
        <v>3</v>
      </c>
      <c r="I114" s="813"/>
      <c r="J114" s="777" t="s">
        <v>1798</v>
      </c>
    </row>
    <row r="115" spans="1:10" ht="16.5">
      <c r="A115" s="1541"/>
      <c r="B115" s="800" t="s">
        <v>138</v>
      </c>
      <c r="C115" s="843">
        <f t="shared" si="2"/>
        <v>3.3333333333333333E-2</v>
      </c>
      <c r="D115" s="811">
        <v>1</v>
      </c>
      <c r="E115" s="803"/>
      <c r="F115" s="803"/>
      <c r="G115" s="803"/>
      <c r="H115" s="832">
        <f>'OR12-财务管理'!P30</f>
        <v>1</v>
      </c>
      <c r="I115" s="813"/>
      <c r="J115" s="777" t="s">
        <v>1798</v>
      </c>
    </row>
    <row r="116" spans="1:10" ht="16.5">
      <c r="A116" s="1541"/>
      <c r="B116" s="834" t="s">
        <v>141</v>
      </c>
      <c r="C116" s="811">
        <f t="shared" si="2"/>
        <v>3.3333333333333333E-2</v>
      </c>
      <c r="D116" s="811">
        <v>4</v>
      </c>
      <c r="E116" s="803"/>
      <c r="F116" s="803"/>
      <c r="G116" s="803"/>
      <c r="H116" s="832">
        <f>'OR12-财务管理'!P31</f>
        <v>4</v>
      </c>
      <c r="I116" s="813"/>
      <c r="J116" s="777" t="s">
        <v>1798</v>
      </c>
    </row>
    <row r="117" spans="1:10" ht="16.5">
      <c r="A117" s="1541"/>
      <c r="B117" s="800" t="s">
        <v>142</v>
      </c>
      <c r="C117" s="843">
        <f t="shared" si="2"/>
        <v>3.3333333333333333E-2</v>
      </c>
      <c r="D117" s="811">
        <v>2</v>
      </c>
      <c r="E117" s="803"/>
      <c r="F117" s="803"/>
      <c r="G117" s="803"/>
      <c r="H117" s="832">
        <f>'OR12-财务管理'!P32</f>
        <v>2</v>
      </c>
      <c r="I117" s="813"/>
      <c r="J117" s="777" t="s">
        <v>1798</v>
      </c>
    </row>
    <row r="118" spans="1:10" ht="16.5">
      <c r="A118" s="1541"/>
      <c r="B118" s="800" t="s">
        <v>102</v>
      </c>
      <c r="C118" s="811">
        <f t="shared" si="2"/>
        <v>3.3333333333333333E-2</v>
      </c>
      <c r="D118" s="811">
        <v>4</v>
      </c>
      <c r="E118" s="803"/>
      <c r="F118" s="803"/>
      <c r="G118" s="803"/>
      <c r="H118" s="832">
        <f>'OR12-财务管理'!P33</f>
        <v>4</v>
      </c>
      <c r="I118" s="813"/>
      <c r="J118" s="777" t="s">
        <v>1798</v>
      </c>
    </row>
    <row r="119" spans="1:10" ht="16.5">
      <c r="A119" s="1541"/>
      <c r="B119" s="800" t="s">
        <v>145</v>
      </c>
      <c r="C119" s="811">
        <f t="shared" si="2"/>
        <v>3.3333333333333333E-2</v>
      </c>
      <c r="D119" s="811">
        <v>3</v>
      </c>
      <c r="E119" s="803"/>
      <c r="F119" s="803"/>
      <c r="G119" s="803"/>
      <c r="H119" s="832">
        <f>'OR12-财务管理'!P34</f>
        <v>3</v>
      </c>
      <c r="I119" s="813"/>
      <c r="J119" s="777" t="s">
        <v>1798</v>
      </c>
    </row>
    <row r="120" spans="1:10" ht="16.5">
      <c r="A120" s="1541"/>
      <c r="B120" s="800" t="s">
        <v>148</v>
      </c>
      <c r="C120" s="811">
        <f t="shared" si="2"/>
        <v>3.3333333333333333E-2</v>
      </c>
      <c r="D120" s="811">
        <v>3</v>
      </c>
      <c r="E120" s="803"/>
      <c r="F120" s="803"/>
      <c r="G120" s="803"/>
      <c r="H120" s="832">
        <f>'OR12-财务管理'!P35</f>
        <v>3</v>
      </c>
      <c r="I120" s="813"/>
      <c r="J120" s="777" t="s">
        <v>1798</v>
      </c>
    </row>
    <row r="121" spans="1:10" ht="16.5">
      <c r="A121" s="1541"/>
      <c r="B121" s="800" t="s">
        <v>1736</v>
      </c>
      <c r="C121" s="811">
        <f t="shared" si="2"/>
        <v>3.3333333333333333E-2</v>
      </c>
      <c r="D121" s="811">
        <v>3</v>
      </c>
      <c r="E121" s="803"/>
      <c r="F121" s="803"/>
      <c r="G121" s="803"/>
      <c r="H121" s="832">
        <f>'OR12-财务管理'!P36</f>
        <v>3</v>
      </c>
      <c r="I121" s="804">
        <f>H121</f>
        <v>3</v>
      </c>
      <c r="J121" s="777" t="s">
        <v>1798</v>
      </c>
    </row>
    <row r="122" spans="1:10" ht="16.5">
      <c r="A122" s="1541"/>
      <c r="B122" s="800" t="s">
        <v>105</v>
      </c>
      <c r="C122" s="811">
        <f t="shared" si="2"/>
        <v>3.3333333333333333E-2</v>
      </c>
      <c r="D122" s="811">
        <v>3</v>
      </c>
      <c r="E122" s="803"/>
      <c r="F122" s="803"/>
      <c r="G122" s="816">
        <f>'OR12-财务管理'!P39</f>
        <v>3</v>
      </c>
      <c r="H122" s="832">
        <f>G122</f>
        <v>3</v>
      </c>
      <c r="I122" s="813"/>
      <c r="J122" s="777" t="s">
        <v>1798</v>
      </c>
    </row>
    <row r="123" spans="1:10" ht="16.5">
      <c r="A123" s="1541"/>
      <c r="B123" s="845" t="s">
        <v>107</v>
      </c>
      <c r="C123" s="811">
        <f t="shared" si="2"/>
        <v>3.3333333333333333E-2</v>
      </c>
      <c r="D123" s="817">
        <v>2</v>
      </c>
      <c r="E123" s="803"/>
      <c r="F123" s="803"/>
      <c r="G123" s="816">
        <f>'OR12-财务管理'!P40</f>
        <v>2</v>
      </c>
      <c r="H123" s="832">
        <f>G123</f>
        <v>2</v>
      </c>
      <c r="I123" s="813"/>
      <c r="J123" s="777" t="s">
        <v>1798</v>
      </c>
    </row>
    <row r="124" spans="1:10" ht="17.25" thickBot="1">
      <c r="A124" s="1542"/>
      <c r="B124" s="805" t="s">
        <v>636</v>
      </c>
      <c r="C124" s="819">
        <f t="shared" si="2"/>
        <v>3.3333333333333333E-2</v>
      </c>
      <c r="D124" s="819">
        <v>10</v>
      </c>
      <c r="E124" s="784"/>
      <c r="F124" s="784"/>
      <c r="G124" s="846">
        <f>MAX($D$124-($D$106-G106)-($D$110-G110),0)</f>
        <v>10</v>
      </c>
      <c r="H124" s="846">
        <f>MAX($D$124-($D$107-H107)-($D$110-H110)-($D$114-H114)-($D$116-H116),0)</f>
        <v>10</v>
      </c>
      <c r="I124" s="821"/>
      <c r="J124" s="786" t="s">
        <v>1798</v>
      </c>
    </row>
    <row r="125" spans="1:10" ht="13.5" customHeight="1" thickBot="1">
      <c r="A125" s="1543" t="s">
        <v>1590</v>
      </c>
      <c r="B125" s="1544"/>
      <c r="C125" s="847">
        <f>1/18</f>
        <v>5.5555555555555552E-2</v>
      </c>
      <c r="D125" s="847">
        <v>98.05</v>
      </c>
      <c r="E125" s="792"/>
      <c r="F125" s="792"/>
      <c r="G125" s="792"/>
      <c r="H125" s="792"/>
      <c r="I125" s="848">
        <f>信息系统!K137</f>
        <v>90.1</v>
      </c>
      <c r="J125" s="794" t="s">
        <v>1798</v>
      </c>
    </row>
    <row r="126" spans="1:10" ht="15">
      <c r="D126" s="770" t="s">
        <v>1409</v>
      </c>
      <c r="E126" s="849">
        <f>SUMPRODUCT(C11:C51,D11:D51)+SUMPRODUCT(C53:C55,D53:D55)+SUMPRODUCT(C61:C62,E61:E62)</f>
        <v>3.7777777777777768</v>
      </c>
      <c r="F126" s="849">
        <f>SUMPRODUCT(C63:C73,D63:D73)</f>
        <v>11.111111111111109</v>
      </c>
      <c r="G126" s="849">
        <f>C48*D48+C52*D52+SUMPRODUCT(C74:C79,D74:D79)+C82*D82+SUMPRODUCT(C86:C87,D86:D87)+SUMPRODUCT(C89:C90,D89:D90)+C91*D91+SUMPRODUCT(C94:C102,D94:D102)+C105*D105+C106*D106+C108*D108+C109*D109+SUMPRODUCT(C110:C112,D110:D112)+SUMPRODUCT(C122:C124,D122:D124)</f>
        <v>3.3999999999999995</v>
      </c>
      <c r="H126" s="849">
        <f>SUMPRODUCT(C113:C124,D113:D124)+C110*D110+C107*D107+SUMPRODUCT(C91:C104,D91:D104)+C88*D88+SUMPRODUCT(C83:C85,D83:D85)+C81*D81+SUMPRODUCT(C79:C80,D79:D80)+SUMPRODUCT(C74:C77,D74:D77)</f>
        <v>4.1555555555555559</v>
      </c>
      <c r="I126" s="849">
        <f>SUMPRODUCT(C2:C10,D2:D10)+SUMPRODUCT(C56:C60,D56:D60)+SUMPRODUCT(C94:C95,D94:D95)+C121*D121+C125*D125</f>
        <v>6.6083333333333334</v>
      </c>
    </row>
    <row r="127" spans="1:10" ht="15">
      <c r="D127" s="770" t="s">
        <v>1860</v>
      </c>
      <c r="E127" s="849">
        <f>SUMPRODUCT($C$2:$C$125,E2:E125)</f>
        <v>3.7777777777777763</v>
      </c>
      <c r="F127" s="849">
        <f>SUMPRODUCT($C$2:$C$125,F2:F125)</f>
        <v>10.638888888888888</v>
      </c>
      <c r="G127" s="849">
        <f>SUMPRODUCT($C$2:$C$125,G2:G125)</f>
        <v>3.3888888888888884</v>
      </c>
      <c r="H127" s="849">
        <f>SUMPRODUCT($C$2:$C$125,H2:H125)</f>
        <v>4.137777777777778</v>
      </c>
      <c r="I127" s="849">
        <f>SUMPRODUCT($C$2:$C$125,I2:I125)</f>
        <v>6.1666666666666661</v>
      </c>
    </row>
    <row r="128" spans="1:10" ht="15">
      <c r="D128" s="770" t="s">
        <v>1403</v>
      </c>
      <c r="E128" s="849">
        <f>E127/E126*100</f>
        <v>99.999999999999986</v>
      </c>
      <c r="F128" s="849">
        <f>F127/F126*100</f>
        <v>95.75</v>
      </c>
      <c r="G128" s="849">
        <f>G127/G126*100</f>
        <v>99.673202614379079</v>
      </c>
      <c r="H128" s="849">
        <f>H127/H126*100</f>
        <v>99.572192513368989</v>
      </c>
      <c r="I128" s="849">
        <f>I127/I126*100</f>
        <v>93.316519546027735</v>
      </c>
    </row>
    <row r="133" spans="1:5" ht="15">
      <c r="C133" s="850" t="s">
        <v>1083</v>
      </c>
      <c r="D133" s="850">
        <f>VALUE($E$128)</f>
        <v>99.999999999999986</v>
      </c>
    </row>
    <row r="134" spans="1:5" ht="15">
      <c r="C134" s="850" t="s">
        <v>1287</v>
      </c>
      <c r="D134" s="850">
        <f>VALUE($G$128)</f>
        <v>99.673202614379079</v>
      </c>
    </row>
    <row r="135" spans="1:5" ht="15">
      <c r="A135" s="851"/>
      <c r="B135" s="851"/>
      <c r="C135" s="850" t="s">
        <v>1413</v>
      </c>
      <c r="D135" s="850">
        <f>VALUE($H$128)</f>
        <v>99.572192513368989</v>
      </c>
      <c r="E135" s="851"/>
    </row>
    <row r="136" spans="1:5" ht="15">
      <c r="C136" s="850" t="s">
        <v>1841</v>
      </c>
      <c r="D136" s="850">
        <f>VALUE($F$128)</f>
        <v>95.75</v>
      </c>
    </row>
    <row r="137" spans="1:5" ht="15">
      <c r="C137" s="850" t="s">
        <v>1286</v>
      </c>
      <c r="D137" s="850">
        <f>VALUE($I$128)</f>
        <v>93.316519546027735</v>
      </c>
    </row>
    <row r="139" spans="1:5">
      <c r="A139" s="852" t="s">
        <v>1994</v>
      </c>
    </row>
    <row r="140" spans="1:5">
      <c r="A140" s="852" t="s">
        <v>1990</v>
      </c>
    </row>
    <row r="141" spans="1:5">
      <c r="A141" s="852" t="s">
        <v>1992</v>
      </c>
    </row>
    <row r="142" spans="1:5">
      <c r="A142" s="852" t="s">
        <v>1991</v>
      </c>
    </row>
  </sheetData>
  <sortState ref="C133:D137">
    <sortCondition descending="1" ref="D133"/>
  </sortState>
  <mergeCells count="119">
    <mergeCell ref="C14:C15"/>
    <mergeCell ref="C18:C19"/>
    <mergeCell ref="C21:C22"/>
    <mergeCell ref="C23:C24"/>
    <mergeCell ref="D50:D51"/>
    <mergeCell ref="D45:D46"/>
    <mergeCell ref="D48:D49"/>
    <mergeCell ref="D40:D41"/>
    <mergeCell ref="D43:D44"/>
    <mergeCell ref="D36:D37"/>
    <mergeCell ref="D38:D39"/>
    <mergeCell ref="D25:D26"/>
    <mergeCell ref="D32:D33"/>
    <mergeCell ref="D21:D22"/>
    <mergeCell ref="D23:D24"/>
    <mergeCell ref="D14:D15"/>
    <mergeCell ref="D18:D19"/>
    <mergeCell ref="C50:C51"/>
    <mergeCell ref="C48:C49"/>
    <mergeCell ref="C45:C46"/>
    <mergeCell ref="C43:C44"/>
    <mergeCell ref="C38:C39"/>
    <mergeCell ref="C36:C37"/>
    <mergeCell ref="C32:C33"/>
    <mergeCell ref="C25:C26"/>
    <mergeCell ref="C40:C41"/>
    <mergeCell ref="I18:I19"/>
    <mergeCell ref="G14:G15"/>
    <mergeCell ref="H14:H15"/>
    <mergeCell ref="F14:F15"/>
    <mergeCell ref="I14:I15"/>
    <mergeCell ref="E18:E19"/>
    <mergeCell ref="G18:G19"/>
    <mergeCell ref="H18:H19"/>
    <mergeCell ref="F18:F19"/>
    <mergeCell ref="E14:E15"/>
    <mergeCell ref="I21:I22"/>
    <mergeCell ref="I23:I24"/>
    <mergeCell ref="E25:E26"/>
    <mergeCell ref="G25:G26"/>
    <mergeCell ref="H25:H26"/>
    <mergeCell ref="F25:F26"/>
    <mergeCell ref="I25:I26"/>
    <mergeCell ref="E23:E24"/>
    <mergeCell ref="G23:G24"/>
    <mergeCell ref="H23:H24"/>
    <mergeCell ref="F23:F24"/>
    <mergeCell ref="E21:E22"/>
    <mergeCell ref="H21:H22"/>
    <mergeCell ref="F21:F22"/>
    <mergeCell ref="I38:I39"/>
    <mergeCell ref="E36:E37"/>
    <mergeCell ref="G36:G37"/>
    <mergeCell ref="H36:H37"/>
    <mergeCell ref="F36:F37"/>
    <mergeCell ref="I36:I37"/>
    <mergeCell ref="I32:I33"/>
    <mergeCell ref="E32:E33"/>
    <mergeCell ref="G32:G33"/>
    <mergeCell ref="H32:H33"/>
    <mergeCell ref="F32:F33"/>
    <mergeCell ref="I45:I46"/>
    <mergeCell ref="E43:E44"/>
    <mergeCell ref="G43:G44"/>
    <mergeCell ref="H43:H44"/>
    <mergeCell ref="F43:F44"/>
    <mergeCell ref="E40:E41"/>
    <mergeCell ref="G40:G41"/>
    <mergeCell ref="H40:H41"/>
    <mergeCell ref="F40:F41"/>
    <mergeCell ref="I40:I41"/>
    <mergeCell ref="I2:I3"/>
    <mergeCell ref="I4:I5"/>
    <mergeCell ref="A8:A10"/>
    <mergeCell ref="A2:A6"/>
    <mergeCell ref="D2:D3"/>
    <mergeCell ref="D4:D5"/>
    <mergeCell ref="C2:C3"/>
    <mergeCell ref="C4:C5"/>
    <mergeCell ref="E54:E55"/>
    <mergeCell ref="G54:G55"/>
    <mergeCell ref="H54:H55"/>
    <mergeCell ref="F54:F55"/>
    <mergeCell ref="I43:I44"/>
    <mergeCell ref="I54:I55"/>
    <mergeCell ref="E50:E51"/>
    <mergeCell ref="G50:G51"/>
    <mergeCell ref="H50:H51"/>
    <mergeCell ref="F50:F51"/>
    <mergeCell ref="I50:I51"/>
    <mergeCell ref="E48:E49"/>
    <mergeCell ref="H48:H49"/>
    <mergeCell ref="F48:F49"/>
    <mergeCell ref="I48:I49"/>
    <mergeCell ref="G48:G49"/>
    <mergeCell ref="A97:A124"/>
    <mergeCell ref="A125:B125"/>
    <mergeCell ref="E2:E3"/>
    <mergeCell ref="G2:G3"/>
    <mergeCell ref="H2:H3"/>
    <mergeCell ref="F2:F3"/>
    <mergeCell ref="E4:E5"/>
    <mergeCell ref="G4:G5"/>
    <mergeCell ref="H4:H5"/>
    <mergeCell ref="F4:F5"/>
    <mergeCell ref="A74:A96"/>
    <mergeCell ref="E45:E46"/>
    <mergeCell ref="G45:G46"/>
    <mergeCell ref="H45:H46"/>
    <mergeCell ref="F45:F46"/>
    <mergeCell ref="E38:E39"/>
    <mergeCell ref="G38:G39"/>
    <mergeCell ref="H38:H39"/>
    <mergeCell ref="F38:F39"/>
    <mergeCell ref="A11:A62"/>
    <mergeCell ref="D54:D55"/>
    <mergeCell ref="C54:C55"/>
    <mergeCell ref="A63:A73"/>
    <mergeCell ref="G21:G22"/>
  </mergeCells>
  <phoneticPr fontId="3" type="noConversion"/>
  <conditionalFormatting sqref="I2:I10">
    <cfRule type="cellIs" dxfId="343" priority="42" operator="lessThan">
      <formula>D2</formula>
    </cfRule>
  </conditionalFormatting>
  <conditionalFormatting sqref="E11:E51">
    <cfRule type="cellIs" dxfId="342" priority="41" operator="lessThan">
      <formula>D11</formula>
    </cfRule>
  </conditionalFormatting>
  <conditionalFormatting sqref="G48:G49">
    <cfRule type="cellIs" dxfId="341" priority="40" operator="lessThan">
      <formula>$D$48</formula>
    </cfRule>
  </conditionalFormatting>
  <conditionalFormatting sqref="G52">
    <cfRule type="cellIs" dxfId="340" priority="39" operator="lessThan">
      <formula>$D$52</formula>
    </cfRule>
  </conditionalFormatting>
  <conditionalFormatting sqref="E53:E55">
    <cfRule type="cellIs" dxfId="339" priority="38" operator="lessThan">
      <formula>D53</formula>
    </cfRule>
  </conditionalFormatting>
  <conditionalFormatting sqref="I56:I60">
    <cfRule type="cellIs" dxfId="338" priority="37" operator="lessThan">
      <formula>D56</formula>
    </cfRule>
  </conditionalFormatting>
  <conditionalFormatting sqref="E61:E62">
    <cfRule type="cellIs" dxfId="337" priority="36" operator="lessThan">
      <formula>D61</formula>
    </cfRule>
  </conditionalFormatting>
  <conditionalFormatting sqref="F63:F73">
    <cfRule type="cellIs" dxfId="336" priority="35" operator="lessThan">
      <formula>D63</formula>
    </cfRule>
  </conditionalFormatting>
  <conditionalFormatting sqref="G74:G79">
    <cfRule type="cellIs" dxfId="335" priority="34" operator="lessThan">
      <formula>D74</formula>
    </cfRule>
  </conditionalFormatting>
  <conditionalFormatting sqref="H79">
    <cfRule type="cellIs" dxfId="334" priority="32" operator="lessThan">
      <formula>$D$79</formula>
    </cfRule>
  </conditionalFormatting>
  <conditionalFormatting sqref="H80">
    <cfRule type="cellIs" dxfId="333" priority="31" operator="lessThan">
      <formula>$D$80</formula>
    </cfRule>
  </conditionalFormatting>
  <conditionalFormatting sqref="G82">
    <cfRule type="cellIs" dxfId="332" priority="30" operator="lessThan">
      <formula>$D$82</formula>
    </cfRule>
  </conditionalFormatting>
  <conditionalFormatting sqref="H83:H85 H94:H104 H113:H124">
    <cfRule type="cellIs" dxfId="331" priority="29" operator="lessThan">
      <formula>D83</formula>
    </cfRule>
  </conditionalFormatting>
  <conditionalFormatting sqref="G86">
    <cfRule type="cellIs" dxfId="330" priority="27" operator="lessThan">
      <formula>D86</formula>
    </cfRule>
  </conditionalFormatting>
  <conditionalFormatting sqref="G87">
    <cfRule type="cellIs" dxfId="329" priority="26" operator="lessThan">
      <formula>D87</formula>
    </cfRule>
  </conditionalFormatting>
  <conditionalFormatting sqref="H88">
    <cfRule type="cellIs" dxfId="328" priority="24" operator="lessThan">
      <formula>D88</formula>
    </cfRule>
  </conditionalFormatting>
  <conditionalFormatting sqref="G89:G90">
    <cfRule type="cellIs" dxfId="327" priority="23" operator="lessThan">
      <formula>D89</formula>
    </cfRule>
  </conditionalFormatting>
  <conditionalFormatting sqref="G91:H91">
    <cfRule type="cellIs" dxfId="326" priority="21" operator="lessThan">
      <formula>6</formula>
    </cfRule>
  </conditionalFormatting>
  <conditionalFormatting sqref="H92">
    <cfRule type="cellIs" dxfId="325" priority="19" operator="lessThan">
      <formula>5</formula>
    </cfRule>
  </conditionalFormatting>
  <conditionalFormatting sqref="G94:H102">
    <cfRule type="cellIs" dxfId="324" priority="18" operator="lessThan">
      <formula>D94</formula>
    </cfRule>
  </conditionalFormatting>
  <conditionalFormatting sqref="H74:H77">
    <cfRule type="cellIs" dxfId="323" priority="17" operator="lessThan">
      <formula>D74</formula>
    </cfRule>
  </conditionalFormatting>
  <conditionalFormatting sqref="I94:I95">
    <cfRule type="cellIs" dxfId="322" priority="15" operator="lessThan">
      <formula>D94</formula>
    </cfRule>
  </conditionalFormatting>
  <conditionalFormatting sqref="G105">
    <cfRule type="cellIs" dxfId="321" priority="13" operator="lessThan">
      <formula>$D$105</formula>
    </cfRule>
    <cfRule type="cellIs" dxfId="320" priority="14" operator="greaterThan">
      <formula>$D$105</formula>
    </cfRule>
  </conditionalFormatting>
  <conditionalFormatting sqref="G106">
    <cfRule type="cellIs" dxfId="319" priority="11" operator="lessThan">
      <formula>$D$106</formula>
    </cfRule>
  </conditionalFormatting>
  <conditionalFormatting sqref="H107">
    <cfRule type="cellIs" dxfId="318" priority="9" operator="lessThan">
      <formula>$D$107</formula>
    </cfRule>
  </conditionalFormatting>
  <conditionalFormatting sqref="G108:G109">
    <cfRule type="cellIs" dxfId="317" priority="8" operator="lessThan">
      <formula>$D$108</formula>
    </cfRule>
  </conditionalFormatting>
  <conditionalFormatting sqref="G110:H110">
    <cfRule type="cellIs" dxfId="316" priority="6" operator="lessThan">
      <formula>$D$110</formula>
    </cfRule>
  </conditionalFormatting>
  <conditionalFormatting sqref="G111:G112">
    <cfRule type="cellIs" dxfId="315" priority="5" operator="lessThan">
      <formula>D111</formula>
    </cfRule>
  </conditionalFormatting>
  <conditionalFormatting sqref="G122:G124 H124">
    <cfRule type="cellIs" dxfId="314" priority="3" operator="lessThan">
      <formula>D122</formula>
    </cfRule>
  </conditionalFormatting>
  <conditionalFormatting sqref="I121">
    <cfRule type="cellIs" dxfId="313" priority="2" operator="lessThan">
      <formula>$D$121</formula>
    </cfRule>
  </conditionalFormatting>
  <conditionalFormatting sqref="I125">
    <cfRule type="cellIs" dxfId="312" priority="1" operator="lessThan">
      <formula>$D$125</formula>
    </cfRule>
  </conditionalFormatting>
  <hyperlinks>
    <hyperlink ref="A139" location="绩效总分!A1" display="绩效总分"/>
    <hyperlink ref="A140" location="'总公司绩效-II'!A1" display="总公司绩效-II"/>
    <hyperlink ref="A141" location="分公司绩效!A1" display="分公司绩效"/>
    <hyperlink ref="A142" location="目录!A1" display="目录"/>
  </hyperlinks>
  <pageMargins left="0.7" right="0.7" top="0.75" bottom="0.75" header="0.3" footer="0.3"/>
  <ignoredErrors>
    <ignoredError sqref="F126" formulaRange="1"/>
  </ignoredErrors>
  <legacyDrawing r:id="rId1"/>
</worksheet>
</file>

<file path=xl/worksheets/sheet8.xml><?xml version="1.0" encoding="utf-8"?>
<worksheet xmlns="http://schemas.openxmlformats.org/spreadsheetml/2006/main" xmlns:r="http://schemas.openxmlformats.org/officeDocument/2006/relationships">
  <sheetPr>
    <tabColor theme="3"/>
  </sheetPr>
  <dimension ref="A1:AA132"/>
  <sheetViews>
    <sheetView workbookViewId="0">
      <pane xSplit="4" ySplit="1" topLeftCell="E2" activePane="bottomRight" state="frozenSplit"/>
      <selection pane="topRight" activeCell="P1" sqref="P1"/>
      <selection pane="bottomLeft" activeCell="A15" sqref="A15"/>
      <selection pane="bottomRight" activeCell="L118" sqref="L118"/>
    </sheetView>
  </sheetViews>
  <sheetFormatPr defaultRowHeight="13.5"/>
  <cols>
    <col min="1" max="1" width="8" style="325" customWidth="1"/>
    <col min="2" max="2" width="48.125" style="325" customWidth="1"/>
    <col min="3" max="3" width="9.25" style="325" bestFit="1" customWidth="1"/>
    <col min="4" max="4" width="8.375" style="325" customWidth="1"/>
    <col min="5" max="5" width="7.25" style="325" customWidth="1"/>
    <col min="6" max="8" width="7.25" style="325" bestFit="1" customWidth="1"/>
    <col min="9" max="10" width="7.25" style="325" customWidth="1"/>
    <col min="11" max="14" width="7.25" style="325" bestFit="1" customWidth="1"/>
    <col min="15" max="15" width="14.375" style="325" customWidth="1"/>
    <col min="16" max="16" width="13.125" style="701" bestFit="1" customWidth="1"/>
    <col min="17" max="17" width="13.125" style="701" customWidth="1"/>
    <col min="18" max="19" width="6" style="325" customWidth="1"/>
    <col min="20" max="20" width="9" style="325"/>
    <col min="21" max="21" width="7.75" style="325" customWidth="1"/>
    <col min="22" max="22" width="8.875" style="325" customWidth="1"/>
    <col min="23" max="23" width="7.875" style="325" customWidth="1"/>
    <col min="24" max="25" width="9" style="325"/>
    <col min="26" max="26" width="6.875" style="325" customWidth="1"/>
    <col min="27" max="16384" width="9" style="325"/>
  </cols>
  <sheetData>
    <row r="1" spans="1:17" ht="15">
      <c r="A1" s="853" t="s">
        <v>1742</v>
      </c>
      <c r="B1" s="853" t="s">
        <v>1743</v>
      </c>
      <c r="C1" s="853" t="s">
        <v>1744</v>
      </c>
      <c r="D1" s="853" t="s">
        <v>1745</v>
      </c>
      <c r="E1" s="854" t="s">
        <v>1085</v>
      </c>
      <c r="F1" s="854" t="s">
        <v>1086</v>
      </c>
      <c r="G1" s="854" t="s">
        <v>1087</v>
      </c>
      <c r="H1" s="854" t="s">
        <v>1088</v>
      </c>
      <c r="I1" s="854" t="s">
        <v>1089</v>
      </c>
      <c r="J1" s="854" t="s">
        <v>1090</v>
      </c>
      <c r="K1" s="854" t="s">
        <v>1091</v>
      </c>
      <c r="L1" s="854" t="s">
        <v>1092</v>
      </c>
      <c r="M1" s="854" t="s">
        <v>1093</v>
      </c>
      <c r="N1" s="854" t="s">
        <v>1094</v>
      </c>
      <c r="O1" s="717" t="s">
        <v>1801</v>
      </c>
    </row>
    <row r="2" spans="1:17" ht="14.25">
      <c r="A2" s="1586" t="s">
        <v>1820</v>
      </c>
      <c r="B2" s="855" t="s">
        <v>1103</v>
      </c>
      <c r="C2" s="856">
        <f t="shared" ref="C2:C61" si="0">70%*(1/18)</f>
        <v>3.8888888888888883E-2</v>
      </c>
      <c r="D2" s="857">
        <v>3</v>
      </c>
      <c r="E2" s="858">
        <v>3</v>
      </c>
      <c r="F2" s="858">
        <v>3</v>
      </c>
      <c r="G2" s="858">
        <v>3</v>
      </c>
      <c r="H2" s="858">
        <v>3</v>
      </c>
      <c r="I2" s="858">
        <v>3</v>
      </c>
      <c r="J2" s="858">
        <v>3</v>
      </c>
      <c r="K2" s="858">
        <v>3</v>
      </c>
      <c r="L2" s="858">
        <v>3</v>
      </c>
      <c r="M2" s="858">
        <v>3</v>
      </c>
      <c r="N2" s="858">
        <v>3</v>
      </c>
      <c r="O2" s="319" t="s">
        <v>1799</v>
      </c>
      <c r="P2" s="859"/>
      <c r="Q2" s="859"/>
    </row>
    <row r="3" spans="1:17" ht="14.25">
      <c r="A3" s="1587"/>
      <c r="B3" s="855" t="s">
        <v>1746</v>
      </c>
      <c r="C3" s="856">
        <f t="shared" si="0"/>
        <v>3.8888888888888883E-2</v>
      </c>
      <c r="D3" s="857">
        <v>2</v>
      </c>
      <c r="E3" s="858">
        <v>2</v>
      </c>
      <c r="F3" s="858">
        <v>2</v>
      </c>
      <c r="G3" s="858">
        <v>2</v>
      </c>
      <c r="H3" s="858">
        <v>2</v>
      </c>
      <c r="I3" s="858">
        <v>2</v>
      </c>
      <c r="J3" s="858">
        <v>2</v>
      </c>
      <c r="K3" s="858">
        <v>2</v>
      </c>
      <c r="L3" s="858">
        <v>2</v>
      </c>
      <c r="M3" s="858">
        <v>2</v>
      </c>
      <c r="N3" s="858">
        <v>2</v>
      </c>
      <c r="O3" s="319" t="s">
        <v>1799</v>
      </c>
      <c r="P3" s="859"/>
      <c r="Q3" s="859"/>
    </row>
    <row r="4" spans="1:17" ht="14.25">
      <c r="A4" s="1587"/>
      <c r="B4" s="855" t="s">
        <v>1747</v>
      </c>
      <c r="C4" s="856">
        <f t="shared" si="0"/>
        <v>3.8888888888888883E-2</v>
      </c>
      <c r="D4" s="857">
        <v>3</v>
      </c>
      <c r="E4" s="319">
        <f>'OR04-分公司销售、承保、保全'!W10</f>
        <v>0</v>
      </c>
      <c r="F4" s="319">
        <f>'OR04-分公司销售、承保、保全'!AC10</f>
        <v>3</v>
      </c>
      <c r="G4" s="319">
        <f>'OR04-分公司销售、承保、保全'!AI10</f>
        <v>1.5</v>
      </c>
      <c r="H4" s="319">
        <f>'OR04-分公司销售、承保、保全'!AO10</f>
        <v>1.5</v>
      </c>
      <c r="I4" s="319">
        <f>'OR04-分公司销售、承保、保全'!AU10</f>
        <v>1.5</v>
      </c>
      <c r="J4" s="319">
        <f>'OR04-分公司销售、承保、保全'!BA10</f>
        <v>1.5</v>
      </c>
      <c r="K4" s="319">
        <f>'OR04-分公司销售、承保、保全'!BG10</f>
        <v>0</v>
      </c>
      <c r="L4" s="319">
        <f>'OR04-分公司销售、承保、保全'!BM10</f>
        <v>1.5</v>
      </c>
      <c r="M4" s="319">
        <f>'OR04-分公司销售、承保、保全'!BS10</f>
        <v>0</v>
      </c>
      <c r="N4" s="319">
        <f>'OR04-分公司销售、承保、保全'!BY10</f>
        <v>1.5</v>
      </c>
      <c r="O4" s="319" t="s">
        <v>1800</v>
      </c>
    </row>
    <row r="5" spans="1:17" ht="14.25">
      <c r="A5" s="1587"/>
      <c r="B5" s="855" t="s">
        <v>1748</v>
      </c>
      <c r="C5" s="856">
        <f t="shared" si="0"/>
        <v>3.8888888888888883E-2</v>
      </c>
      <c r="D5" s="857">
        <v>3</v>
      </c>
      <c r="E5" s="319">
        <f>'OR04-分公司销售、承保、保全'!W14</f>
        <v>3</v>
      </c>
      <c r="F5" s="319">
        <f>'OR04-分公司销售、承保、保全'!AC14</f>
        <v>3</v>
      </c>
      <c r="G5" s="319">
        <f>'OR04-分公司销售、承保、保全'!AI14</f>
        <v>3</v>
      </c>
      <c r="H5" s="319">
        <f>'OR04-分公司销售、承保、保全'!AO14</f>
        <v>3</v>
      </c>
      <c r="I5" s="319">
        <f>'OR04-分公司销售、承保、保全'!AU14</f>
        <v>3</v>
      </c>
      <c r="J5" s="319">
        <f>'OR04-分公司销售、承保、保全'!BA14</f>
        <v>3</v>
      </c>
      <c r="K5" s="319">
        <f>'OR04-分公司销售、承保、保全'!BG14</f>
        <v>3</v>
      </c>
      <c r="L5" s="319">
        <f>'OR04-分公司销售、承保、保全'!BM14</f>
        <v>3</v>
      </c>
      <c r="M5" s="319">
        <f>'OR04-分公司销售、承保、保全'!BS14</f>
        <v>3</v>
      </c>
      <c r="N5" s="319">
        <f>'OR04-分公司销售、承保、保全'!BY14</f>
        <v>3</v>
      </c>
      <c r="O5" s="319" t="s">
        <v>1800</v>
      </c>
    </row>
    <row r="6" spans="1:17" ht="14.25">
      <c r="A6" s="1587"/>
      <c r="B6" s="855" t="s">
        <v>1749</v>
      </c>
      <c r="C6" s="856">
        <f t="shared" si="0"/>
        <v>3.8888888888888883E-2</v>
      </c>
      <c r="D6" s="857">
        <v>4</v>
      </c>
      <c r="E6" s="319">
        <f>'OR04-分公司销售、承保、保全'!W15</f>
        <v>4</v>
      </c>
      <c r="F6" s="319">
        <f>'OR04-分公司销售、承保、保全'!AC15</f>
        <v>4</v>
      </c>
      <c r="G6" s="319">
        <f>'OR04-分公司销售、承保、保全'!AI15</f>
        <v>4</v>
      </c>
      <c r="H6" s="319">
        <f>'OR04-分公司销售、承保、保全'!AO15</f>
        <v>4</v>
      </c>
      <c r="I6" s="319">
        <f>'OR04-分公司销售、承保、保全'!AU15</f>
        <v>4</v>
      </c>
      <c r="J6" s="319">
        <f>'OR04-分公司销售、承保、保全'!BA15</f>
        <v>4</v>
      </c>
      <c r="K6" s="319">
        <f>'OR04-分公司销售、承保、保全'!BG15</f>
        <v>4</v>
      </c>
      <c r="L6" s="319">
        <f>'OR04-分公司销售、承保、保全'!BM15</f>
        <v>4</v>
      </c>
      <c r="M6" s="319">
        <f>'OR04-分公司销售、承保、保全'!BS15</f>
        <v>4</v>
      </c>
      <c r="N6" s="319">
        <f>'OR04-分公司销售、承保、保全'!BY15</f>
        <v>4</v>
      </c>
      <c r="O6" s="319" t="s">
        <v>1800</v>
      </c>
    </row>
    <row r="7" spans="1:17" ht="14.25">
      <c r="A7" s="1587"/>
      <c r="B7" s="855" t="s">
        <v>1750</v>
      </c>
      <c r="C7" s="856">
        <f t="shared" si="0"/>
        <v>3.8888888888888883E-2</v>
      </c>
      <c r="D7" s="857">
        <v>1</v>
      </c>
      <c r="E7" s="319">
        <f>'OR04-分公司销售、承保、保全'!W16</f>
        <v>1</v>
      </c>
      <c r="F7" s="319">
        <f>'OR04-分公司销售、承保、保全'!AC16</f>
        <v>1</v>
      </c>
      <c r="G7" s="319">
        <f>'OR04-分公司销售、承保、保全'!AI16</f>
        <v>1</v>
      </c>
      <c r="H7" s="319">
        <f>'OR04-分公司销售、承保、保全'!AO16</f>
        <v>1</v>
      </c>
      <c r="I7" s="319">
        <f>'OR04-分公司销售、承保、保全'!AU16</f>
        <v>1</v>
      </c>
      <c r="J7" s="319">
        <f>'OR04-分公司销售、承保、保全'!BA16</f>
        <v>1</v>
      </c>
      <c r="K7" s="319">
        <f>'OR04-分公司销售、承保、保全'!BG16</f>
        <v>1</v>
      </c>
      <c r="L7" s="319">
        <f>'OR04-分公司销售、承保、保全'!BM16</f>
        <v>1</v>
      </c>
      <c r="M7" s="319">
        <f>'OR04-分公司销售、承保、保全'!BS16</f>
        <v>1</v>
      </c>
      <c r="N7" s="319">
        <f>'OR04-分公司销售、承保、保全'!BY16</f>
        <v>1</v>
      </c>
      <c r="O7" s="319" t="s">
        <v>1800</v>
      </c>
    </row>
    <row r="8" spans="1:17" ht="14.25">
      <c r="A8" s="1587"/>
      <c r="B8" s="855" t="s">
        <v>1751</v>
      </c>
      <c r="C8" s="856">
        <f t="shared" si="0"/>
        <v>3.8888888888888883E-2</v>
      </c>
      <c r="D8" s="857">
        <v>2</v>
      </c>
      <c r="E8" s="319">
        <f>'OR04-分公司销售、承保、保全'!W19</f>
        <v>2</v>
      </c>
      <c r="F8" s="319">
        <f>'OR04-分公司销售、承保、保全'!AC19</f>
        <v>2</v>
      </c>
      <c r="G8" s="319">
        <f>'OR04-分公司销售、承保、保全'!AI19</f>
        <v>2</v>
      </c>
      <c r="H8" s="319">
        <f>'OR04-分公司销售、承保、保全'!AO22</f>
        <v>2</v>
      </c>
      <c r="I8" s="319">
        <f>'OR04-分公司销售、承保、保全'!AU19</f>
        <v>2</v>
      </c>
      <c r="J8" s="319">
        <f>'OR04-分公司销售、承保、保全'!BA19</f>
        <v>2</v>
      </c>
      <c r="K8" s="319">
        <f>'OR04-分公司销售、承保、保全'!BG19</f>
        <v>2</v>
      </c>
      <c r="L8" s="319">
        <f>'OR04-分公司销售、承保、保全'!BM19</f>
        <v>2</v>
      </c>
      <c r="M8" s="319">
        <f>'OR04-分公司销售、承保、保全'!BS19</f>
        <v>2</v>
      </c>
      <c r="N8" s="319">
        <f>'OR04-分公司销售、承保、保全'!BY19</f>
        <v>2</v>
      </c>
      <c r="O8" s="319" t="s">
        <v>1800</v>
      </c>
    </row>
    <row r="9" spans="1:17" ht="14.25">
      <c r="A9" s="1587"/>
      <c r="B9" s="855" t="s">
        <v>1752</v>
      </c>
      <c r="C9" s="856">
        <f t="shared" si="0"/>
        <v>3.8888888888888883E-2</v>
      </c>
      <c r="D9" s="857">
        <v>2</v>
      </c>
      <c r="E9" s="319">
        <f>'OR04-分公司销售、承保、保全'!W22</f>
        <v>2</v>
      </c>
      <c r="F9" s="319">
        <f>'OR04-分公司销售、承保、保全'!AC22</f>
        <v>2</v>
      </c>
      <c r="G9" s="319">
        <f>'OR04-分公司销售、承保、保全'!AI22</f>
        <v>2</v>
      </c>
      <c r="H9" s="319">
        <f>'OR04-分公司销售、承保、保全'!AO22</f>
        <v>2</v>
      </c>
      <c r="I9" s="319">
        <f>'OR04-分公司销售、承保、保全'!AU22</f>
        <v>1</v>
      </c>
      <c r="J9" s="319">
        <f>'OR04-分公司销售、承保、保全'!BA22</f>
        <v>2</v>
      </c>
      <c r="K9" s="319">
        <f>'OR04-分公司销售、承保、保全'!BG22</f>
        <v>2</v>
      </c>
      <c r="L9" s="319">
        <f>'OR04-分公司销售、承保、保全'!BM22</f>
        <v>2</v>
      </c>
      <c r="M9" s="319">
        <f>'OR04-分公司销售、承保、保全'!BS22</f>
        <v>2</v>
      </c>
      <c r="N9" s="319">
        <f>'OR04-分公司销售、承保、保全'!BY22</f>
        <v>2</v>
      </c>
      <c r="O9" s="319" t="s">
        <v>1800</v>
      </c>
    </row>
    <row r="10" spans="1:17" ht="14.25">
      <c r="A10" s="1587"/>
      <c r="B10" s="855" t="s">
        <v>1753</v>
      </c>
      <c r="C10" s="856">
        <f t="shared" si="0"/>
        <v>3.8888888888888883E-2</v>
      </c>
      <c r="D10" s="857">
        <v>2</v>
      </c>
      <c r="E10" s="319">
        <f>'OR04-分公司销售、承保、保全'!W25</f>
        <v>0.73684210526315785</v>
      </c>
      <c r="F10" s="319">
        <f>'OR04-分公司销售、承保、保全'!AC25</f>
        <v>0.36601307189542481</v>
      </c>
      <c r="G10" s="319">
        <f>'OR04-分公司销售、承保、保全'!AI25</f>
        <v>0.4732142857142857</v>
      </c>
      <c r="H10" s="319">
        <f>'OR04-分公司销售、承保、保全'!AO25</f>
        <v>0.44444444444444442</v>
      </c>
      <c r="I10" s="319">
        <f>'OR04-分公司销售、承保、保全'!AU25</f>
        <v>0.7967479674796748</v>
      </c>
      <c r="J10" s="319">
        <f>'OR04-分公司销售、承保、保全'!BA25</f>
        <v>0.54022988505747127</v>
      </c>
      <c r="K10" s="319">
        <f>'OR04-分公司销售、承保、保全'!BG25</f>
        <v>0.30188679245283018</v>
      </c>
      <c r="L10" s="319">
        <f>'OR04-分公司销售、承保、保全'!BM25</f>
        <v>0.48756218905472637</v>
      </c>
      <c r="M10" s="319">
        <f>'OR04-分公司销售、承保、保全'!BS25</f>
        <v>0.29629629629629628</v>
      </c>
      <c r="N10" s="319">
        <f>'OR04-分公司销售、承保、保全'!BY25</f>
        <v>0.25837320574162681</v>
      </c>
      <c r="O10" s="319" t="s">
        <v>1800</v>
      </c>
    </row>
    <row r="11" spans="1:17" ht="14.25">
      <c r="A11" s="1587"/>
      <c r="B11" s="855" t="s">
        <v>1692</v>
      </c>
      <c r="C11" s="324"/>
      <c r="D11" s="857"/>
      <c r="E11" s="319">
        <f>'OR04-分公司销售、承保、保全'!V28</f>
        <v>0</v>
      </c>
      <c r="F11" s="319">
        <f>'OR04-分公司销售、承保、保全'!AB28</f>
        <v>3</v>
      </c>
      <c r="G11" s="319">
        <f>'OR04-分公司销售、承保、保全'!AH28</f>
        <v>1</v>
      </c>
      <c r="H11" s="319">
        <f>'OR04-分公司销售、承保、保全'!AN28</f>
        <v>2</v>
      </c>
      <c r="I11" s="319">
        <f>'OR04-分公司销售、承保、保全'!AT28</f>
        <v>2</v>
      </c>
      <c r="J11" s="319">
        <f>'OR04-分公司销售、承保、保全'!AZ28</f>
        <v>2</v>
      </c>
      <c r="K11" s="319">
        <f>'OR04-分公司销售、承保、保全'!BF28</f>
        <v>0</v>
      </c>
      <c r="L11" s="319">
        <f>'OR04-分公司销售、承保、保全'!BL28</f>
        <v>2</v>
      </c>
      <c r="M11" s="319">
        <f>'OR04-分公司销售、承保、保全'!BR28</f>
        <v>0</v>
      </c>
      <c r="N11" s="319">
        <f>'OR04-分公司销售、承保、保全'!BX28</f>
        <v>1</v>
      </c>
      <c r="O11" s="319" t="s">
        <v>1803</v>
      </c>
    </row>
    <row r="12" spans="1:17" ht="14.25">
      <c r="A12" s="1587"/>
      <c r="B12" s="855" t="s">
        <v>2036</v>
      </c>
      <c r="C12" s="324"/>
      <c r="D12" s="857"/>
      <c r="E12" s="319">
        <f>'OR04-分公司销售、承保、保全'!V29</f>
        <v>0</v>
      </c>
      <c r="F12" s="319">
        <f>'OR04-分公司销售、承保、保全'!AB29</f>
        <v>0</v>
      </c>
      <c r="G12" s="319">
        <f>'OR04-分公司销售、承保、保全'!AH29</f>
        <v>0</v>
      </c>
      <c r="H12" s="319">
        <f>'OR04-分公司销售、承保、保全'!AN29</f>
        <v>2</v>
      </c>
      <c r="I12" s="319">
        <f>'OR04-分公司销售、承保、保全'!AT29</f>
        <v>0</v>
      </c>
      <c r="J12" s="319">
        <f>'OR04-分公司销售、承保、保全'!AZ29</f>
        <v>0</v>
      </c>
      <c r="K12" s="319">
        <f>'OR04-分公司销售、承保、保全'!BF29</f>
        <v>0</v>
      </c>
      <c r="L12" s="319">
        <f>'OR04-分公司销售、承保、保全'!BL29</f>
        <v>0</v>
      </c>
      <c r="M12" s="319">
        <f>'OR04-分公司销售、承保、保全'!BR29</f>
        <v>0</v>
      </c>
      <c r="N12" s="319">
        <f>'OR04-分公司销售、承保、保全'!BX29</f>
        <v>0</v>
      </c>
      <c r="O12" s="319" t="s">
        <v>1802</v>
      </c>
    </row>
    <row r="13" spans="1:17" ht="14.25">
      <c r="A13" s="1587"/>
      <c r="B13" s="855"/>
      <c r="C13" s="860">
        <f t="shared" si="0"/>
        <v>3.8888888888888883E-2</v>
      </c>
      <c r="D13" s="857">
        <v>6</v>
      </c>
      <c r="E13" s="319">
        <f>'OR04-分公司销售、承保、保全'!W28</f>
        <v>6</v>
      </c>
      <c r="F13" s="319">
        <f>'OR04-分公司销售、承保、保全'!AC28</f>
        <v>4.5</v>
      </c>
      <c r="G13" s="319">
        <f>'OR04-分公司销售、承保、保全'!AI28</f>
        <v>5.5</v>
      </c>
      <c r="H13" s="319">
        <f>'OR04-分公司销售、承保、保全'!AO28</f>
        <v>1</v>
      </c>
      <c r="I13" s="319">
        <f>'OR04-分公司销售、承保、保全'!AU28</f>
        <v>5</v>
      </c>
      <c r="J13" s="319">
        <f>'OR04-分公司销售、承保、保全'!BA28</f>
        <v>5</v>
      </c>
      <c r="K13" s="319">
        <f>'OR04-分公司销售、承保、保全'!BG28</f>
        <v>6</v>
      </c>
      <c r="L13" s="319">
        <f>'OR04-分公司销售、承保、保全'!BM28</f>
        <v>5</v>
      </c>
      <c r="M13" s="319">
        <f>'OR04-分公司销售、承保、保全'!BS28</f>
        <v>6</v>
      </c>
      <c r="N13" s="319">
        <f>'OR04-分公司销售、承保、保全'!BY28</f>
        <v>5.5</v>
      </c>
      <c r="O13" s="319" t="s">
        <v>1800</v>
      </c>
    </row>
    <row r="14" spans="1:17" ht="14.25">
      <c r="A14" s="1587"/>
      <c r="B14" s="855" t="s">
        <v>1129</v>
      </c>
      <c r="C14" s="324"/>
      <c r="D14" s="857"/>
      <c r="E14" s="319">
        <f>'OR04-分公司销售、承保、保全'!V30</f>
        <v>0</v>
      </c>
      <c r="F14" s="319">
        <f>'OR04-分公司销售、承保、保全'!AB30</f>
        <v>0</v>
      </c>
      <c r="G14" s="319">
        <f>'OR04-分公司销售、承保、保全'!AH30</f>
        <v>0</v>
      </c>
      <c r="H14" s="319">
        <f>'OR04-分公司销售、承保、保全'!AN30</f>
        <v>0</v>
      </c>
      <c r="I14" s="319">
        <f>'OR04-分公司销售、承保、保全'!AT30</f>
        <v>0</v>
      </c>
      <c r="J14" s="319">
        <f>'OR04-分公司销售、承保、保全'!AZ30</f>
        <v>0</v>
      </c>
      <c r="K14" s="319">
        <f>'OR04-分公司销售、承保、保全'!BF30</f>
        <v>0</v>
      </c>
      <c r="L14" s="319">
        <f>'OR04-分公司销售、承保、保全'!BL30</f>
        <v>0</v>
      </c>
      <c r="M14" s="319">
        <f>'OR04-分公司销售、承保、保全'!BR30</f>
        <v>0</v>
      </c>
      <c r="N14" s="319">
        <f>'OR04-分公司销售、承保、保全'!BX30</f>
        <v>0</v>
      </c>
      <c r="O14" s="319" t="s">
        <v>1802</v>
      </c>
    </row>
    <row r="15" spans="1:17" ht="14.25">
      <c r="A15" s="1587"/>
      <c r="B15" s="855" t="s">
        <v>1130</v>
      </c>
      <c r="C15" s="861"/>
      <c r="D15" s="857"/>
      <c r="E15" s="319">
        <f>'OR04-分公司销售、承保、保全'!V31</f>
        <v>0</v>
      </c>
      <c r="F15" s="319">
        <f>'OR04-分公司销售、承保、保全'!AB31</f>
        <v>0</v>
      </c>
      <c r="G15" s="319">
        <f>'OR04-分公司销售、承保、保全'!AH31</f>
        <v>0</v>
      </c>
      <c r="H15" s="319">
        <f>'OR04-分公司销售、承保、保全'!AN31</f>
        <v>0</v>
      </c>
      <c r="I15" s="319">
        <f>'OR04-分公司销售、承保、保全'!AT31</f>
        <v>0</v>
      </c>
      <c r="J15" s="319">
        <f>'OR04-分公司销售、承保、保全'!AZ31</f>
        <v>0</v>
      </c>
      <c r="K15" s="319">
        <f>'OR04-分公司销售、承保、保全'!BF31</f>
        <v>0</v>
      </c>
      <c r="L15" s="319">
        <f>'OR04-分公司销售、承保、保全'!BL31</f>
        <v>0</v>
      </c>
      <c r="M15" s="319">
        <f>'OR04-分公司销售、承保、保全'!BR31</f>
        <v>0</v>
      </c>
      <c r="N15" s="319">
        <f>'OR04-分公司销售、承保、保全'!BX31</f>
        <v>0</v>
      </c>
      <c r="O15" s="319" t="s">
        <v>1802</v>
      </c>
    </row>
    <row r="16" spans="1:17" ht="14.25">
      <c r="A16" s="1587"/>
      <c r="B16" s="855"/>
      <c r="C16" s="860">
        <f t="shared" si="0"/>
        <v>3.8888888888888883E-2</v>
      </c>
      <c r="D16" s="857">
        <v>6</v>
      </c>
      <c r="E16" s="319">
        <f>'OR04-分公司销售、承保、保全'!W30</f>
        <v>6</v>
      </c>
      <c r="F16" s="319">
        <f>'OR04-分公司销售、承保、保全'!AC30</f>
        <v>6</v>
      </c>
      <c r="G16" s="319">
        <f>'OR04-分公司销售、承保、保全'!AI30</f>
        <v>6</v>
      </c>
      <c r="H16" s="319">
        <f>'OR04-分公司销售、承保、保全'!AO30</f>
        <v>6</v>
      </c>
      <c r="I16" s="319">
        <f>'OR04-分公司销售、承保、保全'!AU30</f>
        <v>6</v>
      </c>
      <c r="J16" s="319">
        <f>'OR04-分公司销售、承保、保全'!BA30</f>
        <v>6</v>
      </c>
      <c r="K16" s="319">
        <f>'OR04-分公司销售、承保、保全'!BG30</f>
        <v>6</v>
      </c>
      <c r="L16" s="319">
        <f>'OR04-分公司销售、承保、保全'!BM30</f>
        <v>6</v>
      </c>
      <c r="M16" s="319">
        <f>'OR04-分公司销售、承保、保全'!BS30</f>
        <v>6</v>
      </c>
      <c r="N16" s="319">
        <f>'OR04-分公司销售、承保、保全'!BY30</f>
        <v>6</v>
      </c>
      <c r="O16" s="319" t="s">
        <v>1800</v>
      </c>
    </row>
    <row r="17" spans="1:15" ht="14.25">
      <c r="A17" s="1587"/>
      <c r="B17" s="862" t="s">
        <v>1479</v>
      </c>
      <c r="C17" s="324"/>
      <c r="D17" s="857"/>
      <c r="E17" s="319">
        <f>'OR04-分公司销售、承保、保全'!V32</f>
        <v>0</v>
      </c>
      <c r="F17" s="319">
        <f>'OR04-分公司销售、承保、保全'!AB32</f>
        <v>0</v>
      </c>
      <c r="G17" s="319">
        <f>'OR04-分公司销售、承保、保全'!AH32</f>
        <v>0</v>
      </c>
      <c r="H17" s="319">
        <f>'OR04-分公司销售、承保、保全'!AN32</f>
        <v>1</v>
      </c>
      <c r="I17" s="319">
        <f>'OR04-分公司销售、承保、保全'!AT32</f>
        <v>0</v>
      </c>
      <c r="J17" s="319">
        <f>'OR04-分公司销售、承保、保全'!AZ32</f>
        <v>0</v>
      </c>
      <c r="K17" s="319">
        <f>'OR04-分公司销售、承保、保全'!BF32</f>
        <v>0</v>
      </c>
      <c r="L17" s="319">
        <f>'OR04-分公司销售、承保、保全'!BL32</f>
        <v>0</v>
      </c>
      <c r="M17" s="319">
        <f>'OR04-分公司销售、承保、保全'!BR32</f>
        <v>0</v>
      </c>
      <c r="N17" s="319">
        <f>'OR04-分公司销售、承保、保全'!BX32</f>
        <v>0</v>
      </c>
      <c r="O17" s="319" t="s">
        <v>1802</v>
      </c>
    </row>
    <row r="18" spans="1:15" ht="14.25">
      <c r="A18" s="1587"/>
      <c r="B18" s="855" t="s">
        <v>2061</v>
      </c>
      <c r="C18" s="861"/>
      <c r="D18" s="857"/>
      <c r="E18" s="319">
        <f>'OR04-分公司销售、承保、保全'!V33</f>
        <v>0</v>
      </c>
      <c r="F18" s="319">
        <f>'OR04-分公司销售、承保、保全'!AB33</f>
        <v>0</v>
      </c>
      <c r="G18" s="319">
        <f>'OR04-分公司销售、承保、保全'!AH33</f>
        <v>0</v>
      </c>
      <c r="H18" s="319">
        <f>'OR04-分公司销售、承保、保全'!AN33</f>
        <v>0</v>
      </c>
      <c r="I18" s="319">
        <f>'OR04-分公司销售、承保、保全'!AT33</f>
        <v>0</v>
      </c>
      <c r="J18" s="319">
        <f>'OR04-分公司销售、承保、保全'!AZ33</f>
        <v>0</v>
      </c>
      <c r="K18" s="319">
        <f>'OR04-分公司销售、承保、保全'!BF33</f>
        <v>0</v>
      </c>
      <c r="L18" s="319">
        <f>'OR04-分公司销售、承保、保全'!BL33</f>
        <v>0</v>
      </c>
      <c r="M18" s="319">
        <f>'OR04-分公司销售、承保、保全'!BR33</f>
        <v>0</v>
      </c>
      <c r="N18" s="319">
        <f>'OR04-分公司销售、承保、保全'!BX33</f>
        <v>0</v>
      </c>
      <c r="O18" s="319" t="s">
        <v>1802</v>
      </c>
    </row>
    <row r="19" spans="1:15" ht="14.25">
      <c r="A19" s="1587"/>
      <c r="B19" s="863"/>
      <c r="C19" s="860">
        <f t="shared" si="0"/>
        <v>3.8888888888888883E-2</v>
      </c>
      <c r="D19" s="857">
        <v>6</v>
      </c>
      <c r="E19" s="319">
        <f>'OR04-分公司销售、承保、保全'!W32</f>
        <v>6</v>
      </c>
      <c r="F19" s="319">
        <f>'OR04-分公司销售、承保、保全'!AC32</f>
        <v>6</v>
      </c>
      <c r="G19" s="319">
        <f>'OR04-分公司销售、承保、保全'!AI32</f>
        <v>6</v>
      </c>
      <c r="H19" s="319">
        <f>'OR04-分公司销售、承保、保全'!AO32</f>
        <v>3</v>
      </c>
      <c r="I19" s="319">
        <f>'OR04-分公司销售、承保、保全'!AU32</f>
        <v>6</v>
      </c>
      <c r="J19" s="319">
        <f>'OR04-分公司销售、承保、保全'!BA32</f>
        <v>6</v>
      </c>
      <c r="K19" s="319">
        <f>'OR04-分公司销售、承保、保全'!BG32</f>
        <v>6</v>
      </c>
      <c r="L19" s="319">
        <f>'OR04-分公司销售、承保、保全'!BM32</f>
        <v>6</v>
      </c>
      <c r="M19" s="319">
        <f>'OR04-分公司销售、承保、保全'!BS32</f>
        <v>6</v>
      </c>
      <c r="N19" s="319">
        <f>'OR04-分公司销售、承保、保全'!BY32</f>
        <v>6</v>
      </c>
      <c r="O19" s="319" t="s">
        <v>1800</v>
      </c>
    </row>
    <row r="20" spans="1:15" ht="14.25">
      <c r="A20" s="1587"/>
      <c r="B20" s="855" t="s">
        <v>1754</v>
      </c>
      <c r="C20" s="856">
        <f t="shared" si="0"/>
        <v>3.8888888888888883E-2</v>
      </c>
      <c r="D20" s="857">
        <v>1</v>
      </c>
      <c r="E20" s="319">
        <f>'OR04-分公司销售、承保、保全'!W34</f>
        <v>1</v>
      </c>
      <c r="F20" s="319">
        <f>'OR04-分公司销售、承保、保全'!AC34</f>
        <v>1</v>
      </c>
      <c r="G20" s="319">
        <f>'OR04-分公司销售、承保、保全'!AI34</f>
        <v>1</v>
      </c>
      <c r="H20" s="319">
        <f>'OR04-分公司销售、承保、保全'!AO34</f>
        <v>1</v>
      </c>
      <c r="I20" s="319">
        <f>'OR04-分公司销售、承保、保全'!AU34</f>
        <v>1</v>
      </c>
      <c r="J20" s="319">
        <f>'OR04-分公司销售、承保、保全'!BA34</f>
        <v>1</v>
      </c>
      <c r="K20" s="319">
        <f>'OR04-分公司销售、承保、保全'!BG34</f>
        <v>1</v>
      </c>
      <c r="L20" s="319">
        <f>'OR04-分公司销售、承保、保全'!BM34</f>
        <v>1</v>
      </c>
      <c r="M20" s="319">
        <f>'OR04-分公司销售、承保、保全'!BS34</f>
        <v>1</v>
      </c>
      <c r="N20" s="319">
        <f>'OR04-分公司销售、承保、保全'!BY34</f>
        <v>1</v>
      </c>
      <c r="O20" s="319" t="s">
        <v>1800</v>
      </c>
    </row>
    <row r="21" spans="1:15" ht="14.25">
      <c r="A21" s="1587"/>
      <c r="B21" s="855" t="s">
        <v>1755</v>
      </c>
      <c r="C21" s="856">
        <f t="shared" si="0"/>
        <v>3.8888888888888883E-2</v>
      </c>
      <c r="D21" s="857">
        <v>2</v>
      </c>
      <c r="E21" s="319">
        <f>'OR04-分公司销售、承保、保全'!W35</f>
        <v>2</v>
      </c>
      <c r="F21" s="319">
        <f>'OR04-分公司销售、承保、保全'!AC35</f>
        <v>2</v>
      </c>
      <c r="G21" s="319">
        <f>'OR04-分公司销售、承保、保全'!AI35</f>
        <v>2</v>
      </c>
      <c r="H21" s="319">
        <f>'OR04-分公司销售、承保、保全'!AO35</f>
        <v>2</v>
      </c>
      <c r="I21" s="319">
        <f>'OR04-分公司销售、承保、保全'!AU35</f>
        <v>2</v>
      </c>
      <c r="J21" s="319">
        <f>'OR04-分公司销售、承保、保全'!BA35</f>
        <v>2</v>
      </c>
      <c r="K21" s="319">
        <f>'OR04-分公司销售、承保、保全'!BG35</f>
        <v>2</v>
      </c>
      <c r="L21" s="319">
        <f>'OR04-分公司销售、承保、保全'!BM35</f>
        <v>2</v>
      </c>
      <c r="M21" s="319">
        <f>'OR04-分公司销售、承保、保全'!BS35</f>
        <v>2</v>
      </c>
      <c r="N21" s="319">
        <f>'OR04-分公司销售、承保、保全'!BY35</f>
        <v>2</v>
      </c>
      <c r="O21" s="319" t="s">
        <v>1800</v>
      </c>
    </row>
    <row r="22" spans="1:15" ht="14.25">
      <c r="A22" s="1587"/>
      <c r="B22" s="855" t="s">
        <v>1756</v>
      </c>
      <c r="C22" s="856">
        <f t="shared" si="0"/>
        <v>3.8888888888888883E-2</v>
      </c>
      <c r="D22" s="857">
        <v>2</v>
      </c>
      <c r="E22" s="319">
        <f>'OR04-分公司销售、承保、保全'!W38</f>
        <v>2</v>
      </c>
      <c r="F22" s="319">
        <f>'OR04-分公司销售、承保、保全'!AC38</f>
        <v>2</v>
      </c>
      <c r="G22" s="319">
        <f>'OR04-分公司销售、承保、保全'!AI38</f>
        <v>2</v>
      </c>
      <c r="H22" s="319">
        <f>'OR04-分公司销售、承保、保全'!AO38</f>
        <v>2</v>
      </c>
      <c r="I22" s="319">
        <f>'OR04-分公司销售、承保、保全'!AU38</f>
        <v>2</v>
      </c>
      <c r="J22" s="319">
        <f>'OR04-分公司销售、承保、保全'!BA38</f>
        <v>2</v>
      </c>
      <c r="K22" s="319">
        <f>'OR04-分公司销售、承保、保全'!BG38</f>
        <v>2</v>
      </c>
      <c r="L22" s="319">
        <f>'OR04-分公司销售、承保、保全'!BM38</f>
        <v>2</v>
      </c>
      <c r="M22" s="319">
        <f>'OR04-分公司销售、承保、保全'!BS38</f>
        <v>2</v>
      </c>
      <c r="N22" s="319">
        <f>'OR04-分公司销售、承保、保全'!BY38</f>
        <v>2</v>
      </c>
      <c r="O22" s="319" t="s">
        <v>1800</v>
      </c>
    </row>
    <row r="23" spans="1:15" ht="14.25">
      <c r="A23" s="1587"/>
      <c r="B23" s="855" t="s">
        <v>2038</v>
      </c>
      <c r="C23" s="864"/>
      <c r="D23" s="857"/>
      <c r="E23" s="319">
        <f>'OR04-分公司销售、承保、保全'!V41</f>
        <v>0</v>
      </c>
      <c r="F23" s="319">
        <f>'OR04-分公司销售、承保、保全'!AB41</f>
        <v>0</v>
      </c>
      <c r="G23" s="319">
        <f>'OR04-分公司销售、承保、保全'!AH41</f>
        <v>0</v>
      </c>
      <c r="H23" s="319">
        <f>'OR04-分公司销售、承保、保全'!AN41</f>
        <v>0</v>
      </c>
      <c r="I23" s="319">
        <f>'OR04-分公司销售、承保、保全'!AT41</f>
        <v>0</v>
      </c>
      <c r="J23" s="319">
        <f>'OR04-分公司销售、承保、保全'!AZ41</f>
        <v>0</v>
      </c>
      <c r="K23" s="319">
        <f>'OR04-分公司销售、承保、保全'!BF41</f>
        <v>0</v>
      </c>
      <c r="L23" s="319">
        <f>'OR04-分公司销售、承保、保全'!BL41</f>
        <v>0</v>
      </c>
      <c r="M23" s="319">
        <f>'OR04-分公司销售、承保、保全'!BR41</f>
        <v>0</v>
      </c>
      <c r="N23" s="319">
        <f>'OR04-分公司销售、承保、保全'!BX41</f>
        <v>0</v>
      </c>
      <c r="O23" s="319" t="s">
        <v>1802</v>
      </c>
    </row>
    <row r="24" spans="1:15" ht="14.25">
      <c r="A24" s="1587"/>
      <c r="B24" s="855" t="s">
        <v>2039</v>
      </c>
      <c r="C24" s="864"/>
      <c r="D24" s="857"/>
      <c r="E24" s="319">
        <f>'OR04-分公司销售、承保、保全'!V42</f>
        <v>0</v>
      </c>
      <c r="F24" s="319">
        <f>'OR04-分公司销售、承保、保全'!AB42</f>
        <v>0</v>
      </c>
      <c r="G24" s="319">
        <f>'OR04-分公司销售、承保、保全'!AH42</f>
        <v>0</v>
      </c>
      <c r="H24" s="319">
        <f>'OR04-分公司销售、承保、保全'!AN42</f>
        <v>0</v>
      </c>
      <c r="I24" s="319">
        <f>'OR04-分公司销售、承保、保全'!AT42</f>
        <v>0</v>
      </c>
      <c r="J24" s="319">
        <f>'OR04-分公司销售、承保、保全'!AZ42</f>
        <v>0</v>
      </c>
      <c r="K24" s="319">
        <f>'OR04-分公司销售、承保、保全'!BF42</f>
        <v>0</v>
      </c>
      <c r="L24" s="319">
        <f>'OR04-分公司销售、承保、保全'!BL42</f>
        <v>0</v>
      </c>
      <c r="M24" s="319">
        <f>'OR04-分公司销售、承保、保全'!BR42</f>
        <v>0</v>
      </c>
      <c r="N24" s="319">
        <f>'OR04-分公司销售、承保、保全'!BX42</f>
        <v>1</v>
      </c>
      <c r="O24" s="319" t="s">
        <v>1802</v>
      </c>
    </row>
    <row r="25" spans="1:15" ht="14.25">
      <c r="A25" s="1587"/>
      <c r="B25" s="863"/>
      <c r="C25" s="856">
        <f t="shared" si="0"/>
        <v>3.8888888888888883E-2</v>
      </c>
      <c r="D25" s="857">
        <v>4</v>
      </c>
      <c r="E25" s="319">
        <f>'OR04-分公司销售、承保、保全'!W41</f>
        <v>4</v>
      </c>
      <c r="F25" s="319">
        <f>'OR04-分公司销售、承保、保全'!AC41</f>
        <v>4</v>
      </c>
      <c r="G25" s="319">
        <f>'OR04-分公司销售、承保、保全'!AI41</f>
        <v>4</v>
      </c>
      <c r="H25" s="319">
        <f>'OR04-分公司销售、承保、保全'!AO41</f>
        <v>4</v>
      </c>
      <c r="I25" s="319">
        <f>'OR04-分公司销售、承保、保全'!AU41</f>
        <v>4</v>
      </c>
      <c r="J25" s="319">
        <f>'OR04-分公司销售、承保、保全'!BA41</f>
        <v>4</v>
      </c>
      <c r="K25" s="319">
        <f>'OR04-分公司销售、承保、保全'!BG41</f>
        <v>4</v>
      </c>
      <c r="L25" s="319">
        <f>'OR04-分公司销售、承保、保全'!BM41</f>
        <v>4</v>
      </c>
      <c r="M25" s="319">
        <f>'OR04-分公司销售、承保、保全'!BS41</f>
        <v>4</v>
      </c>
      <c r="N25" s="319">
        <f>'OR04-分公司销售、承保、保全'!BY41</f>
        <v>3</v>
      </c>
      <c r="O25" s="319" t="s">
        <v>1800</v>
      </c>
    </row>
    <row r="26" spans="1:15" ht="14.25">
      <c r="A26" s="1587"/>
      <c r="B26" s="855" t="s">
        <v>1757</v>
      </c>
      <c r="C26" s="324"/>
      <c r="D26" s="857"/>
      <c r="E26" s="319">
        <f>'OR04-分公司销售、承保、保全'!V43</f>
        <v>0</v>
      </c>
      <c r="F26" s="319">
        <f>'OR04-分公司销售、承保、保全'!AB43</f>
        <v>0</v>
      </c>
      <c r="G26" s="319">
        <f>'OR04-分公司销售、承保、保全'!AH43</f>
        <v>0</v>
      </c>
      <c r="H26" s="319">
        <f>'OR04-分公司销售、承保、保全'!AN43</f>
        <v>0</v>
      </c>
      <c r="I26" s="319">
        <f>'OR04-分公司销售、承保、保全'!AT43</f>
        <v>0</v>
      </c>
      <c r="J26" s="319">
        <f>'OR04-分公司销售、承保、保全'!AZ43</f>
        <v>0</v>
      </c>
      <c r="K26" s="319">
        <f>'OR04-分公司销售、承保、保全'!BF43</f>
        <v>0</v>
      </c>
      <c r="L26" s="319">
        <f>'OR04-分公司销售、承保、保全'!BL43</f>
        <v>0</v>
      </c>
      <c r="M26" s="319">
        <f>'OR04-分公司销售、承保、保全'!BR43</f>
        <v>0</v>
      </c>
      <c r="N26" s="319">
        <f>'OR04-分公司销售、承保、保全'!BX43</f>
        <v>0</v>
      </c>
      <c r="O26" s="319" t="s">
        <v>1803</v>
      </c>
    </row>
    <row r="27" spans="1:15" ht="14.25">
      <c r="A27" s="1587"/>
      <c r="B27" s="855" t="s">
        <v>1140</v>
      </c>
      <c r="C27" s="324"/>
      <c r="D27" s="857"/>
      <c r="E27" s="319">
        <f>'OR04-分公司销售、承保、保全'!V44</f>
        <v>0</v>
      </c>
      <c r="F27" s="319">
        <f>'OR04-分公司销售、承保、保全'!AB44</f>
        <v>0</v>
      </c>
      <c r="G27" s="319">
        <f>'OR04-分公司销售、承保、保全'!AH44</f>
        <v>0</v>
      </c>
      <c r="H27" s="319">
        <f>'OR04-分公司销售、承保、保全'!AN44</f>
        <v>0</v>
      </c>
      <c r="I27" s="319">
        <f>'OR04-分公司销售、承保、保全'!AT44</f>
        <v>0</v>
      </c>
      <c r="J27" s="319">
        <f>'OR04-分公司销售、承保、保全'!AZ44</f>
        <v>0</v>
      </c>
      <c r="K27" s="319">
        <f>'OR04-分公司销售、承保、保全'!BF44</f>
        <v>0</v>
      </c>
      <c r="L27" s="319">
        <f>'OR04-分公司销售、承保、保全'!BL44</f>
        <v>0</v>
      </c>
      <c r="M27" s="319">
        <f>'OR04-分公司销售、承保、保全'!BR44</f>
        <v>0</v>
      </c>
      <c r="N27" s="319">
        <f>'OR04-分公司销售、承保、保全'!BX44</f>
        <v>0</v>
      </c>
      <c r="O27" s="319" t="s">
        <v>1802</v>
      </c>
    </row>
    <row r="28" spans="1:15" ht="14.25">
      <c r="A28" s="1587"/>
      <c r="B28" s="855"/>
      <c r="C28" s="856">
        <f t="shared" si="0"/>
        <v>3.8888888888888883E-2</v>
      </c>
      <c r="D28" s="857">
        <v>6</v>
      </c>
      <c r="E28" s="319">
        <f>'OR04-分公司销售、承保、保全'!W43</f>
        <v>6</v>
      </c>
      <c r="F28" s="319">
        <f>'OR04-分公司销售、承保、保全'!AC43</f>
        <v>6</v>
      </c>
      <c r="G28" s="319">
        <f>'OR04-分公司销售、承保、保全'!AI43</f>
        <v>6</v>
      </c>
      <c r="H28" s="319">
        <f>'OR04-分公司销售、承保、保全'!AO43</f>
        <v>6</v>
      </c>
      <c r="I28" s="319">
        <f>'OR04-分公司销售、承保、保全'!AU43</f>
        <v>6</v>
      </c>
      <c r="J28" s="319">
        <f>'OR04-分公司销售、承保、保全'!BA43</f>
        <v>6</v>
      </c>
      <c r="K28" s="319">
        <f>'OR04-分公司销售、承保、保全'!BG43</f>
        <v>6</v>
      </c>
      <c r="L28" s="319">
        <f>'OR04-分公司销售、承保、保全'!BM43</f>
        <v>6</v>
      </c>
      <c r="M28" s="319">
        <f>'OR04-分公司销售、承保、保全'!BS43</f>
        <v>6</v>
      </c>
      <c r="N28" s="319">
        <f>'OR04-分公司销售、承保、保全'!BY43</f>
        <v>6</v>
      </c>
      <c r="O28" s="319" t="s">
        <v>1800</v>
      </c>
    </row>
    <row r="29" spans="1:15" ht="14.25">
      <c r="A29" s="1587"/>
      <c r="B29" s="855" t="s">
        <v>1758</v>
      </c>
      <c r="C29" s="856">
        <f t="shared" si="0"/>
        <v>3.8888888888888883E-2</v>
      </c>
      <c r="D29" s="857">
        <v>3</v>
      </c>
      <c r="E29" s="319">
        <f>'OR04-分公司销售、承保、保全'!W45</f>
        <v>3</v>
      </c>
      <c r="F29" s="319">
        <f>'OR04-分公司销售、承保、保全'!AC45</f>
        <v>3</v>
      </c>
      <c r="G29" s="319">
        <f>'OR04-分公司销售、承保、保全'!AI45</f>
        <v>3</v>
      </c>
      <c r="H29" s="319">
        <f>'OR04-分公司销售、承保、保全'!AO45</f>
        <v>3</v>
      </c>
      <c r="I29" s="319">
        <f>'OR04-分公司销售、承保、保全'!AU45</f>
        <v>3</v>
      </c>
      <c r="J29" s="319">
        <f>'OR04-分公司销售、承保、保全'!BA45</f>
        <v>3</v>
      </c>
      <c r="K29" s="319">
        <f>'OR04-分公司销售、承保、保全'!BG45</f>
        <v>3</v>
      </c>
      <c r="L29" s="319">
        <f>'OR04-分公司销售、承保、保全'!BM45</f>
        <v>3</v>
      </c>
      <c r="M29" s="319">
        <f>'OR04-分公司销售、承保、保全'!BS45</f>
        <v>1.5</v>
      </c>
      <c r="N29" s="319">
        <f>'OR04-分公司销售、承保、保全'!BY45</f>
        <v>3</v>
      </c>
      <c r="O29" s="319" t="s">
        <v>1800</v>
      </c>
    </row>
    <row r="30" spans="1:15" ht="14.25">
      <c r="A30" s="1587"/>
      <c r="B30" s="855" t="s">
        <v>1142</v>
      </c>
      <c r="C30" s="856">
        <f t="shared" si="0"/>
        <v>3.8888888888888883E-2</v>
      </c>
      <c r="D30" s="857">
        <v>2</v>
      </c>
      <c r="E30" s="319">
        <f>'OR04-分公司销售、承保、保全'!W48</f>
        <v>2</v>
      </c>
      <c r="F30" s="319">
        <f>'OR04-分公司销售、承保、保全'!AC48</f>
        <v>2</v>
      </c>
      <c r="G30" s="319">
        <f>'OR04-分公司销售、承保、保全'!AI48</f>
        <v>2</v>
      </c>
      <c r="H30" s="319">
        <f>'OR04-分公司销售、承保、保全'!AO48</f>
        <v>2</v>
      </c>
      <c r="I30" s="319">
        <f>'OR04-分公司销售、承保、保全'!AU48</f>
        <v>2</v>
      </c>
      <c r="J30" s="319">
        <f>'OR04-分公司销售、承保、保全'!BA48</f>
        <v>2</v>
      </c>
      <c r="K30" s="319">
        <f>'OR04-分公司销售、承保、保全'!BG48</f>
        <v>2</v>
      </c>
      <c r="L30" s="319">
        <f>'OR04-分公司销售、承保、保全'!BM48</f>
        <v>2</v>
      </c>
      <c r="M30" s="319">
        <f>'OR04-分公司销售、承保、保全'!BS48</f>
        <v>2</v>
      </c>
      <c r="N30" s="319">
        <f>'OR04-分公司销售、承保、保全'!BY48</f>
        <v>2</v>
      </c>
      <c r="O30" s="319" t="s">
        <v>1800</v>
      </c>
    </row>
    <row r="31" spans="1:15" ht="14.25">
      <c r="A31" s="1587"/>
      <c r="B31" s="855" t="s">
        <v>1759</v>
      </c>
      <c r="C31" s="856">
        <f t="shared" si="0"/>
        <v>3.8888888888888883E-2</v>
      </c>
      <c r="D31" s="857">
        <v>3</v>
      </c>
      <c r="E31" s="319">
        <f>'OR04-分公司销售、承保、保全'!W52</f>
        <v>3</v>
      </c>
      <c r="F31" s="319">
        <f>'OR04-分公司销售、承保、保全'!AC52</f>
        <v>3</v>
      </c>
      <c r="G31" s="319">
        <f>'OR04-分公司销售、承保、保全'!AI52</f>
        <v>3</v>
      </c>
      <c r="H31" s="319">
        <f>'OR04-分公司销售、承保、保全'!AO52</f>
        <v>1.5</v>
      </c>
      <c r="I31" s="319">
        <f>'OR04-分公司销售、承保、保全'!AU52</f>
        <v>3</v>
      </c>
      <c r="J31" s="319">
        <f>'OR04-分公司销售、承保、保全'!BA52</f>
        <v>3</v>
      </c>
      <c r="K31" s="319">
        <f>'OR04-分公司销售、承保、保全'!BG52</f>
        <v>3</v>
      </c>
      <c r="L31" s="319">
        <f>'OR04-分公司销售、承保、保全'!BM52</f>
        <v>1.5</v>
      </c>
      <c r="M31" s="319">
        <f>'OR04-分公司销售、承保、保全'!BS52</f>
        <v>3</v>
      </c>
      <c r="N31" s="319">
        <f>'OR04-分公司销售、承保、保全'!BY52</f>
        <v>1.5</v>
      </c>
      <c r="O31" s="319" t="s">
        <v>1800</v>
      </c>
    </row>
    <row r="32" spans="1:15" ht="14.25">
      <c r="A32" s="1587"/>
      <c r="B32" s="855" t="s">
        <v>1760</v>
      </c>
      <c r="C32" s="856">
        <f t="shared" si="0"/>
        <v>3.8888888888888883E-2</v>
      </c>
      <c r="D32" s="857">
        <v>3</v>
      </c>
      <c r="E32" s="319">
        <f>'OR04-分公司销售、承保、保全'!W57</f>
        <v>3</v>
      </c>
      <c r="F32" s="319">
        <f>'OR04-分公司销售、承保、保全'!AC57</f>
        <v>3</v>
      </c>
      <c r="G32" s="319">
        <f>'OR04-分公司销售、承保、保全'!AI57</f>
        <v>3</v>
      </c>
      <c r="H32" s="319">
        <f>'OR04-分公司销售、承保、保全'!AO57</f>
        <v>3</v>
      </c>
      <c r="I32" s="319">
        <f>'OR04-分公司销售、承保、保全'!AU57</f>
        <v>3</v>
      </c>
      <c r="J32" s="319">
        <f>'OR04-分公司销售、承保、保全'!BA57</f>
        <v>3</v>
      </c>
      <c r="K32" s="319">
        <f>'OR04-分公司销售、承保、保全'!BG57</f>
        <v>3</v>
      </c>
      <c r="L32" s="319">
        <f>'OR04-分公司销售、承保、保全'!BM57</f>
        <v>3</v>
      </c>
      <c r="M32" s="319">
        <f>'OR04-分公司销售、承保、保全'!BS57</f>
        <v>3</v>
      </c>
      <c r="N32" s="319">
        <f>'OR04-分公司销售、承保、保全'!BY57</f>
        <v>3</v>
      </c>
      <c r="O32" s="319" t="s">
        <v>1800</v>
      </c>
    </row>
    <row r="33" spans="1:27" ht="14.25">
      <c r="A33" s="1587"/>
      <c r="B33" s="855" t="s">
        <v>1761</v>
      </c>
      <c r="C33" s="856">
        <f t="shared" si="0"/>
        <v>3.8888888888888883E-2</v>
      </c>
      <c r="D33" s="857">
        <v>2</v>
      </c>
      <c r="E33" s="319">
        <f>'OR04-分公司销售、承保、保全'!W63</f>
        <v>1</v>
      </c>
      <c r="F33" s="319">
        <f>'OR04-分公司销售、承保、保全'!AC63</f>
        <v>2</v>
      </c>
      <c r="G33" s="319">
        <f>'OR04-分公司销售、承保、保全'!AI63</f>
        <v>2</v>
      </c>
      <c r="H33" s="319">
        <f>'OR04-分公司销售、承保、保全'!AO63</f>
        <v>2</v>
      </c>
      <c r="I33" s="319">
        <f>'OR04-分公司销售、承保、保全'!AU63</f>
        <v>2</v>
      </c>
      <c r="J33" s="319">
        <f>'OR04-分公司销售、承保、保全'!BA63</f>
        <v>2</v>
      </c>
      <c r="K33" s="319">
        <f>'OR04-分公司销售、承保、保全'!BG63</f>
        <v>2</v>
      </c>
      <c r="L33" s="319">
        <f>'OR04-分公司销售、承保、保全'!BM63</f>
        <v>2</v>
      </c>
      <c r="M33" s="319">
        <f>'OR04-分公司销售、承保、保全'!BS63</f>
        <v>1</v>
      </c>
      <c r="N33" s="319">
        <f>'OR04-分公司销售、承保、保全'!BY63</f>
        <v>2</v>
      </c>
      <c r="O33" s="319" t="s">
        <v>1800</v>
      </c>
    </row>
    <row r="34" spans="1:27" ht="14.25">
      <c r="A34" s="1587"/>
      <c r="B34" s="855" t="s">
        <v>1762</v>
      </c>
      <c r="C34" s="856">
        <f t="shared" si="0"/>
        <v>3.8888888888888883E-2</v>
      </c>
      <c r="D34" s="857">
        <v>1</v>
      </c>
      <c r="E34" s="319">
        <f>'OR04-分公司销售、承保、保全'!W66</f>
        <v>1</v>
      </c>
      <c r="F34" s="319">
        <f>'OR04-分公司销售、承保、保全'!AC66</f>
        <v>1</v>
      </c>
      <c r="G34" s="319">
        <f>'OR04-分公司销售、承保、保全'!AI66</f>
        <v>1</v>
      </c>
      <c r="H34" s="319">
        <f>'OR04-分公司销售、承保、保全'!AO66</f>
        <v>1</v>
      </c>
      <c r="I34" s="319">
        <f>'OR04-分公司销售、承保、保全'!AU66</f>
        <v>1</v>
      </c>
      <c r="J34" s="319">
        <f>'OR04-分公司销售、承保、保全'!BA66</f>
        <v>1</v>
      </c>
      <c r="K34" s="319">
        <f>'OR04-分公司销售、承保、保全'!BG66</f>
        <v>1</v>
      </c>
      <c r="L34" s="319">
        <f>'OR04-分公司销售、承保、保全'!BM66</f>
        <v>1</v>
      </c>
      <c r="M34" s="319">
        <f>'OR04-分公司销售、承保、保全'!BS66</f>
        <v>1</v>
      </c>
      <c r="N34" s="319">
        <f>'OR04-分公司销售、承保、保全'!BY66</f>
        <v>1</v>
      </c>
      <c r="O34" s="319" t="s">
        <v>1800</v>
      </c>
    </row>
    <row r="35" spans="1:27" ht="14.25">
      <c r="A35" s="1587"/>
      <c r="B35" s="855" t="s">
        <v>1763</v>
      </c>
      <c r="C35" s="864"/>
      <c r="D35" s="857"/>
      <c r="E35" s="319">
        <f>'OR04-分公司销售、承保、保全'!V67</f>
        <v>0</v>
      </c>
      <c r="F35" s="319">
        <f>'OR04-分公司销售、承保、保全'!AB67</f>
        <v>0</v>
      </c>
      <c r="G35" s="319">
        <f>'OR04-分公司销售、承保、保全'!AH67</f>
        <v>0</v>
      </c>
      <c r="H35" s="319">
        <f>'OR04-分公司销售、承保、保全'!AN67</f>
        <v>0</v>
      </c>
      <c r="I35" s="319">
        <f>'OR04-分公司销售、承保、保全'!AT67</f>
        <v>0</v>
      </c>
      <c r="J35" s="319">
        <f>'OR04-分公司销售、承保、保全'!AZ67</f>
        <v>0</v>
      </c>
      <c r="K35" s="319">
        <f>'OR04-分公司销售、承保、保全'!BF67</f>
        <v>0</v>
      </c>
      <c r="L35" s="319">
        <f>'OR04-分公司销售、承保、保全'!BL67</f>
        <v>0</v>
      </c>
      <c r="M35" s="319">
        <f>'OR04-分公司销售、承保、保全'!BR67</f>
        <v>0</v>
      </c>
      <c r="N35" s="319">
        <f>'OR04-分公司销售、承保、保全'!BX67</f>
        <v>0</v>
      </c>
      <c r="O35" s="319" t="s">
        <v>1802</v>
      </c>
    </row>
    <row r="36" spans="1:27" ht="14.25">
      <c r="A36" s="1587"/>
      <c r="B36" s="855" t="s">
        <v>1158</v>
      </c>
      <c r="C36" s="865"/>
      <c r="D36" s="857"/>
      <c r="E36" s="319">
        <f>'OR04-分公司销售、承保、保全'!V68</f>
        <v>0</v>
      </c>
      <c r="F36" s="319">
        <f>'OR04-分公司销售、承保、保全'!AB68</f>
        <v>0</v>
      </c>
      <c r="G36" s="319">
        <f>'OR04-分公司销售、承保、保全'!AH68</f>
        <v>0</v>
      </c>
      <c r="H36" s="319">
        <f>'OR04-分公司销售、承保、保全'!AN68</f>
        <v>0</v>
      </c>
      <c r="I36" s="319">
        <f>'OR04-分公司销售、承保、保全'!AT68</f>
        <v>0</v>
      </c>
      <c r="J36" s="319">
        <f>'OR04-分公司销售、承保、保全'!AZ68</f>
        <v>0</v>
      </c>
      <c r="K36" s="319">
        <f>'OR04-分公司销售、承保、保全'!BF68</f>
        <v>0</v>
      </c>
      <c r="L36" s="319">
        <f>'OR04-分公司销售、承保、保全'!BL68</f>
        <v>0</v>
      </c>
      <c r="M36" s="319">
        <f>'OR04-分公司销售、承保、保全'!BR68</f>
        <v>0</v>
      </c>
      <c r="N36" s="319">
        <f>'OR04-分公司销售、承保、保全'!BX68</f>
        <v>0</v>
      </c>
      <c r="O36" s="319" t="s">
        <v>1802</v>
      </c>
    </row>
    <row r="37" spans="1:27" ht="14.25">
      <c r="A37" s="1587"/>
      <c r="B37" s="855"/>
      <c r="C37" s="860">
        <f t="shared" si="0"/>
        <v>3.8888888888888883E-2</v>
      </c>
      <c r="D37" s="857">
        <v>6</v>
      </c>
      <c r="E37" s="319">
        <f>'OR04-分公司销售、承保、保全'!W67</f>
        <v>6</v>
      </c>
      <c r="F37" s="319">
        <f>'OR04-分公司销售、承保、保全'!AC67</f>
        <v>6</v>
      </c>
      <c r="G37" s="319">
        <f>'OR04-分公司销售、承保、保全'!AI67</f>
        <v>6</v>
      </c>
      <c r="H37" s="319">
        <f>'OR04-分公司销售、承保、保全'!AO67</f>
        <v>6</v>
      </c>
      <c r="I37" s="319">
        <f>'OR04-分公司销售、承保、保全'!AU67</f>
        <v>6</v>
      </c>
      <c r="J37" s="319">
        <f>'OR04-分公司销售、承保、保全'!BA67</f>
        <v>6</v>
      </c>
      <c r="K37" s="319">
        <f>'OR04-分公司销售、承保、保全'!BG67</f>
        <v>6</v>
      </c>
      <c r="L37" s="319">
        <f>'OR04-分公司销售、承保、保全'!BM67</f>
        <v>6</v>
      </c>
      <c r="M37" s="319">
        <f>'OR04-分公司销售、承保、保全'!BS67</f>
        <v>6</v>
      </c>
      <c r="N37" s="319">
        <f>'OR04-分公司销售、承保、保全'!BY67</f>
        <v>6</v>
      </c>
      <c r="O37" s="319" t="s">
        <v>1800</v>
      </c>
    </row>
    <row r="38" spans="1:27" ht="14.25">
      <c r="A38" s="1587"/>
      <c r="B38" s="855" t="s">
        <v>2041</v>
      </c>
      <c r="C38" s="856">
        <f t="shared" si="0"/>
        <v>3.8888888888888883E-2</v>
      </c>
      <c r="D38" s="857">
        <v>0</v>
      </c>
      <c r="E38" s="866">
        <v>0</v>
      </c>
      <c r="F38" s="866">
        <v>0</v>
      </c>
      <c r="G38" s="866">
        <v>0</v>
      </c>
      <c r="H38" s="866">
        <v>0</v>
      </c>
      <c r="I38" s="866">
        <v>0</v>
      </c>
      <c r="J38" s="866">
        <v>0</v>
      </c>
      <c r="K38" s="866">
        <v>0</v>
      </c>
      <c r="L38" s="866">
        <v>0</v>
      </c>
      <c r="M38" s="866">
        <v>0</v>
      </c>
      <c r="N38" s="866">
        <v>0</v>
      </c>
      <c r="O38" s="319" t="s">
        <v>1805</v>
      </c>
    </row>
    <row r="39" spans="1:27" ht="14.25">
      <c r="A39" s="1587"/>
      <c r="B39" s="855" t="s">
        <v>1765</v>
      </c>
      <c r="C39" s="856">
        <f t="shared" si="0"/>
        <v>3.8888888888888883E-2</v>
      </c>
      <c r="D39" s="857">
        <v>3</v>
      </c>
      <c r="E39" s="319">
        <f>'OR04-分公司销售、承保、保全'!W70</f>
        <v>3</v>
      </c>
      <c r="F39" s="319">
        <f>'OR04-分公司销售、承保、保全'!AC70</f>
        <v>3</v>
      </c>
      <c r="G39" s="319">
        <f>'OR04-分公司销售、承保、保全'!AI70</f>
        <v>3</v>
      </c>
      <c r="H39" s="319">
        <f>'OR04-分公司销售、承保、保全'!AO70</f>
        <v>3</v>
      </c>
      <c r="I39" s="319">
        <f>'OR04-分公司销售、承保、保全'!AU70</f>
        <v>3</v>
      </c>
      <c r="J39" s="319">
        <f>'OR04-分公司销售、承保、保全'!BA70</f>
        <v>3</v>
      </c>
      <c r="K39" s="319">
        <f>'OR04-分公司销售、承保、保全'!BG70</f>
        <v>3</v>
      </c>
      <c r="L39" s="319">
        <f>'OR04-分公司销售、承保、保全'!BM70</f>
        <v>3</v>
      </c>
      <c r="M39" s="319">
        <f>'OR04-分公司销售、承保、保全'!BS70</f>
        <v>3</v>
      </c>
      <c r="N39" s="319">
        <f>'OR04-分公司销售、承保、保全'!BY70</f>
        <v>3</v>
      </c>
      <c r="O39" s="319" t="s">
        <v>1800</v>
      </c>
    </row>
    <row r="40" spans="1:27" ht="14.25">
      <c r="A40" s="1587"/>
      <c r="B40" s="855" t="s">
        <v>1766</v>
      </c>
      <c r="C40" s="856">
        <f t="shared" si="0"/>
        <v>3.8888888888888883E-2</v>
      </c>
      <c r="D40" s="857">
        <v>2</v>
      </c>
      <c r="E40" s="319">
        <f>'OR04-分公司销售、承保、保全'!W72</f>
        <v>2</v>
      </c>
      <c r="F40" s="319">
        <f>'OR04-分公司销售、承保、保全'!AC72</f>
        <v>2</v>
      </c>
      <c r="G40" s="319">
        <f>'OR04-分公司销售、承保、保全'!AI72</f>
        <v>2</v>
      </c>
      <c r="H40" s="319">
        <f>'OR04-分公司销售、承保、保全'!AO72</f>
        <v>2</v>
      </c>
      <c r="I40" s="319">
        <f>'OR04-分公司销售、承保、保全'!AU72</f>
        <v>2</v>
      </c>
      <c r="J40" s="319">
        <f>'OR04-分公司销售、承保、保全'!BA72</f>
        <v>2</v>
      </c>
      <c r="K40" s="319">
        <f>'OR04-分公司销售、承保、保全'!BG72</f>
        <v>2</v>
      </c>
      <c r="L40" s="319">
        <f>'OR04-分公司销售、承保、保全'!BM72</f>
        <v>2</v>
      </c>
      <c r="M40" s="319">
        <f>'OR04-分公司销售、承保、保全'!BS72</f>
        <v>2</v>
      </c>
      <c r="N40" s="319">
        <f>'OR04-分公司销售、承保、保全'!BY72</f>
        <v>2</v>
      </c>
      <c r="O40" s="319" t="s">
        <v>1800</v>
      </c>
    </row>
    <row r="41" spans="1:27" ht="14.25">
      <c r="A41" s="1588"/>
      <c r="B41" s="855" t="s">
        <v>1767</v>
      </c>
      <c r="C41" s="856">
        <f t="shared" si="0"/>
        <v>3.8888888888888883E-2</v>
      </c>
      <c r="D41" s="857">
        <v>10</v>
      </c>
      <c r="E41" s="319">
        <f>MAX(($D$41-0.5*(E11+E14)-2*(E12+E15)-3*E17-3*E18-2*E23-1*E24-0.5*E26-3*E27-0.5*E35-3*E36),0)</f>
        <v>10</v>
      </c>
      <c r="F41" s="319">
        <f t="shared" ref="F41:N41" si="1">MAX(($D$41-0.5*(F11+F14)-2*(F12+F15)-3*F17-3*F18-2*F23-1*F24-0.5*F26-3*F27-0.5*F35-3*F36),0)</f>
        <v>8.5</v>
      </c>
      <c r="G41" s="319">
        <f t="shared" si="1"/>
        <v>9.5</v>
      </c>
      <c r="H41" s="319">
        <f t="shared" si="1"/>
        <v>2</v>
      </c>
      <c r="I41" s="319">
        <f>MAX(($D$41-0.5*(I11+I14)-2*(I12+I15)-3*I17-3*I18-2*I23-1*I24-0.5*I26-3*I27-0.5*I35-3*I36),0)</f>
        <v>9</v>
      </c>
      <c r="J41" s="319">
        <f>MAX(($D$41-0.5*(J11+J14)-2*(J12+J15)-3*J17-3*J18-2*J23-1*J24-0.5*J26-3*J27-0.5*J35-3*J36),0)</f>
        <v>9</v>
      </c>
      <c r="K41" s="319">
        <f t="shared" si="1"/>
        <v>10</v>
      </c>
      <c r="L41" s="319">
        <f t="shared" si="1"/>
        <v>9</v>
      </c>
      <c r="M41" s="319">
        <f t="shared" si="1"/>
        <v>10</v>
      </c>
      <c r="N41" s="319">
        <f t="shared" si="1"/>
        <v>8.5</v>
      </c>
      <c r="O41" s="319" t="s">
        <v>1804</v>
      </c>
    </row>
    <row r="42" spans="1:27" ht="14.25">
      <c r="A42" s="1576" t="s">
        <v>1768</v>
      </c>
      <c r="B42" s="867" t="s">
        <v>1769</v>
      </c>
      <c r="C42" s="868">
        <f t="shared" si="0"/>
        <v>3.8888888888888883E-2</v>
      </c>
      <c r="D42" s="869">
        <v>5</v>
      </c>
      <c r="E42" s="870">
        <v>5</v>
      </c>
      <c r="F42" s="870">
        <v>5</v>
      </c>
      <c r="G42" s="870">
        <v>5</v>
      </c>
      <c r="H42" s="870">
        <v>5</v>
      </c>
      <c r="I42" s="870">
        <v>5</v>
      </c>
      <c r="J42" s="870">
        <v>5</v>
      </c>
      <c r="K42" s="870">
        <v>5</v>
      </c>
      <c r="L42" s="870">
        <v>5</v>
      </c>
      <c r="M42" s="870">
        <v>5</v>
      </c>
      <c r="N42" s="870">
        <v>5</v>
      </c>
      <c r="O42" s="871" t="s">
        <v>1799</v>
      </c>
    </row>
    <row r="43" spans="1:27" ht="14.25">
      <c r="A43" s="1577"/>
      <c r="B43" s="872" t="s">
        <v>1770</v>
      </c>
      <c r="C43" s="868">
        <f t="shared" si="0"/>
        <v>3.8888888888888883E-2</v>
      </c>
      <c r="D43" s="869">
        <v>3</v>
      </c>
      <c r="E43" s="871">
        <f>'OR08-分公司理赔'!W7</f>
        <v>3</v>
      </c>
      <c r="F43" s="871">
        <f>'OR08-分公司理赔'!AC7</f>
        <v>0</v>
      </c>
      <c r="G43" s="871">
        <f>'OR08-分公司理赔'!AI7</f>
        <v>3</v>
      </c>
      <c r="H43" s="871">
        <f>'OR08-分公司理赔'!AO7</f>
        <v>3</v>
      </c>
      <c r="I43" s="871">
        <f>'OR08-分公司理赔'!AU7</f>
        <v>0</v>
      </c>
      <c r="J43" s="871">
        <f>'OR08-分公司理赔'!BA7</f>
        <v>0</v>
      </c>
      <c r="K43" s="871">
        <f>'OR08-分公司理赔'!BG7</f>
        <v>0</v>
      </c>
      <c r="L43" s="871">
        <f>'OR08-分公司理赔'!BM7</f>
        <v>3</v>
      </c>
      <c r="M43" s="871">
        <f>'OR08-分公司理赔'!BS7</f>
        <v>0</v>
      </c>
      <c r="N43" s="871">
        <f>'OR08-分公司理赔'!BY7</f>
        <v>3</v>
      </c>
      <c r="O43" s="871" t="s">
        <v>1798</v>
      </c>
    </row>
    <row r="44" spans="1:27" ht="14.25">
      <c r="A44" s="1577"/>
      <c r="B44" s="872" t="s">
        <v>1808</v>
      </c>
      <c r="C44" s="868">
        <f t="shared" si="0"/>
        <v>3.8888888888888883E-2</v>
      </c>
      <c r="D44" s="869">
        <v>3</v>
      </c>
      <c r="E44" s="871">
        <f>'OR08-分公司理赔'!W11</f>
        <v>3</v>
      </c>
      <c r="F44" s="871">
        <f>'OR08-分公司理赔'!AC11</f>
        <v>3</v>
      </c>
      <c r="G44" s="871">
        <f>'OR08-分公司理赔'!AI11</f>
        <v>3</v>
      </c>
      <c r="H44" s="871">
        <f>'OR08-分公司理赔'!AO11</f>
        <v>3</v>
      </c>
      <c r="I44" s="871">
        <f>'OR08-分公司理赔'!AU11</f>
        <v>3</v>
      </c>
      <c r="J44" s="871">
        <f>'OR08-分公司理赔'!BA11</f>
        <v>3</v>
      </c>
      <c r="K44" s="871">
        <f>'OR08-分公司理赔'!BG11</f>
        <v>3</v>
      </c>
      <c r="L44" s="871">
        <f>'OR08-分公司理赔'!BM11</f>
        <v>3</v>
      </c>
      <c r="M44" s="871">
        <f>'OR08-分公司理赔'!BS11</f>
        <v>3</v>
      </c>
      <c r="N44" s="871">
        <f>'OR08-分公司理赔'!BY11</f>
        <v>3</v>
      </c>
      <c r="O44" s="871" t="s">
        <v>1798</v>
      </c>
      <c r="Y44" s="873"/>
      <c r="Z44" s="873"/>
    </row>
    <row r="45" spans="1:27" ht="14.25">
      <c r="A45" s="1577"/>
      <c r="B45" s="872" t="s">
        <v>1749</v>
      </c>
      <c r="C45" s="868">
        <f t="shared" si="0"/>
        <v>3.8888888888888883E-2</v>
      </c>
      <c r="D45" s="869">
        <v>4</v>
      </c>
      <c r="E45" s="871">
        <f>'OR08-分公司理赔'!W12</f>
        <v>4</v>
      </c>
      <c r="F45" s="871">
        <f>'OR08-分公司理赔'!AC12</f>
        <v>4</v>
      </c>
      <c r="G45" s="871">
        <f>'OR08-分公司理赔'!AI12</f>
        <v>4</v>
      </c>
      <c r="H45" s="871">
        <f>'OR08-分公司理赔'!AO12</f>
        <v>4</v>
      </c>
      <c r="I45" s="871">
        <f>'OR08-分公司理赔'!AU12</f>
        <v>4</v>
      </c>
      <c r="J45" s="871">
        <f>'OR08-分公司理赔'!BA12</f>
        <v>4</v>
      </c>
      <c r="K45" s="871">
        <f>'OR08-分公司理赔'!BG12</f>
        <v>4</v>
      </c>
      <c r="L45" s="871">
        <f>'OR08-分公司理赔'!BM12</f>
        <v>4</v>
      </c>
      <c r="M45" s="871">
        <f>'OR08-分公司理赔'!BS12</f>
        <v>4</v>
      </c>
      <c r="N45" s="871">
        <f>'OR08-分公司理赔'!BY12</f>
        <v>4</v>
      </c>
      <c r="O45" s="871" t="s">
        <v>1798</v>
      </c>
    </row>
    <row r="46" spans="1:27" ht="14.25">
      <c r="A46" s="1577"/>
      <c r="B46" s="872" t="s">
        <v>1183</v>
      </c>
      <c r="C46" s="868">
        <f t="shared" si="0"/>
        <v>3.8888888888888883E-2</v>
      </c>
      <c r="D46" s="869">
        <v>6</v>
      </c>
      <c r="E46" s="871">
        <f>'OR08-分公司理赔'!W13</f>
        <v>6</v>
      </c>
      <c r="F46" s="871">
        <f>'OR08-分公司理赔'!AC13</f>
        <v>6</v>
      </c>
      <c r="G46" s="871">
        <f>'OR08-分公司理赔'!AI13</f>
        <v>6</v>
      </c>
      <c r="H46" s="871">
        <f>'OR08-分公司理赔'!AO13</f>
        <v>6</v>
      </c>
      <c r="I46" s="871">
        <f>'OR08-分公司理赔'!AU13</f>
        <v>6</v>
      </c>
      <c r="J46" s="871">
        <f>'OR08-分公司理赔'!BA13</f>
        <v>6</v>
      </c>
      <c r="K46" s="871">
        <f>'OR08-分公司理赔'!BG13</f>
        <v>6</v>
      </c>
      <c r="L46" s="871">
        <f>'OR08-分公司理赔'!BM13</f>
        <v>6</v>
      </c>
      <c r="M46" s="871">
        <f>'OR08-分公司理赔'!BS13</f>
        <v>6</v>
      </c>
      <c r="N46" s="871">
        <f>'OR08-分公司理赔'!BY13</f>
        <v>6</v>
      </c>
      <c r="O46" s="871" t="s">
        <v>1798</v>
      </c>
      <c r="R46" s="874"/>
      <c r="AA46" s="710"/>
    </row>
    <row r="47" spans="1:27" ht="14.25">
      <c r="A47" s="1577"/>
      <c r="B47" s="872" t="s">
        <v>1771</v>
      </c>
      <c r="C47" s="868">
        <f t="shared" si="0"/>
        <v>3.8888888888888883E-2</v>
      </c>
      <c r="D47" s="869">
        <v>8</v>
      </c>
      <c r="E47" s="871">
        <f>S49</f>
        <v>2</v>
      </c>
      <c r="F47" s="871">
        <f>S50</f>
        <v>4</v>
      </c>
      <c r="G47" s="871">
        <v>2</v>
      </c>
      <c r="H47" s="871">
        <f>S53</f>
        <v>4</v>
      </c>
      <c r="I47" s="871">
        <f>S54</f>
        <v>8</v>
      </c>
      <c r="J47" s="871">
        <f>S56</f>
        <v>8</v>
      </c>
      <c r="K47" s="871">
        <f>S57</f>
        <v>0</v>
      </c>
      <c r="L47" s="871">
        <f>S58</f>
        <v>8</v>
      </c>
      <c r="M47" s="871">
        <f>S59</f>
        <v>8</v>
      </c>
      <c r="N47" s="871">
        <f>S60</f>
        <v>8</v>
      </c>
      <c r="O47" s="871" t="s">
        <v>1806</v>
      </c>
      <c r="P47" s="859"/>
      <c r="S47" s="1583">
        <v>8</v>
      </c>
      <c r="T47" s="1584"/>
      <c r="U47" s="1579">
        <v>4</v>
      </c>
      <c r="V47" s="1585"/>
      <c r="W47" s="1579">
        <v>2</v>
      </c>
      <c r="X47" s="1585"/>
      <c r="Y47" s="1579">
        <v>0</v>
      </c>
      <c r="Z47" s="1580"/>
      <c r="AA47" s="710"/>
    </row>
    <row r="48" spans="1:27" ht="14.25">
      <c r="A48" s="1577"/>
      <c r="B48" s="872" t="s">
        <v>1191</v>
      </c>
      <c r="C48" s="868">
        <f t="shared" si="0"/>
        <v>3.8888888888888883E-2</v>
      </c>
      <c r="D48" s="869">
        <v>6</v>
      </c>
      <c r="E48" s="871">
        <f>'OR08-分公司理赔'!W19</f>
        <v>6</v>
      </c>
      <c r="F48" s="871">
        <f>'OR08-分公司理赔'!AC19</f>
        <v>6</v>
      </c>
      <c r="G48" s="871">
        <f>'OR08-分公司理赔'!AI19</f>
        <v>6</v>
      </c>
      <c r="H48" s="871">
        <f>'OR08-分公司理赔'!AO19</f>
        <v>6</v>
      </c>
      <c r="I48" s="871">
        <f>'OR08-分公司理赔'!AU19</f>
        <v>6</v>
      </c>
      <c r="J48" s="871">
        <f>'OR08-分公司理赔'!BA19</f>
        <v>6</v>
      </c>
      <c r="K48" s="871">
        <f>'OR08-分公司理赔'!BG19</f>
        <v>6</v>
      </c>
      <c r="L48" s="871">
        <f>'OR08-分公司理赔'!BM19</f>
        <v>6</v>
      </c>
      <c r="M48" s="871">
        <f>'OR08-分公司理赔'!BS19</f>
        <v>6</v>
      </c>
      <c r="N48" s="871">
        <f>'OR08-分公司理赔'!BY19</f>
        <v>6</v>
      </c>
      <c r="O48" s="871" t="s">
        <v>1798</v>
      </c>
      <c r="Q48" s="875" t="s">
        <v>1818</v>
      </c>
      <c r="R48" s="876">
        <f>'OR08-分公司理赔'!L16</f>
        <v>0.26665104232116221</v>
      </c>
      <c r="S48" s="873"/>
      <c r="T48" s="1582">
        <f>R48</f>
        <v>0.26665104232116221</v>
      </c>
      <c r="U48" s="1582"/>
      <c r="V48" s="1582">
        <f>T48*1.35</f>
        <v>0.359978907133569</v>
      </c>
      <c r="W48" s="1582"/>
      <c r="X48" s="1582">
        <f>T48*2</f>
        <v>0.53330208464232443</v>
      </c>
      <c r="Y48" s="1582"/>
    </row>
    <row r="49" spans="1:26" ht="14.25">
      <c r="A49" s="1577"/>
      <c r="B49" s="872" t="s">
        <v>1772</v>
      </c>
      <c r="C49" s="868">
        <f t="shared" si="0"/>
        <v>3.8888888888888883E-2</v>
      </c>
      <c r="D49" s="869">
        <v>4</v>
      </c>
      <c r="E49" s="871">
        <f>'OR08-分公司理赔'!W22</f>
        <v>4</v>
      </c>
      <c r="F49" s="871">
        <f>'OR08-分公司理赔'!AC22</f>
        <v>4</v>
      </c>
      <c r="G49" s="871">
        <f>'OR08-分公司理赔'!AI22</f>
        <v>4</v>
      </c>
      <c r="H49" s="871">
        <f>'OR08-分公司理赔'!AO22</f>
        <v>4</v>
      </c>
      <c r="I49" s="871">
        <f>'OR08-分公司理赔'!AU22</f>
        <v>4</v>
      </c>
      <c r="J49" s="871">
        <f>'OR08-分公司理赔'!BA22</f>
        <v>4</v>
      </c>
      <c r="K49" s="871">
        <f>'OR08-分公司理赔'!BG22</f>
        <v>4</v>
      </c>
      <c r="L49" s="871">
        <f>'OR08-分公司理赔'!BM22</f>
        <v>4</v>
      </c>
      <c r="M49" s="871">
        <f>'OR08-分公司理赔'!BS22</f>
        <v>4</v>
      </c>
      <c r="N49" s="871">
        <f>'OR08-分公司理赔'!BY22</f>
        <v>4</v>
      </c>
      <c r="O49" s="871" t="s">
        <v>1798</v>
      </c>
      <c r="Q49" s="877" t="s">
        <v>1809</v>
      </c>
      <c r="R49" s="878">
        <f>'OR08-分公司理赔'!V16</f>
        <v>0.52173913043478259</v>
      </c>
      <c r="S49" s="323">
        <f>IF(R49&gt;$X$48,0,IF(R49&gt;$V$48,2,IF(R49&gt;$T$48,4,8)))</f>
        <v>2</v>
      </c>
      <c r="Z49" s="873"/>
    </row>
    <row r="50" spans="1:26" ht="14.25">
      <c r="A50" s="1577"/>
      <c r="B50" s="872" t="s">
        <v>1773</v>
      </c>
      <c r="C50" s="868">
        <f t="shared" si="0"/>
        <v>3.8888888888888883E-2</v>
      </c>
      <c r="D50" s="869">
        <v>4</v>
      </c>
      <c r="E50" s="871">
        <f>'OR08-分公司理赔'!W25</f>
        <v>4</v>
      </c>
      <c r="F50" s="871">
        <f>'OR08-分公司理赔'!AC25</f>
        <v>4</v>
      </c>
      <c r="G50" s="871">
        <f>'OR08-分公司理赔'!AI25</f>
        <v>4</v>
      </c>
      <c r="H50" s="871">
        <f>'OR08-分公司理赔'!AO25</f>
        <v>4</v>
      </c>
      <c r="I50" s="871">
        <f>'OR08-分公司理赔'!AU25</f>
        <v>4</v>
      </c>
      <c r="J50" s="871">
        <f>'OR08-分公司理赔'!BA25</f>
        <v>4</v>
      </c>
      <c r="K50" s="871">
        <f>'OR08-分公司理赔'!BG25</f>
        <v>4</v>
      </c>
      <c r="L50" s="871">
        <f>'OR08-分公司理赔'!BM25</f>
        <v>4</v>
      </c>
      <c r="M50" s="871">
        <f>'OR08-分公司理赔'!BS25</f>
        <v>4</v>
      </c>
      <c r="N50" s="871">
        <f>'OR08-分公司理赔'!BY25</f>
        <v>4</v>
      </c>
      <c r="O50" s="871" t="s">
        <v>1798</v>
      </c>
      <c r="Q50" s="877" t="s">
        <v>1810</v>
      </c>
      <c r="R50" s="878">
        <f>'OR08-分公司理赔'!AB16</f>
        <v>0.28222996515679444</v>
      </c>
      <c r="S50" s="323">
        <f>IF(R50&gt;$X$48,0,IF(R50&gt;$V$48,2,IF(R50&gt;$T$48,4,8)))</f>
        <v>4</v>
      </c>
      <c r="T50" s="879"/>
      <c r="U50" s="880"/>
      <c r="V50" s="880"/>
      <c r="W50" s="880"/>
      <c r="X50" s="880"/>
      <c r="Y50" s="710"/>
    </row>
    <row r="51" spans="1:26" ht="14.25">
      <c r="A51" s="1577"/>
      <c r="B51" s="881" t="s">
        <v>1891</v>
      </c>
      <c r="C51" s="736"/>
      <c r="D51" s="869"/>
      <c r="E51" s="871">
        <f>'OR08-分公司理赔'!V29</f>
        <v>0</v>
      </c>
      <c r="F51" s="871">
        <f>'OR08-分公司理赔'!AB29</f>
        <v>0</v>
      </c>
      <c r="G51" s="871">
        <f>'OR08-分公司理赔'!AH29</f>
        <v>0</v>
      </c>
      <c r="H51" s="871">
        <f>'OR08-分公司理赔'!AN29</f>
        <v>0</v>
      </c>
      <c r="I51" s="871">
        <f>'OR08-分公司理赔'!AT29</f>
        <v>0</v>
      </c>
      <c r="J51" s="871">
        <f>'OR08-分公司理赔'!AZ29</f>
        <v>0</v>
      </c>
      <c r="K51" s="871">
        <f>'OR08-分公司理赔'!BF29</f>
        <v>0</v>
      </c>
      <c r="L51" s="871">
        <f>'OR08-分公司理赔'!BL29</f>
        <v>0</v>
      </c>
      <c r="M51" s="871">
        <f>'OR08-分公司理赔'!BR29</f>
        <v>0</v>
      </c>
      <c r="N51" s="871">
        <f>'OR08-分公司理赔'!BX29</f>
        <v>0</v>
      </c>
      <c r="O51" s="871" t="s">
        <v>1803</v>
      </c>
      <c r="Q51" s="877" t="s">
        <v>1811</v>
      </c>
      <c r="R51" s="878">
        <f>'OR08-分公司理赔'!AH16</f>
        <v>0.21572580645161291</v>
      </c>
      <c r="S51" s="323">
        <f t="shared" ref="S51:S60" si="2">IF(R51&gt;$X$48,0,IF(R51&gt;$V$48,2,IF(R51&gt;$T$48,4,8)))</f>
        <v>8</v>
      </c>
      <c r="T51" s="879"/>
      <c r="U51" s="880"/>
      <c r="V51" s="880"/>
      <c r="W51" s="880"/>
      <c r="X51" s="880"/>
      <c r="Y51" s="710"/>
    </row>
    <row r="52" spans="1:26" ht="14.25">
      <c r="A52" s="1577"/>
      <c r="B52" s="881" t="s">
        <v>1201</v>
      </c>
      <c r="C52" s="882"/>
      <c r="D52" s="869"/>
      <c r="E52" s="871">
        <f>'OR08-分公司理赔'!V30</f>
        <v>0</v>
      </c>
      <c r="F52" s="871">
        <f>'OR08-分公司理赔'!AB30</f>
        <v>0</v>
      </c>
      <c r="G52" s="871">
        <f>'OR08-分公司理赔'!AH30</f>
        <v>0</v>
      </c>
      <c r="H52" s="871">
        <f>'OR08-分公司理赔'!AN30</f>
        <v>0</v>
      </c>
      <c r="I52" s="871">
        <f>'OR08-分公司理赔'!AT30</f>
        <v>0</v>
      </c>
      <c r="J52" s="871">
        <f>'OR08-分公司理赔'!AZ30</f>
        <v>0</v>
      </c>
      <c r="K52" s="871">
        <f>'OR08-分公司理赔'!BF30</f>
        <v>0</v>
      </c>
      <c r="L52" s="871">
        <f>'OR08-分公司理赔'!BL30</f>
        <v>0</v>
      </c>
      <c r="M52" s="871">
        <f>'OR08-分公司理赔'!BR30</f>
        <v>0</v>
      </c>
      <c r="N52" s="871">
        <f>'OR08-分公司理赔'!BX30</f>
        <v>0</v>
      </c>
      <c r="O52" s="871" t="s">
        <v>1802</v>
      </c>
      <c r="Q52" s="877"/>
      <c r="R52" s="878"/>
      <c r="S52" s="323"/>
      <c r="T52" s="879"/>
      <c r="U52" s="880"/>
      <c r="V52" s="880"/>
      <c r="W52" s="880"/>
      <c r="X52" s="880"/>
      <c r="Y52" s="710"/>
    </row>
    <row r="53" spans="1:26" ht="14.25">
      <c r="A53" s="1577"/>
      <c r="B53" s="881"/>
      <c r="C53" s="868">
        <f t="shared" si="0"/>
        <v>3.8888888888888883E-2</v>
      </c>
      <c r="D53" s="869">
        <v>20</v>
      </c>
      <c r="E53" s="871">
        <f>'OR08-分公司理赔'!W29</f>
        <v>20</v>
      </c>
      <c r="F53" s="871">
        <f>'OR08-分公司理赔'!AC29</f>
        <v>20</v>
      </c>
      <c r="G53" s="871">
        <f>'OR08-分公司理赔'!AI29</f>
        <v>20</v>
      </c>
      <c r="H53" s="871">
        <f>'OR08-分公司理赔'!AO29</f>
        <v>20</v>
      </c>
      <c r="I53" s="871">
        <f>'OR08-分公司理赔'!AU29</f>
        <v>20</v>
      </c>
      <c r="J53" s="871">
        <f>'OR08-分公司理赔'!BA29</f>
        <v>20</v>
      </c>
      <c r="K53" s="871">
        <f>'OR08-分公司理赔'!BG29</f>
        <v>20</v>
      </c>
      <c r="L53" s="871">
        <f>'OR08-分公司理赔'!BM29</f>
        <v>20</v>
      </c>
      <c r="M53" s="871">
        <f>'OR08-分公司理赔'!BS29</f>
        <v>20</v>
      </c>
      <c r="N53" s="871">
        <f>'OR08-分公司理赔'!BY29</f>
        <v>20</v>
      </c>
      <c r="O53" s="871" t="s">
        <v>1798</v>
      </c>
      <c r="Q53" s="877" t="s">
        <v>1812</v>
      </c>
      <c r="R53" s="878">
        <f>'OR08-分公司理赔'!AN16</f>
        <v>0.27419354838709675</v>
      </c>
      <c r="S53" s="323">
        <f t="shared" si="2"/>
        <v>4</v>
      </c>
      <c r="T53" s="879"/>
      <c r="U53" s="880"/>
      <c r="V53" s="880"/>
      <c r="W53" s="880"/>
      <c r="X53" s="880"/>
      <c r="Y53" s="710"/>
    </row>
    <row r="54" spans="1:26" ht="14.25">
      <c r="A54" s="1577"/>
      <c r="B54" s="881" t="s">
        <v>1892</v>
      </c>
      <c r="C54" s="882"/>
      <c r="D54" s="869"/>
      <c r="E54" s="871">
        <f>'OR08-分公司理赔'!V31</f>
        <v>0</v>
      </c>
      <c r="F54" s="871">
        <f>'OR08-分公司理赔'!AB31</f>
        <v>0</v>
      </c>
      <c r="G54" s="871">
        <f>'OR08-分公司理赔'!AH31</f>
        <v>0</v>
      </c>
      <c r="H54" s="871">
        <f>'OR08-分公司理赔'!AN31</f>
        <v>0</v>
      </c>
      <c r="I54" s="871">
        <f>'OR08-分公司理赔'!AT31</f>
        <v>0</v>
      </c>
      <c r="J54" s="871">
        <f>'OR08-分公司理赔'!AZ31</f>
        <v>0</v>
      </c>
      <c r="K54" s="871">
        <f>'OR08-分公司理赔'!BF31</f>
        <v>0</v>
      </c>
      <c r="L54" s="871">
        <f>'OR08-分公司理赔'!BL31</f>
        <v>0</v>
      </c>
      <c r="M54" s="871">
        <f>'OR08-分公司理赔'!BR31</f>
        <v>0</v>
      </c>
      <c r="N54" s="871">
        <f>'OR08-分公司理赔'!BX31</f>
        <v>0</v>
      </c>
      <c r="O54" s="871" t="s">
        <v>1803</v>
      </c>
      <c r="Q54" s="877" t="s">
        <v>1815</v>
      </c>
      <c r="R54" s="878">
        <f>'OR08-分公司理赔'!AT16</f>
        <v>0.1951219512195122</v>
      </c>
      <c r="S54" s="323">
        <f t="shared" si="2"/>
        <v>8</v>
      </c>
      <c r="T54" s="879"/>
      <c r="U54" s="880"/>
      <c r="V54" s="880"/>
      <c r="W54" s="880"/>
      <c r="X54" s="880"/>
      <c r="Y54" s="710"/>
    </row>
    <row r="55" spans="1:26" ht="14.25">
      <c r="A55" s="1577"/>
      <c r="B55" s="881" t="s">
        <v>1204</v>
      </c>
      <c r="C55" s="882"/>
      <c r="D55" s="869"/>
      <c r="E55" s="871">
        <f>'OR08-分公司理赔'!V32</f>
        <v>0</v>
      </c>
      <c r="F55" s="871">
        <f>'OR08-分公司理赔'!AB32</f>
        <v>0</v>
      </c>
      <c r="G55" s="871">
        <f>'OR08-分公司理赔'!AH32</f>
        <v>0</v>
      </c>
      <c r="H55" s="871">
        <f>'OR08-分公司理赔'!AN32</f>
        <v>0</v>
      </c>
      <c r="I55" s="871">
        <f>'OR08-分公司理赔'!AT32</f>
        <v>0</v>
      </c>
      <c r="J55" s="871">
        <f>'OR08-分公司理赔'!AZ32</f>
        <v>0</v>
      </c>
      <c r="K55" s="871">
        <f>'OR08-分公司理赔'!BF32</f>
        <v>0</v>
      </c>
      <c r="L55" s="871">
        <f>'OR08-分公司理赔'!BL32</f>
        <v>0</v>
      </c>
      <c r="M55" s="871">
        <f>'OR08-分公司理赔'!BR32</f>
        <v>0</v>
      </c>
      <c r="N55" s="871">
        <f>'OR08-分公司理赔'!BX32</f>
        <v>0</v>
      </c>
      <c r="O55" s="871" t="s">
        <v>1802</v>
      </c>
      <c r="Q55" s="877"/>
      <c r="R55" s="878"/>
      <c r="S55" s="323"/>
      <c r="T55" s="879"/>
      <c r="U55" s="880"/>
      <c r="V55" s="880"/>
      <c r="W55" s="880"/>
      <c r="X55" s="880"/>
      <c r="Y55" s="710"/>
    </row>
    <row r="56" spans="1:26" ht="14.25">
      <c r="A56" s="1577"/>
      <c r="B56" s="881"/>
      <c r="C56" s="883">
        <f t="shared" si="0"/>
        <v>3.8888888888888883E-2</v>
      </c>
      <c r="D56" s="869">
        <v>12</v>
      </c>
      <c r="E56" s="871">
        <f>'OR08-分公司理赔'!W31</f>
        <v>12</v>
      </c>
      <c r="F56" s="871">
        <f>'OR08-分公司理赔'!AC31</f>
        <v>12</v>
      </c>
      <c r="G56" s="871">
        <f>'OR08-分公司理赔'!AI31</f>
        <v>12</v>
      </c>
      <c r="H56" s="871">
        <f>'OR08-分公司理赔'!AO31</f>
        <v>12</v>
      </c>
      <c r="I56" s="871">
        <f>'OR08-分公司理赔'!AU31</f>
        <v>12</v>
      </c>
      <c r="J56" s="871">
        <f>'OR08-分公司理赔'!BA31</f>
        <v>12</v>
      </c>
      <c r="K56" s="871">
        <f>'OR08-分公司理赔'!BG31</f>
        <v>12</v>
      </c>
      <c r="L56" s="871">
        <f>'OR08-分公司理赔'!BM31</f>
        <v>12</v>
      </c>
      <c r="M56" s="871">
        <f>'OR08-分公司理赔'!BS31</f>
        <v>12</v>
      </c>
      <c r="N56" s="871">
        <f>'OR08-分公司理赔'!BY31</f>
        <v>12</v>
      </c>
      <c r="O56" s="871" t="s">
        <v>1798</v>
      </c>
      <c r="Q56" s="877" t="s">
        <v>1813</v>
      </c>
      <c r="R56" s="878">
        <f>'OR08-分公司理赔'!AZ16</f>
        <v>0.21392405063291139</v>
      </c>
      <c r="S56" s="323">
        <f t="shared" si="2"/>
        <v>8</v>
      </c>
      <c r="T56" s="879"/>
      <c r="U56" s="880"/>
      <c r="V56" s="880"/>
      <c r="W56" s="880"/>
      <c r="X56" s="880"/>
      <c r="Y56" s="710"/>
    </row>
    <row r="57" spans="1:26" ht="14.25">
      <c r="A57" s="1577"/>
      <c r="B57" s="867" t="s">
        <v>1764</v>
      </c>
      <c r="C57" s="868">
        <f t="shared" si="0"/>
        <v>3.8888888888888883E-2</v>
      </c>
      <c r="D57" s="869">
        <v>0</v>
      </c>
      <c r="E57" s="884">
        <v>0</v>
      </c>
      <c r="F57" s="884">
        <v>0</v>
      </c>
      <c r="G57" s="884">
        <v>0</v>
      </c>
      <c r="H57" s="884">
        <v>0</v>
      </c>
      <c r="I57" s="884">
        <v>0</v>
      </c>
      <c r="J57" s="885">
        <v>0</v>
      </c>
      <c r="K57" s="884">
        <v>0</v>
      </c>
      <c r="L57" s="884">
        <v>0</v>
      </c>
      <c r="M57" s="884">
        <v>0</v>
      </c>
      <c r="N57" s="884">
        <v>0</v>
      </c>
      <c r="O57" s="871" t="s">
        <v>1819</v>
      </c>
      <c r="Q57" s="877" t="s">
        <v>1814</v>
      </c>
      <c r="R57" s="878">
        <f>'OR08-分公司理赔'!BF16</f>
        <v>0.6029411764705882</v>
      </c>
      <c r="S57" s="323">
        <f t="shared" si="2"/>
        <v>0</v>
      </c>
      <c r="T57" s="710"/>
      <c r="U57" s="880"/>
      <c r="V57" s="880"/>
      <c r="W57" s="880"/>
      <c r="X57" s="880"/>
      <c r="Y57" s="710"/>
    </row>
    <row r="58" spans="1:26" ht="14.25">
      <c r="A58" s="1577"/>
      <c r="B58" s="872" t="s">
        <v>1775</v>
      </c>
      <c r="C58" s="868">
        <f t="shared" si="0"/>
        <v>3.8888888888888883E-2</v>
      </c>
      <c r="D58" s="869">
        <v>2</v>
      </c>
      <c r="E58" s="871">
        <f>'OR08-分公司理赔'!W34</f>
        <v>2</v>
      </c>
      <c r="F58" s="871">
        <f>'OR08-分公司理赔'!AC34</f>
        <v>2</v>
      </c>
      <c r="G58" s="871">
        <f>'OR08-分公司理赔'!AI34</f>
        <v>2</v>
      </c>
      <c r="H58" s="871">
        <f>'OR08-分公司理赔'!AO34</f>
        <v>2</v>
      </c>
      <c r="I58" s="871">
        <f>'OR08-分公司理赔'!AU34</f>
        <v>2</v>
      </c>
      <c r="J58" s="871">
        <f>'OR08-分公司理赔'!BA34</f>
        <v>2</v>
      </c>
      <c r="K58" s="871">
        <f>'OR08-分公司理赔'!BG34</f>
        <v>2</v>
      </c>
      <c r="L58" s="871">
        <f>'OR08-分公司理赔'!BM34</f>
        <v>2</v>
      </c>
      <c r="M58" s="871">
        <f>'OR08-分公司理赔'!BS34</f>
        <v>2</v>
      </c>
      <c r="N58" s="871">
        <f>'OR08-分公司理赔'!BY34</f>
        <v>2</v>
      </c>
      <c r="O58" s="871" t="s">
        <v>1798</v>
      </c>
      <c r="Q58" s="877" t="s">
        <v>1816</v>
      </c>
      <c r="R58" s="878">
        <f>'OR08-分公司理赔'!BL16</f>
        <v>0.15580286168521462</v>
      </c>
      <c r="S58" s="323">
        <f t="shared" si="2"/>
        <v>8</v>
      </c>
      <c r="T58" s="710"/>
      <c r="U58" s="880"/>
      <c r="V58" s="880"/>
      <c r="W58" s="880"/>
      <c r="X58" s="880"/>
      <c r="Y58" s="710"/>
    </row>
    <row r="59" spans="1:26" ht="14.25">
      <c r="A59" s="1577"/>
      <c r="B59" s="872" t="s">
        <v>1209</v>
      </c>
      <c r="C59" s="868">
        <f t="shared" si="0"/>
        <v>3.8888888888888883E-2</v>
      </c>
      <c r="D59" s="869">
        <v>2</v>
      </c>
      <c r="E59" s="871">
        <f>'OR08-分公司理赔'!W36</f>
        <v>2</v>
      </c>
      <c r="F59" s="871">
        <f>'OR08-分公司理赔'!AC36</f>
        <v>2</v>
      </c>
      <c r="G59" s="871">
        <f>'OR08-分公司理赔'!AI36</f>
        <v>2</v>
      </c>
      <c r="H59" s="871">
        <f>'OR08-分公司理赔'!AO36</f>
        <v>2</v>
      </c>
      <c r="I59" s="871">
        <f>'OR08-分公司理赔'!AU36</f>
        <v>2</v>
      </c>
      <c r="J59" s="871">
        <f>'OR08-分公司理赔'!BA36</f>
        <v>2</v>
      </c>
      <c r="K59" s="871">
        <f>'OR08-分公司理赔'!BG36</f>
        <v>2</v>
      </c>
      <c r="L59" s="871">
        <f>'OR08-分公司理赔'!BM36</f>
        <v>2</v>
      </c>
      <c r="M59" s="871">
        <f>'OR08-分公司理赔'!BS36</f>
        <v>2</v>
      </c>
      <c r="N59" s="871">
        <f>'OR08-分公司理赔'!BY36</f>
        <v>2</v>
      </c>
      <c r="O59" s="871" t="s">
        <v>1798</v>
      </c>
      <c r="Q59" s="877" t="s">
        <v>1774</v>
      </c>
      <c r="R59" s="878">
        <f>'OR08-分公司理赔'!BR16</f>
        <v>5.3571428571428568E-2</v>
      </c>
      <c r="S59" s="323">
        <f t="shared" si="2"/>
        <v>8</v>
      </c>
      <c r="T59" s="710"/>
      <c r="U59" s="880"/>
      <c r="V59" s="880"/>
      <c r="W59" s="880"/>
      <c r="X59" s="880"/>
      <c r="Y59" s="710"/>
    </row>
    <row r="60" spans="1:26" ht="14.25">
      <c r="A60" s="1577"/>
      <c r="B60" s="872" t="s">
        <v>1776</v>
      </c>
      <c r="C60" s="868">
        <f t="shared" si="0"/>
        <v>3.8888888888888883E-2</v>
      </c>
      <c r="D60" s="869">
        <v>1</v>
      </c>
      <c r="E60" s="871">
        <f>'OR08-分公司理赔'!W37</f>
        <v>1</v>
      </c>
      <c r="F60" s="871">
        <f>'OR08-分公司理赔'!AC37</f>
        <v>1</v>
      </c>
      <c r="G60" s="871">
        <f>'OR08-分公司理赔'!AI37</f>
        <v>1</v>
      </c>
      <c r="H60" s="871">
        <f>'OR08-分公司理赔'!AO37</f>
        <v>1</v>
      </c>
      <c r="I60" s="871">
        <f>'OR08-分公司理赔'!AU37</f>
        <v>1</v>
      </c>
      <c r="J60" s="871">
        <f>'OR08-分公司理赔'!BA37</f>
        <v>1</v>
      </c>
      <c r="K60" s="871">
        <f>'OR08-分公司理赔'!BG37</f>
        <v>1</v>
      </c>
      <c r="L60" s="871">
        <f>'OR08-分公司理赔'!BM37</f>
        <v>1</v>
      </c>
      <c r="M60" s="871">
        <f>'OR08-分公司理赔'!BS37</f>
        <v>1</v>
      </c>
      <c r="N60" s="871">
        <f>'OR08-分公司理赔'!BY37</f>
        <v>1</v>
      </c>
      <c r="O60" s="871" t="s">
        <v>1798</v>
      </c>
      <c r="Q60" s="877" t="s">
        <v>1817</v>
      </c>
      <c r="R60" s="878">
        <f>'OR08-分公司理赔'!BX16</f>
        <v>0.15126050420168066</v>
      </c>
      <c r="S60" s="323">
        <f t="shared" si="2"/>
        <v>8</v>
      </c>
      <c r="T60" s="710"/>
      <c r="U60" s="880"/>
      <c r="V60" s="880"/>
      <c r="W60" s="880"/>
      <c r="X60" s="880"/>
      <c r="Y60" s="710"/>
    </row>
    <row r="61" spans="1:26" ht="14.25">
      <c r="A61" s="1578"/>
      <c r="B61" s="867" t="s">
        <v>1777</v>
      </c>
      <c r="C61" s="868">
        <f t="shared" si="0"/>
        <v>3.8888888888888883E-2</v>
      </c>
      <c r="D61" s="869">
        <v>10</v>
      </c>
      <c r="E61" s="871">
        <f>MAX(10-0.5*E51-3*E52-3*E54-1*E55,0)</f>
        <v>10</v>
      </c>
      <c r="F61" s="871">
        <f t="shared" ref="F61:N61" si="3">MAX(10-0.5*F51-3*F52-3*F54-1*F55,0)</f>
        <v>10</v>
      </c>
      <c r="G61" s="871">
        <f t="shared" si="3"/>
        <v>10</v>
      </c>
      <c r="H61" s="871">
        <f t="shared" si="3"/>
        <v>10</v>
      </c>
      <c r="I61" s="871">
        <f t="shared" si="3"/>
        <v>10</v>
      </c>
      <c r="J61" s="871">
        <f t="shared" si="3"/>
        <v>10</v>
      </c>
      <c r="K61" s="871">
        <f t="shared" si="3"/>
        <v>10</v>
      </c>
      <c r="L61" s="871">
        <f t="shared" si="3"/>
        <v>10</v>
      </c>
      <c r="M61" s="871">
        <f t="shared" si="3"/>
        <v>10</v>
      </c>
      <c r="N61" s="871">
        <f t="shared" si="3"/>
        <v>10</v>
      </c>
      <c r="O61" s="871" t="s">
        <v>1804</v>
      </c>
      <c r="T61" s="710"/>
      <c r="U61" s="710"/>
      <c r="V61" s="710"/>
      <c r="W61" s="710"/>
      <c r="X61" s="710"/>
      <c r="Y61" s="710"/>
    </row>
    <row r="62" spans="1:26" ht="14.25">
      <c r="A62" s="1591" t="s">
        <v>1778</v>
      </c>
      <c r="B62" s="886" t="s">
        <v>1779</v>
      </c>
      <c r="C62" s="887">
        <f t="shared" ref="C62:C93" si="4">40%*(1/18)</f>
        <v>2.2222222222222223E-2</v>
      </c>
      <c r="D62" s="888">
        <v>5</v>
      </c>
      <c r="E62" s="889">
        <v>5</v>
      </c>
      <c r="F62" s="889">
        <v>5</v>
      </c>
      <c r="G62" s="889">
        <v>5</v>
      </c>
      <c r="H62" s="889">
        <v>5</v>
      </c>
      <c r="I62" s="889">
        <v>5</v>
      </c>
      <c r="J62" s="889">
        <v>5</v>
      </c>
      <c r="K62" s="889">
        <v>5</v>
      </c>
      <c r="L62" s="889">
        <v>5</v>
      </c>
      <c r="M62" s="889">
        <v>5</v>
      </c>
      <c r="N62" s="889">
        <v>5</v>
      </c>
      <c r="O62" s="890" t="s">
        <v>1799</v>
      </c>
      <c r="T62" s="710"/>
      <c r="U62" s="710"/>
      <c r="V62" s="710"/>
      <c r="W62" s="710"/>
      <c r="X62" s="710"/>
      <c r="Y62" s="710"/>
    </row>
    <row r="63" spans="1:26" ht="14.25">
      <c r="A63" s="1592"/>
      <c r="B63" s="886" t="s">
        <v>1780</v>
      </c>
      <c r="C63" s="887">
        <f t="shared" si="4"/>
        <v>2.2222222222222223E-2</v>
      </c>
      <c r="D63" s="888">
        <v>2</v>
      </c>
      <c r="E63" s="891">
        <f>'OR13-分公司财务管理'!W5</f>
        <v>0</v>
      </c>
      <c r="F63" s="891">
        <f>'OR13-分公司财务管理'!AC5</f>
        <v>2</v>
      </c>
      <c r="G63" s="890">
        <f>'OR13-分公司财务管理'!AI5</f>
        <v>2</v>
      </c>
      <c r="H63" s="890">
        <f>'OR13-分公司财务管理'!AO5</f>
        <v>2</v>
      </c>
      <c r="I63" s="890">
        <f>'OR13-分公司财务管理'!AU5</f>
        <v>2</v>
      </c>
      <c r="J63" s="890">
        <f>'OR13-分公司财务管理'!BA5</f>
        <v>2</v>
      </c>
      <c r="K63" s="891">
        <f>'OR13-分公司财务管理'!BG5</f>
        <v>2</v>
      </c>
      <c r="L63" s="891">
        <f>'OR13-分公司财务管理'!BM5</f>
        <v>2</v>
      </c>
      <c r="M63" s="890">
        <f>'OR13-分公司财务管理'!BS5</f>
        <v>2</v>
      </c>
      <c r="N63" s="890">
        <f>'OR13-分公司财务管理'!BY5</f>
        <v>2</v>
      </c>
      <c r="O63" s="890" t="s">
        <v>1798</v>
      </c>
    </row>
    <row r="64" spans="1:26" ht="14.25">
      <c r="A64" s="1592"/>
      <c r="B64" s="886" t="s">
        <v>1781</v>
      </c>
      <c r="C64" s="887">
        <f t="shared" si="4"/>
        <v>2.2222222222222223E-2</v>
      </c>
      <c r="D64" s="888">
        <v>2</v>
      </c>
      <c r="E64" s="891">
        <f>'OR13-分公司财务管理'!W9</f>
        <v>2</v>
      </c>
      <c r="F64" s="891">
        <f>'OR13-分公司财务管理'!AC9</f>
        <v>2</v>
      </c>
      <c r="G64" s="891">
        <f>'OR13-分公司财务管理'!AI9</f>
        <v>0</v>
      </c>
      <c r="H64" s="891">
        <f>'OR13-分公司财务管理'!AO9</f>
        <v>2</v>
      </c>
      <c r="I64" s="891">
        <f>'OR13-分公司财务管理'!AU9</f>
        <v>2</v>
      </c>
      <c r="J64" s="891">
        <f>'OR13-分公司财务管理'!BA9</f>
        <v>2</v>
      </c>
      <c r="K64" s="891">
        <f>'OR13-分公司财务管理'!BG9</f>
        <v>2</v>
      </c>
      <c r="L64" s="891">
        <f>'OR13-分公司财务管理'!BM9</f>
        <v>0</v>
      </c>
      <c r="M64" s="891">
        <f>'OR13-分公司财务管理'!BS9</f>
        <v>2</v>
      </c>
      <c r="N64" s="891">
        <f>'OR13-分公司财务管理'!BY9</f>
        <v>2</v>
      </c>
      <c r="O64" s="890" t="s">
        <v>1798</v>
      </c>
    </row>
    <row r="65" spans="1:15" ht="14.25">
      <c r="A65" s="1592"/>
      <c r="B65" s="886" t="s">
        <v>1782</v>
      </c>
      <c r="C65" s="887">
        <f t="shared" si="4"/>
        <v>2.2222222222222223E-2</v>
      </c>
      <c r="D65" s="888">
        <v>2</v>
      </c>
      <c r="E65" s="891">
        <f>'OR13-分公司财务管理'!W12</f>
        <v>2</v>
      </c>
      <c r="F65" s="891">
        <f>'OR13-分公司财务管理'!AC12</f>
        <v>2</v>
      </c>
      <c r="G65" s="891">
        <f>'OR13-分公司财务管理'!AI12</f>
        <v>2</v>
      </c>
      <c r="H65" s="891">
        <f>'OR13-分公司财务管理'!AO12</f>
        <v>2</v>
      </c>
      <c r="I65" s="891">
        <f>'OR13-分公司财务管理'!AU12</f>
        <v>2</v>
      </c>
      <c r="J65" s="891">
        <f>'OR13-分公司财务管理'!BA12</f>
        <v>2</v>
      </c>
      <c r="K65" s="891">
        <f>'OR13-分公司财务管理'!BG12</f>
        <v>2</v>
      </c>
      <c r="L65" s="891">
        <f>'OR13-分公司财务管理'!BM12</f>
        <v>2</v>
      </c>
      <c r="M65" s="891">
        <f>'OR13-分公司财务管理'!BS12</f>
        <v>2</v>
      </c>
      <c r="N65" s="891">
        <f>'OR13-分公司财务管理'!BY12</f>
        <v>2</v>
      </c>
      <c r="O65" s="890" t="s">
        <v>1798</v>
      </c>
    </row>
    <row r="66" spans="1:15" ht="14.25">
      <c r="A66" s="1592"/>
      <c r="B66" s="886" t="s">
        <v>1229</v>
      </c>
      <c r="C66" s="887">
        <f t="shared" si="4"/>
        <v>2.2222222222222223E-2</v>
      </c>
      <c r="D66" s="888">
        <v>2</v>
      </c>
      <c r="E66" s="891">
        <f>'OR13-分公司财务管理'!W15</f>
        <v>2</v>
      </c>
      <c r="F66" s="891">
        <f>'OR13-分公司财务管理'!AC15</f>
        <v>2</v>
      </c>
      <c r="G66" s="891">
        <f>'OR13-分公司财务管理'!AI15</f>
        <v>2</v>
      </c>
      <c r="H66" s="891">
        <f>'OR13-分公司财务管理'!AO15</f>
        <v>2</v>
      </c>
      <c r="I66" s="891">
        <f>'OR13-分公司财务管理'!AU15</f>
        <v>2</v>
      </c>
      <c r="J66" s="891">
        <f>'OR13-分公司财务管理'!BA15</f>
        <v>2</v>
      </c>
      <c r="K66" s="891">
        <f>'OR13-分公司财务管理'!BG15</f>
        <v>2</v>
      </c>
      <c r="L66" s="891">
        <f>'OR13-分公司财务管理'!BM15</f>
        <v>2</v>
      </c>
      <c r="M66" s="891">
        <f>'OR13-分公司财务管理'!BS15</f>
        <v>2</v>
      </c>
      <c r="N66" s="891">
        <f>'OR13-分公司财务管理'!BY15</f>
        <v>2</v>
      </c>
      <c r="O66" s="890" t="s">
        <v>1798</v>
      </c>
    </row>
    <row r="67" spans="1:15" ht="14.25">
      <c r="A67" s="1592"/>
      <c r="B67" s="886" t="s">
        <v>1111</v>
      </c>
      <c r="C67" s="887">
        <f t="shared" si="4"/>
        <v>2.2222222222222223E-2</v>
      </c>
      <c r="D67" s="888">
        <v>2</v>
      </c>
      <c r="E67" s="891">
        <f>'OR13-分公司财务管理'!W16</f>
        <v>2</v>
      </c>
      <c r="F67" s="891">
        <f>'OR13-分公司财务管理'!AC16</f>
        <v>2</v>
      </c>
      <c r="G67" s="891">
        <f>'OR13-分公司财务管理'!AI16</f>
        <v>2</v>
      </c>
      <c r="H67" s="891">
        <f>'OR13-分公司财务管理'!AO16</f>
        <v>2</v>
      </c>
      <c r="I67" s="891">
        <f>'OR13-分公司财务管理'!AU16</f>
        <v>2</v>
      </c>
      <c r="J67" s="891">
        <f>'OR13-分公司财务管理'!BA16</f>
        <v>2</v>
      </c>
      <c r="K67" s="891">
        <f>'OR13-分公司财务管理'!BG16</f>
        <v>2</v>
      </c>
      <c r="L67" s="891">
        <f>'OR13-分公司财务管理'!BM16</f>
        <v>2</v>
      </c>
      <c r="M67" s="891">
        <f>'OR13-分公司财务管理'!BS16</f>
        <v>2</v>
      </c>
      <c r="N67" s="891">
        <f>'OR13-分公司财务管理'!BY16</f>
        <v>2</v>
      </c>
      <c r="O67" s="890" t="s">
        <v>1798</v>
      </c>
    </row>
    <row r="68" spans="1:15" ht="14.25">
      <c r="A68" s="1592"/>
      <c r="B68" s="886" t="s">
        <v>1783</v>
      </c>
      <c r="C68" s="887">
        <f t="shared" si="4"/>
        <v>2.2222222222222223E-2</v>
      </c>
      <c r="D68" s="888">
        <v>4</v>
      </c>
      <c r="E68" s="891">
        <f>'OR13-分公司财务管理'!W17</f>
        <v>4</v>
      </c>
      <c r="F68" s="891">
        <f>'OR13-分公司财务管理'!AC17</f>
        <v>4</v>
      </c>
      <c r="G68" s="891">
        <f>'OR13-分公司财务管理'!AI17</f>
        <v>4</v>
      </c>
      <c r="H68" s="891">
        <f>'OR13-分公司财务管理'!AO17</f>
        <v>4</v>
      </c>
      <c r="I68" s="891">
        <f>'OR13-分公司财务管理'!AU17</f>
        <v>4</v>
      </c>
      <c r="J68" s="891">
        <f>'OR13-分公司财务管理'!BA17</f>
        <v>4</v>
      </c>
      <c r="K68" s="891">
        <f>'OR13-分公司财务管理'!BG17</f>
        <v>4</v>
      </c>
      <c r="L68" s="891">
        <f>'OR13-分公司财务管理'!BM17</f>
        <v>4</v>
      </c>
      <c r="M68" s="891">
        <f>'OR13-分公司财务管理'!BS17</f>
        <v>4</v>
      </c>
      <c r="N68" s="891">
        <f>'OR13-分公司财务管理'!BY17</f>
        <v>4</v>
      </c>
      <c r="O68" s="890" t="s">
        <v>1798</v>
      </c>
    </row>
    <row r="69" spans="1:15" ht="14.25">
      <c r="A69" s="1592"/>
      <c r="B69" s="886" t="s">
        <v>1239</v>
      </c>
      <c r="C69" s="735"/>
      <c r="D69" s="888"/>
      <c r="E69" s="1828">
        <f>'OR13-分公司财务管理'!V20</f>
        <v>0</v>
      </c>
      <c r="F69" s="1828">
        <f>'OR13-分公司财务管理'!AB17</f>
        <v>0</v>
      </c>
      <c r="G69" s="1829">
        <f>'OR13-分公司财务管理'!AH17</f>
        <v>0</v>
      </c>
      <c r="H69" s="1828">
        <f>'OR13-分公司财务管理'!AN20</f>
        <v>0</v>
      </c>
      <c r="I69" s="1828">
        <f>'OR13-分公司财务管理'!AT20</f>
        <v>0</v>
      </c>
      <c r="J69" s="1828">
        <f>'OR13-分公司财务管理'!AZ20</f>
        <v>0</v>
      </c>
      <c r="K69" s="1828">
        <f>'OR13-分公司财务管理'!BF20</f>
        <v>0</v>
      </c>
      <c r="L69" s="1828">
        <f>'OR13-分公司财务管理'!BL20</f>
        <v>0</v>
      </c>
      <c r="M69" s="1828">
        <f>'OR13-分公司财务管理'!BR20</f>
        <v>0</v>
      </c>
      <c r="N69" s="1828">
        <f>'OR13-分公司财务管理'!BX20</f>
        <v>0</v>
      </c>
      <c r="O69" s="890" t="s">
        <v>1803</v>
      </c>
    </row>
    <row r="70" spans="1:15" ht="14.25">
      <c r="A70" s="1592"/>
      <c r="B70" s="886" t="s">
        <v>1242</v>
      </c>
      <c r="C70" s="735"/>
      <c r="D70" s="888"/>
      <c r="E70" s="1828">
        <f>'OR13-分公司财务管理'!V21</f>
        <v>0</v>
      </c>
      <c r="F70" s="1828">
        <f>'OR13-分公司财务管理'!AB18</f>
        <v>0</v>
      </c>
      <c r="G70" s="1829">
        <f>'OR13-分公司财务管理'!AH18</f>
        <v>0</v>
      </c>
      <c r="H70" s="1828">
        <f>'OR13-分公司财务管理'!AN21</f>
        <v>0</v>
      </c>
      <c r="I70" s="1828">
        <f>'OR13-分公司财务管理'!AT21</f>
        <v>0</v>
      </c>
      <c r="J70" s="1828">
        <f>'OR13-分公司财务管理'!AZ21</f>
        <v>0</v>
      </c>
      <c r="K70" s="1828">
        <f>'OR13-分公司财务管理'!BF21</f>
        <v>0</v>
      </c>
      <c r="L70" s="1828">
        <f>'OR13-分公司财务管理'!BL21</f>
        <v>0</v>
      </c>
      <c r="M70" s="1828">
        <f>'OR13-分公司财务管理'!BR21</f>
        <v>0</v>
      </c>
      <c r="N70" s="1828">
        <f>'OR13-分公司财务管理'!BX21</f>
        <v>0</v>
      </c>
      <c r="O70" s="890" t="s">
        <v>1802</v>
      </c>
    </row>
    <row r="71" spans="1:15" ht="14.25">
      <c r="A71" s="1592"/>
      <c r="B71" s="886"/>
      <c r="C71" s="892">
        <f t="shared" si="4"/>
        <v>2.2222222222222223E-2</v>
      </c>
      <c r="D71" s="888">
        <v>6</v>
      </c>
      <c r="E71" s="891">
        <f>'OR13-分公司财务管理'!W20</f>
        <v>6</v>
      </c>
      <c r="F71" s="891">
        <f>'OR13-分公司财务管理'!AC20</f>
        <v>6</v>
      </c>
      <c r="G71" s="891">
        <f>'OR13-分公司财务管理'!AI20</f>
        <v>6</v>
      </c>
      <c r="H71" s="891">
        <f>'OR13-分公司财务管理'!AO20</f>
        <v>6</v>
      </c>
      <c r="I71" s="891">
        <f>'OR13-分公司财务管理'!AU20</f>
        <v>6</v>
      </c>
      <c r="J71" s="891">
        <f>'OR13-分公司财务管理'!BA20</f>
        <v>6</v>
      </c>
      <c r="K71" s="891">
        <f>'OR13-分公司财务管理'!BG20</f>
        <v>6</v>
      </c>
      <c r="L71" s="891">
        <f>'OR13-分公司财务管理'!BM20</f>
        <v>6</v>
      </c>
      <c r="M71" s="891">
        <f>'OR13-分公司财务管理'!BS20</f>
        <v>6</v>
      </c>
      <c r="N71" s="891">
        <f>'OR13-分公司财务管理'!BY20</f>
        <v>6</v>
      </c>
      <c r="O71" s="890" t="s">
        <v>1798</v>
      </c>
    </row>
    <row r="72" spans="1:15" ht="14.25">
      <c r="A72" s="1592"/>
      <c r="B72" s="886" t="s">
        <v>131</v>
      </c>
      <c r="C72" s="887">
        <f t="shared" si="4"/>
        <v>2.2222222222222223E-2</v>
      </c>
      <c r="D72" s="888">
        <v>1</v>
      </c>
      <c r="E72" s="891">
        <f>'OR13-分公司财务管理'!W22</f>
        <v>1</v>
      </c>
      <c r="F72" s="891">
        <f>'OR13-分公司财务管理'!AC22</f>
        <v>1</v>
      </c>
      <c r="G72" s="891">
        <f>'OR13-分公司财务管理'!AI22</f>
        <v>1</v>
      </c>
      <c r="H72" s="891">
        <f>'OR13-分公司财务管理'!AO22</f>
        <v>1</v>
      </c>
      <c r="I72" s="891">
        <f>'OR13-分公司财务管理'!AU22</f>
        <v>0</v>
      </c>
      <c r="J72" s="891">
        <f>'OR13-分公司财务管理'!BA22</f>
        <v>1</v>
      </c>
      <c r="K72" s="891">
        <f>'OR13-分公司财务管理'!BG22</f>
        <v>1</v>
      </c>
      <c r="L72" s="891">
        <f>'OR13-分公司财务管理'!BM22</f>
        <v>1</v>
      </c>
      <c r="M72" s="891">
        <f>'OR13-分公司财务管理'!BS22</f>
        <v>1</v>
      </c>
      <c r="N72" s="891">
        <f>'OR13-分公司财务管理'!BY22</f>
        <v>1</v>
      </c>
      <c r="O72" s="890" t="s">
        <v>1798</v>
      </c>
    </row>
    <row r="73" spans="1:15" ht="14.25">
      <c r="A73" s="1592"/>
      <c r="B73" s="886" t="s">
        <v>1247</v>
      </c>
      <c r="C73" s="887">
        <f t="shared" si="4"/>
        <v>2.2222222222222223E-2</v>
      </c>
      <c r="D73" s="888">
        <v>3</v>
      </c>
      <c r="E73" s="891">
        <f>'OR13-分公司财务管理'!W23</f>
        <v>3</v>
      </c>
      <c r="F73" s="891">
        <f>'OR13-分公司财务管理'!AC23</f>
        <v>3</v>
      </c>
      <c r="G73" s="891">
        <f>'OR13-分公司财务管理'!AI23</f>
        <v>3</v>
      </c>
      <c r="H73" s="891">
        <f>'OR13-分公司财务管理'!AO23</f>
        <v>3</v>
      </c>
      <c r="I73" s="891">
        <f>'OR13-分公司财务管理'!AU23</f>
        <v>3</v>
      </c>
      <c r="J73" s="891">
        <f>'OR13-分公司财务管理'!BA23</f>
        <v>3</v>
      </c>
      <c r="K73" s="891">
        <f>'OR13-分公司财务管理'!BG23</f>
        <v>3</v>
      </c>
      <c r="L73" s="891">
        <f>'OR13-分公司财务管理'!BM23</f>
        <v>3</v>
      </c>
      <c r="M73" s="891">
        <f>'OR13-分公司财务管理'!BS23</f>
        <v>3</v>
      </c>
      <c r="N73" s="891">
        <f>'OR13-分公司财务管理'!BY23</f>
        <v>3</v>
      </c>
      <c r="O73" s="890" t="s">
        <v>1798</v>
      </c>
    </row>
    <row r="74" spans="1:15" ht="14.25">
      <c r="A74" s="1592"/>
      <c r="B74" s="886" t="s">
        <v>1253</v>
      </c>
      <c r="C74" s="887">
        <f t="shared" si="4"/>
        <v>2.2222222222222223E-2</v>
      </c>
      <c r="D74" s="888">
        <v>3</v>
      </c>
      <c r="E74" s="891">
        <f>'OR13-分公司财务管理'!W28</f>
        <v>3</v>
      </c>
      <c r="F74" s="891">
        <f>'OR13-分公司财务管理'!AC28</f>
        <v>3</v>
      </c>
      <c r="G74" s="891">
        <f>'OR13-分公司财务管理'!AI28</f>
        <v>3</v>
      </c>
      <c r="H74" s="891">
        <f>'OR13-分公司财务管理'!AO28</f>
        <v>3</v>
      </c>
      <c r="I74" s="891">
        <f>'OR13-分公司财务管理'!AU28</f>
        <v>3</v>
      </c>
      <c r="J74" s="891">
        <f>'OR13-分公司财务管理'!BA28</f>
        <v>3</v>
      </c>
      <c r="K74" s="891">
        <f>'OR13-分公司财务管理'!BG28</f>
        <v>3</v>
      </c>
      <c r="L74" s="891">
        <f>'OR13-分公司财务管理'!BM28</f>
        <v>3</v>
      </c>
      <c r="M74" s="891">
        <f>'OR13-分公司财务管理'!BS28</f>
        <v>3</v>
      </c>
      <c r="N74" s="891">
        <f>'OR13-分公司财务管理'!BY28</f>
        <v>3</v>
      </c>
      <c r="O74" s="890" t="s">
        <v>1798</v>
      </c>
    </row>
    <row r="75" spans="1:15" ht="14.25">
      <c r="A75" s="1592"/>
      <c r="B75" s="886" t="s">
        <v>1256</v>
      </c>
      <c r="C75" s="887">
        <f t="shared" si="4"/>
        <v>2.2222222222222223E-2</v>
      </c>
      <c r="D75" s="888">
        <v>3</v>
      </c>
      <c r="E75" s="891">
        <f>'OR13-分公司财务管理'!W32</f>
        <v>3</v>
      </c>
      <c r="F75" s="891">
        <f>'OR13-分公司财务管理'!AC32</f>
        <v>3</v>
      </c>
      <c r="G75" s="891">
        <f>'OR13-分公司财务管理'!AI32</f>
        <v>3</v>
      </c>
      <c r="H75" s="891">
        <f>'OR13-分公司财务管理'!AO32</f>
        <v>3</v>
      </c>
      <c r="I75" s="891">
        <f>'OR13-分公司财务管理'!AU32</f>
        <v>3</v>
      </c>
      <c r="J75" s="891">
        <f>'OR13-分公司财务管理'!BA32</f>
        <v>3</v>
      </c>
      <c r="K75" s="891">
        <f>'OR13-分公司财务管理'!BG32</f>
        <v>3</v>
      </c>
      <c r="L75" s="891">
        <f>'OR13-分公司财务管理'!BM32</f>
        <v>3</v>
      </c>
      <c r="M75" s="891">
        <f>'OR13-分公司财务管理'!BS32</f>
        <v>3</v>
      </c>
      <c r="N75" s="891">
        <f>'OR13-分公司财务管理'!BY32</f>
        <v>3</v>
      </c>
      <c r="O75" s="890" t="s">
        <v>1798</v>
      </c>
    </row>
    <row r="76" spans="1:15" ht="14.25">
      <c r="A76" s="1592"/>
      <c r="B76" s="886" t="s">
        <v>1676</v>
      </c>
      <c r="C76" s="893"/>
      <c r="D76" s="888"/>
      <c r="E76" s="1828">
        <f>'OR13-分公司财务管理'!V35</f>
        <v>0</v>
      </c>
      <c r="F76" s="1828">
        <f>'OR13-分公司财务管理'!AB35</f>
        <v>0</v>
      </c>
      <c r="G76" s="1828">
        <f>'OR13-分公司财务管理'!AH35</f>
        <v>0</v>
      </c>
      <c r="H76" s="1828">
        <f>'OR13-分公司财务管理'!AN35</f>
        <v>0</v>
      </c>
      <c r="I76" s="1828">
        <f>'OR13-分公司财务管理'!AT35</f>
        <v>0</v>
      </c>
      <c r="J76" s="1828">
        <f>'OR13-分公司财务管理'!AZ35</f>
        <v>0</v>
      </c>
      <c r="K76" s="1828">
        <f>'OR13-分公司财务管理'!BF35</f>
        <v>0</v>
      </c>
      <c r="L76" s="1828">
        <f>'OR13-分公司财务管理'!BL35</f>
        <v>0</v>
      </c>
      <c r="M76" s="1828">
        <f>'OR13-分公司财务管理'!BR35</f>
        <v>0</v>
      </c>
      <c r="N76" s="1828">
        <f>'OR13-分公司财务管理'!BX35</f>
        <v>0</v>
      </c>
      <c r="O76" s="890" t="s">
        <v>1803</v>
      </c>
    </row>
    <row r="77" spans="1:15" ht="14.25">
      <c r="A77" s="1592"/>
      <c r="B77" s="886" t="s">
        <v>1785</v>
      </c>
      <c r="C77" s="893"/>
      <c r="D77" s="888"/>
      <c r="E77" s="1828">
        <f>'OR13-分公司财务管理'!V36</f>
        <v>0</v>
      </c>
      <c r="F77" s="1828">
        <f>'OR13-分公司财务管理'!AB36</f>
        <v>0</v>
      </c>
      <c r="G77" s="1828">
        <f>'OR13-分公司财务管理'!AH36</f>
        <v>0</v>
      </c>
      <c r="H77" s="1828">
        <f>'OR13-分公司财务管理'!AN36</f>
        <v>0</v>
      </c>
      <c r="I77" s="1828">
        <f>'OR13-分公司财务管理'!AT36</f>
        <v>0</v>
      </c>
      <c r="J77" s="1828">
        <f>'OR13-分公司财务管理'!AZ36</f>
        <v>0</v>
      </c>
      <c r="K77" s="1828">
        <f>'OR13-分公司财务管理'!BF36</f>
        <v>0</v>
      </c>
      <c r="L77" s="1828">
        <f>'OR13-分公司财务管理'!BL36</f>
        <v>0</v>
      </c>
      <c r="M77" s="1828">
        <f>'OR13-分公司财务管理'!BR36</f>
        <v>0</v>
      </c>
      <c r="N77" s="1828">
        <f>'OR13-分公司财务管理'!BX36</f>
        <v>0</v>
      </c>
      <c r="O77" s="890" t="s">
        <v>1802</v>
      </c>
    </row>
    <row r="78" spans="1:15" ht="14.25">
      <c r="A78" s="1592"/>
      <c r="B78" s="886"/>
      <c r="C78" s="892">
        <f t="shared" si="4"/>
        <v>2.2222222222222223E-2</v>
      </c>
      <c r="D78" s="888">
        <v>10</v>
      </c>
      <c r="E78" s="1830">
        <f>'OR13-分公司财务管理'!W35</f>
        <v>10</v>
      </c>
      <c r="F78" s="1830">
        <f>'OR13-分公司财务管理'!AC35</f>
        <v>10</v>
      </c>
      <c r="G78" s="1830">
        <f>'OR13-分公司财务管理'!AI35</f>
        <v>10</v>
      </c>
      <c r="H78" s="1830">
        <f>'OR13-分公司财务管理'!AO35</f>
        <v>10</v>
      </c>
      <c r="I78" s="1830">
        <f>'OR13-分公司财务管理'!AU35</f>
        <v>10</v>
      </c>
      <c r="J78" s="1830">
        <f>'OR13-分公司财务管理'!BA35</f>
        <v>10</v>
      </c>
      <c r="K78" s="1830">
        <f>'OR13-分公司财务管理'!BG35</f>
        <v>10</v>
      </c>
      <c r="L78" s="1830">
        <f>'OR13-分公司财务管理'!BM35</f>
        <v>10</v>
      </c>
      <c r="M78" s="1830">
        <f>'OR13-分公司财务管理'!BS35</f>
        <v>10</v>
      </c>
      <c r="N78" s="1830">
        <f>'OR13-分公司财务管理'!BY35</f>
        <v>10</v>
      </c>
      <c r="O78" s="890" t="s">
        <v>1798</v>
      </c>
    </row>
    <row r="79" spans="1:15" ht="14.25">
      <c r="A79" s="1592"/>
      <c r="B79" s="886" t="s">
        <v>1786</v>
      </c>
      <c r="C79" s="887">
        <f t="shared" si="4"/>
        <v>2.2222222222222223E-2</v>
      </c>
      <c r="D79" s="888">
        <v>3</v>
      </c>
      <c r="E79" s="891">
        <f>'OR13-分公司财务管理'!W37</f>
        <v>3</v>
      </c>
      <c r="F79" s="891">
        <f>'OR13-分公司财务管理'!AC37</f>
        <v>3</v>
      </c>
      <c r="G79" s="891">
        <f>'OR13-分公司财务管理'!AI37</f>
        <v>3</v>
      </c>
      <c r="H79" s="891">
        <f>'OR13-分公司财务管理'!AO37</f>
        <v>3</v>
      </c>
      <c r="I79" s="891">
        <f>'OR13-分公司财务管理'!AU37</f>
        <v>3</v>
      </c>
      <c r="J79" s="891">
        <f>'OR13-分公司财务管理'!BA37</f>
        <v>3</v>
      </c>
      <c r="K79" s="891">
        <f>'OR13-分公司财务管理'!BG37</f>
        <v>3</v>
      </c>
      <c r="L79" s="891">
        <f>'OR13-分公司财务管理'!BM37</f>
        <v>3</v>
      </c>
      <c r="M79" s="891">
        <f>'OR13-分公司财务管理'!BS37</f>
        <v>3</v>
      </c>
      <c r="N79" s="891">
        <f>'OR13-分公司财务管理'!BY37</f>
        <v>3</v>
      </c>
      <c r="O79" s="890" t="s">
        <v>1798</v>
      </c>
    </row>
    <row r="80" spans="1:15" ht="14.25">
      <c r="A80" s="1592"/>
      <c r="B80" s="886" t="s">
        <v>2044</v>
      </c>
      <c r="C80" s="887"/>
      <c r="D80" s="888"/>
      <c r="E80" s="1828">
        <f>'OR13-分公司财务管理'!V38</f>
        <v>0</v>
      </c>
      <c r="F80" s="1828">
        <f>'OR13-分公司财务管理'!AB38</f>
        <v>0</v>
      </c>
      <c r="G80" s="1828">
        <f>'OR13-分公司财务管理'!AH38</f>
        <v>0</v>
      </c>
      <c r="H80" s="1828">
        <f>'OR13-分公司财务管理'!AN38</f>
        <v>1</v>
      </c>
      <c r="I80" s="1828">
        <f>'OR13-分公司财务管理'!AT38</f>
        <v>0</v>
      </c>
      <c r="J80" s="1828">
        <f>'OR13-分公司财务管理'!AZ38</f>
        <v>0</v>
      </c>
      <c r="K80" s="1828">
        <f>'OR13-分公司财务管理'!BF38</f>
        <v>0</v>
      </c>
      <c r="L80" s="1828">
        <f>'OR13-分公司财务管理'!BL38</f>
        <v>0</v>
      </c>
      <c r="M80" s="1828">
        <f>'OR13-分公司财务管理'!BR38</f>
        <v>0</v>
      </c>
      <c r="N80" s="1828">
        <f>'OR13-分公司财务管理'!BX38</f>
        <v>0</v>
      </c>
      <c r="O80" s="890" t="s">
        <v>1802</v>
      </c>
    </row>
    <row r="81" spans="1:17" ht="14.25">
      <c r="A81" s="1592"/>
      <c r="B81" s="886" t="s">
        <v>1787</v>
      </c>
      <c r="C81" s="893"/>
      <c r="D81" s="888"/>
      <c r="E81" s="1828">
        <f>'OR13-分公司财务管理'!V39</f>
        <v>0</v>
      </c>
      <c r="F81" s="1828">
        <f>'OR13-分公司财务管理'!AB39</f>
        <v>0</v>
      </c>
      <c r="G81" s="1828">
        <f>'OR13-分公司财务管理'!AH39</f>
        <v>0</v>
      </c>
      <c r="H81" s="1828">
        <f>'OR13-分公司财务管理'!AN39</f>
        <v>0</v>
      </c>
      <c r="I81" s="1828">
        <f>'OR13-分公司财务管理'!AT39</f>
        <v>0</v>
      </c>
      <c r="J81" s="1828">
        <f>'OR13-分公司财务管理'!AZ39</f>
        <v>0</v>
      </c>
      <c r="K81" s="1828">
        <f>'OR13-分公司财务管理'!BF39</f>
        <v>0</v>
      </c>
      <c r="L81" s="1828">
        <f>'OR13-分公司财务管理'!BL39</f>
        <v>0</v>
      </c>
      <c r="M81" s="1828">
        <f>'OR13-分公司财务管理'!BR39</f>
        <v>0</v>
      </c>
      <c r="N81" s="1828">
        <f>'OR13-分公司财务管理'!BX39</f>
        <v>0</v>
      </c>
      <c r="O81" s="890" t="s">
        <v>1803</v>
      </c>
    </row>
    <row r="82" spans="1:17" ht="14.25">
      <c r="A82" s="1592"/>
      <c r="B82" s="886"/>
      <c r="C82" s="892">
        <f t="shared" si="4"/>
        <v>2.2222222222222223E-2</v>
      </c>
      <c r="D82" s="888">
        <v>12</v>
      </c>
      <c r="E82" s="1830">
        <f>'OR13-分公司财务管理'!W38</f>
        <v>12</v>
      </c>
      <c r="F82" s="1830">
        <f>'OR13-分公司财务管理'!AC38</f>
        <v>12</v>
      </c>
      <c r="G82" s="1830">
        <f>'OR13-分公司财务管理'!AI38</f>
        <v>12</v>
      </c>
      <c r="H82" s="1830">
        <f>'OR13-分公司财务管理'!AO38</f>
        <v>9</v>
      </c>
      <c r="I82" s="1830">
        <f>'OR13-分公司财务管理'!AU38</f>
        <v>12</v>
      </c>
      <c r="J82" s="1830">
        <f>'OR13-分公司财务管理'!BA38</f>
        <v>12</v>
      </c>
      <c r="K82" s="1830">
        <f>'OR13-分公司财务管理'!BG38</f>
        <v>12</v>
      </c>
      <c r="L82" s="1830">
        <f>'OR13-分公司财务管理'!BM38</f>
        <v>12</v>
      </c>
      <c r="M82" s="1830">
        <f>'OR13-分公司财务管理'!BS38</f>
        <v>12</v>
      </c>
      <c r="N82" s="1830">
        <f>'OR13-分公司财务管理'!BY38</f>
        <v>12</v>
      </c>
      <c r="O82" s="890" t="s">
        <v>1798</v>
      </c>
    </row>
    <row r="83" spans="1:17" ht="14.25">
      <c r="A83" s="1592"/>
      <c r="B83" s="886" t="s">
        <v>1788</v>
      </c>
      <c r="C83" s="887">
        <f t="shared" si="4"/>
        <v>2.2222222222222223E-2</v>
      </c>
      <c r="D83" s="888">
        <v>2</v>
      </c>
      <c r="E83" s="891">
        <f>'OR13-分公司财务管理'!W40</f>
        <v>2</v>
      </c>
      <c r="F83" s="891">
        <f>'OR13-分公司财务管理'!AC40</f>
        <v>2</v>
      </c>
      <c r="G83" s="891">
        <f>'OR13-分公司财务管理'!AI40</f>
        <v>2</v>
      </c>
      <c r="H83" s="891">
        <f>'OR13-分公司财务管理'!AO40</f>
        <v>2</v>
      </c>
      <c r="I83" s="891">
        <f>'OR13-分公司财务管理'!AU40</f>
        <v>2</v>
      </c>
      <c r="J83" s="891">
        <f>'OR13-分公司财务管理'!BA40</f>
        <v>0</v>
      </c>
      <c r="K83" s="891">
        <f>'OR13-分公司财务管理'!BG40</f>
        <v>2</v>
      </c>
      <c r="L83" s="891">
        <f>'OR13-分公司财务管理'!BM40</f>
        <v>2</v>
      </c>
      <c r="M83" s="891">
        <f>'OR13-分公司财务管理'!BS40</f>
        <v>2</v>
      </c>
      <c r="N83" s="891">
        <f>'OR13-分公司财务管理'!BY40</f>
        <v>2</v>
      </c>
      <c r="O83" s="890" t="s">
        <v>1798</v>
      </c>
    </row>
    <row r="84" spans="1:17" ht="14.25">
      <c r="A84" s="1592"/>
      <c r="B84" s="886" t="s">
        <v>1265</v>
      </c>
      <c r="C84" s="887">
        <f t="shared" si="4"/>
        <v>2.2222222222222223E-2</v>
      </c>
      <c r="D84" s="888">
        <v>2</v>
      </c>
      <c r="E84" s="891">
        <f>'OR13-分公司财务管理'!W43</f>
        <v>2</v>
      </c>
      <c r="F84" s="891">
        <f>'OR13-分公司财务管理'!AC43</f>
        <v>2</v>
      </c>
      <c r="G84" s="891">
        <f>'OR13-分公司财务管理'!AI43</f>
        <v>2</v>
      </c>
      <c r="H84" s="891">
        <f>'OR13-分公司财务管理'!AO43</f>
        <v>2</v>
      </c>
      <c r="I84" s="891">
        <f>'OR13-分公司财务管理'!AU43</f>
        <v>2</v>
      </c>
      <c r="J84" s="891">
        <f>'OR13-分公司财务管理'!BA43</f>
        <v>2</v>
      </c>
      <c r="K84" s="891">
        <f>'OR13-分公司财务管理'!BG43</f>
        <v>2</v>
      </c>
      <c r="L84" s="891">
        <f>'OR13-分公司财务管理'!BM43</f>
        <v>2</v>
      </c>
      <c r="M84" s="891">
        <f>'OR13-分公司财务管理'!BS43</f>
        <v>2</v>
      </c>
      <c r="N84" s="891">
        <f>'OR13-分公司财务管理'!BY43</f>
        <v>2</v>
      </c>
      <c r="O84" s="890" t="s">
        <v>1798</v>
      </c>
    </row>
    <row r="85" spans="1:17" ht="14.25">
      <c r="A85" s="1592"/>
      <c r="B85" s="886" t="s">
        <v>1267</v>
      </c>
      <c r="C85" s="894"/>
      <c r="D85" s="888"/>
      <c r="E85" s="1828">
        <f>'OR13-分公司财务管理'!V46</f>
        <v>0</v>
      </c>
      <c r="F85" s="1828">
        <f>'OR13-分公司财务管理'!AB46</f>
        <v>0</v>
      </c>
      <c r="G85" s="1828">
        <f>'OR13-分公司财务管理'!AH46</f>
        <v>0</v>
      </c>
      <c r="H85" s="1828">
        <f>'OR13-分公司财务管理'!AN46</f>
        <v>0</v>
      </c>
      <c r="I85" s="1828">
        <f>'OR13-分公司财务管理'!AT46</f>
        <v>0</v>
      </c>
      <c r="J85" s="1828">
        <f>'OR13-分公司财务管理'!AZ46</f>
        <v>0</v>
      </c>
      <c r="K85" s="1828">
        <f>'OR13-分公司财务管理'!BF46</f>
        <v>0</v>
      </c>
      <c r="L85" s="1828">
        <f>'OR13-分公司财务管理'!BL46</f>
        <v>0</v>
      </c>
      <c r="M85" s="1828">
        <f>'OR13-分公司财务管理'!BR46</f>
        <v>0</v>
      </c>
      <c r="N85" s="1828">
        <f>'OR13-分公司财务管理'!BX46</f>
        <v>0</v>
      </c>
      <c r="O85" s="890" t="s">
        <v>1803</v>
      </c>
    </row>
    <row r="86" spans="1:17" ht="14.25">
      <c r="A86" s="1592"/>
      <c r="B86" s="886" t="s">
        <v>1853</v>
      </c>
      <c r="C86" s="894"/>
      <c r="D86" s="888"/>
      <c r="E86" s="1828">
        <f>'OR13-分公司财务管理'!V47</f>
        <v>0</v>
      </c>
      <c r="F86" s="1828">
        <f>'OR13-分公司财务管理'!AB47</f>
        <v>0</v>
      </c>
      <c r="G86" s="1828">
        <f>'OR13-分公司财务管理'!AH47</f>
        <v>0</v>
      </c>
      <c r="H86" s="1828">
        <f>'OR13-分公司财务管理'!AN47</f>
        <v>0</v>
      </c>
      <c r="I86" s="1828">
        <f>'OR13-分公司财务管理'!AT47</f>
        <v>0</v>
      </c>
      <c r="J86" s="1828">
        <f>'OR13-分公司财务管理'!AZ47</f>
        <v>0</v>
      </c>
      <c r="K86" s="1828">
        <f>'OR13-分公司财务管理'!BF47</f>
        <v>0</v>
      </c>
      <c r="L86" s="1828">
        <f>'OR13-分公司财务管理'!BL47</f>
        <v>0</v>
      </c>
      <c r="M86" s="1828">
        <f>'OR13-分公司财务管理'!BR47</f>
        <v>0</v>
      </c>
      <c r="N86" s="1828">
        <f>'OR13-分公司财务管理'!BX47</f>
        <v>0</v>
      </c>
      <c r="O86" s="890"/>
    </row>
    <row r="87" spans="1:17" ht="14.25">
      <c r="A87" s="1592"/>
      <c r="B87" s="886"/>
      <c r="C87" s="892">
        <f t="shared" si="4"/>
        <v>2.2222222222222223E-2</v>
      </c>
      <c r="D87" s="888">
        <v>6</v>
      </c>
      <c r="E87" s="890">
        <v>6</v>
      </c>
      <c r="F87" s="890">
        <v>6</v>
      </c>
      <c r="G87" s="890">
        <v>6</v>
      </c>
      <c r="H87" s="890">
        <v>6</v>
      </c>
      <c r="I87" s="890">
        <v>6</v>
      </c>
      <c r="J87" s="890">
        <v>6</v>
      </c>
      <c r="K87" s="890">
        <v>6</v>
      </c>
      <c r="L87" s="890">
        <v>6</v>
      </c>
      <c r="M87" s="890">
        <v>6</v>
      </c>
      <c r="N87" s="890">
        <v>6</v>
      </c>
      <c r="O87" s="890" t="s">
        <v>1798</v>
      </c>
    </row>
    <row r="88" spans="1:17" ht="14.25">
      <c r="A88" s="1592"/>
      <c r="B88" s="1593" t="s">
        <v>1789</v>
      </c>
      <c r="C88" s="893"/>
      <c r="D88" s="888"/>
      <c r="E88" s="1828">
        <f>'OR13-分公司财务管理'!V48</f>
        <v>0</v>
      </c>
      <c r="F88" s="1828">
        <f>'OR13-分公司财务管理'!AB48</f>
        <v>0</v>
      </c>
      <c r="G88" s="1828">
        <f>'OR13-分公司财务管理'!AH48</f>
        <v>0</v>
      </c>
      <c r="H88" s="1828">
        <f>'OR13-分公司财务管理'!AN48</f>
        <v>0</v>
      </c>
      <c r="I88" s="1828">
        <f>'OR13-分公司财务管理'!AT48</f>
        <v>0</v>
      </c>
      <c r="J88" s="1828">
        <f>'OR13-分公司财务管理'!AZ48</f>
        <v>0</v>
      </c>
      <c r="K88" s="1828">
        <f>'OR13-分公司财务管理'!BF48</f>
        <v>0</v>
      </c>
      <c r="L88" s="1828">
        <f>'OR13-分公司财务管理'!BL48</f>
        <v>0</v>
      </c>
      <c r="M88" s="1828">
        <f>'OR13-分公司财务管理'!BR48</f>
        <v>0</v>
      </c>
      <c r="N88" s="1828">
        <f>'OR13-分公司财务管理'!BX48</f>
        <v>0</v>
      </c>
      <c r="O88" s="890" t="s">
        <v>1803</v>
      </c>
    </row>
    <row r="89" spans="1:17" ht="14.25">
      <c r="A89" s="1592"/>
      <c r="B89" s="1594"/>
      <c r="C89" s="892">
        <f t="shared" si="4"/>
        <v>2.2222222222222223E-2</v>
      </c>
      <c r="D89" s="888">
        <v>5</v>
      </c>
      <c r="E89" s="891">
        <f>'OR13-分公司财务管理'!W48</f>
        <v>5</v>
      </c>
      <c r="F89" s="891">
        <f>'OR13-分公司财务管理'!AC48</f>
        <v>5</v>
      </c>
      <c r="G89" s="891">
        <f>'OR13-分公司财务管理'!AI48</f>
        <v>5</v>
      </c>
      <c r="H89" s="891">
        <f>'OR13-分公司财务管理'!AO48</f>
        <v>5</v>
      </c>
      <c r="I89" s="891">
        <f>'OR13-分公司财务管理'!AU48</f>
        <v>5</v>
      </c>
      <c r="J89" s="891">
        <f>'OR13-分公司财务管理'!BA48</f>
        <v>5</v>
      </c>
      <c r="K89" s="891">
        <f>'OR13-分公司财务管理'!BG48</f>
        <v>5</v>
      </c>
      <c r="L89" s="891">
        <f>'OR13-分公司财务管理'!BM48</f>
        <v>5</v>
      </c>
      <c r="M89" s="891">
        <f>'OR13-分公司财务管理'!BS48</f>
        <v>5</v>
      </c>
      <c r="N89" s="891">
        <f>'OR13-分公司财务管理'!BY48</f>
        <v>5</v>
      </c>
      <c r="O89" s="890" t="s">
        <v>1798</v>
      </c>
    </row>
    <row r="90" spans="1:17" ht="14.25">
      <c r="A90" s="1592"/>
      <c r="B90" s="886" t="s">
        <v>1790</v>
      </c>
      <c r="C90" s="887">
        <f t="shared" si="4"/>
        <v>2.2222222222222223E-2</v>
      </c>
      <c r="D90" s="888">
        <v>0</v>
      </c>
      <c r="E90" s="895">
        <v>0</v>
      </c>
      <c r="F90" s="895">
        <v>0</v>
      </c>
      <c r="G90" s="895">
        <v>0</v>
      </c>
      <c r="H90" s="895">
        <v>0</v>
      </c>
      <c r="I90" s="895">
        <v>0</v>
      </c>
      <c r="J90" s="895">
        <v>0</v>
      </c>
      <c r="K90" s="895">
        <v>0</v>
      </c>
      <c r="L90" s="895">
        <v>0</v>
      </c>
      <c r="M90" s="895">
        <v>0</v>
      </c>
      <c r="N90" s="895">
        <v>0</v>
      </c>
      <c r="O90" s="890" t="s">
        <v>1805</v>
      </c>
    </row>
    <row r="91" spans="1:17" ht="14.25">
      <c r="A91" s="1592"/>
      <c r="B91" s="886" t="s">
        <v>1775</v>
      </c>
      <c r="C91" s="887">
        <f t="shared" si="4"/>
        <v>2.2222222222222223E-2</v>
      </c>
      <c r="D91" s="888">
        <v>3</v>
      </c>
      <c r="E91" s="891">
        <f>'OR13-分公司财务管理'!W50</f>
        <v>3</v>
      </c>
      <c r="F91" s="891">
        <f>'OR13-分公司财务管理'!AC50</f>
        <v>3</v>
      </c>
      <c r="G91" s="891">
        <f>'OR13-分公司财务管理'!AI50</f>
        <v>3</v>
      </c>
      <c r="H91" s="891">
        <f>'OR13-分公司财务管理'!AO50</f>
        <v>3</v>
      </c>
      <c r="I91" s="891">
        <f>'OR13-分公司财务管理'!AU50</f>
        <v>3</v>
      </c>
      <c r="J91" s="891">
        <f>'OR13-分公司财务管理'!BA50</f>
        <v>3</v>
      </c>
      <c r="K91" s="891">
        <f>'OR13-分公司财务管理'!BG50</f>
        <v>3</v>
      </c>
      <c r="L91" s="891">
        <f>'OR13-分公司财务管理'!BM50</f>
        <v>3</v>
      </c>
      <c r="M91" s="891">
        <f>'OR13-分公司财务管理'!BS50</f>
        <v>3</v>
      </c>
      <c r="N91" s="891">
        <f>'OR13-分公司财务管理'!BY50</f>
        <v>3</v>
      </c>
      <c r="O91" s="890" t="s">
        <v>1798</v>
      </c>
    </row>
    <row r="92" spans="1:17" ht="14.25">
      <c r="A92" s="1592"/>
      <c r="B92" s="886" t="s">
        <v>1776</v>
      </c>
      <c r="C92" s="887">
        <f t="shared" si="4"/>
        <v>2.2222222222222223E-2</v>
      </c>
      <c r="D92" s="888">
        <v>2</v>
      </c>
      <c r="E92" s="891">
        <f>'OR13-分公司财务管理'!W52</f>
        <v>2</v>
      </c>
      <c r="F92" s="891">
        <f>'OR13-分公司财务管理'!AC52</f>
        <v>2</v>
      </c>
      <c r="G92" s="891">
        <f>'OR13-分公司财务管理'!AI52</f>
        <v>2</v>
      </c>
      <c r="H92" s="891">
        <f>'OR13-分公司财务管理'!AO52</f>
        <v>2</v>
      </c>
      <c r="I92" s="891">
        <f>'OR13-分公司财务管理'!AU52</f>
        <v>2</v>
      </c>
      <c r="J92" s="891">
        <f>'OR13-分公司财务管理'!BA52</f>
        <v>2</v>
      </c>
      <c r="K92" s="891">
        <f>'OR13-分公司财务管理'!BG52</f>
        <v>2</v>
      </c>
      <c r="L92" s="891">
        <f>'OR13-分公司财务管理'!BM52</f>
        <v>2</v>
      </c>
      <c r="M92" s="891">
        <f>'OR13-分公司财务管理'!BS52</f>
        <v>2</v>
      </c>
      <c r="N92" s="891">
        <f>'OR13-分公司财务管理'!BY52</f>
        <v>2</v>
      </c>
      <c r="O92" s="890" t="s">
        <v>1798</v>
      </c>
    </row>
    <row r="93" spans="1:17" ht="14.25">
      <c r="A93" s="1592"/>
      <c r="B93" s="886" t="s">
        <v>1791</v>
      </c>
      <c r="C93" s="887">
        <f t="shared" si="4"/>
        <v>2.2222222222222223E-2</v>
      </c>
      <c r="D93" s="888">
        <v>10</v>
      </c>
      <c r="E93" s="890">
        <f>MAX($D$93-($D$71-E71)-($D$82-E82)-($D$78-E78)-($D$87-E87)-($D$89-E89),0)</f>
        <v>10</v>
      </c>
      <c r="F93" s="890">
        <f>MAX($D$93-($D$71-F71)-($D$82-F82)-($D$78-F78)-($D$87-F87)-($D$89-F89),0)</f>
        <v>10</v>
      </c>
      <c r="G93" s="890">
        <f t="shared" ref="G93:M93" si="5">MAX($D$93-($D$71-G71)-($D$82-G82)-($D$78-G78)-($D$87-G87)-($D$89-G89),0)</f>
        <v>10</v>
      </c>
      <c r="H93" s="890">
        <f t="shared" si="5"/>
        <v>7</v>
      </c>
      <c r="I93" s="890">
        <f t="shared" si="5"/>
        <v>10</v>
      </c>
      <c r="J93" s="890">
        <f>MAX($D$93-($D$71-J71)-($D$82-J82)-($D$78-J78)-($D$87-J87)-($D$89-J89),0)</f>
        <v>10</v>
      </c>
      <c r="K93" s="890">
        <f t="shared" si="5"/>
        <v>10</v>
      </c>
      <c r="L93" s="890">
        <f t="shared" si="5"/>
        <v>10</v>
      </c>
      <c r="M93" s="890">
        <f t="shared" si="5"/>
        <v>10</v>
      </c>
      <c r="N93" s="890">
        <f>MAX($D$93-($D$71-N71)-($D$82-N82)-($D$78-N78)-($D$87-N87)-($D$89-N89),0)</f>
        <v>10</v>
      </c>
      <c r="O93" s="890" t="s">
        <v>1804</v>
      </c>
    </row>
    <row r="94" spans="1:17" s="873" customFormat="1" ht="14.25" customHeight="1">
      <c r="A94" s="1597" t="s">
        <v>1968</v>
      </c>
      <c r="B94" s="1581" t="s">
        <v>1702</v>
      </c>
      <c r="C94" s="730"/>
      <c r="D94" s="896"/>
      <c r="E94" s="897">
        <v>0</v>
      </c>
      <c r="F94" s="897">
        <v>0</v>
      </c>
      <c r="G94" s="897">
        <v>0</v>
      </c>
      <c r="H94" s="897">
        <v>0</v>
      </c>
      <c r="I94" s="897">
        <v>2</v>
      </c>
      <c r="J94" s="897">
        <v>0</v>
      </c>
      <c r="K94" s="897">
        <v>0</v>
      </c>
      <c r="L94" s="897">
        <v>2</v>
      </c>
      <c r="M94" s="897">
        <v>0</v>
      </c>
      <c r="N94" s="897">
        <v>0</v>
      </c>
      <c r="O94" s="898" t="s">
        <v>1821</v>
      </c>
      <c r="P94" s="701"/>
      <c r="Q94" s="701"/>
    </row>
    <row r="95" spans="1:17" s="873" customFormat="1" ht="14.25">
      <c r="A95" s="1597"/>
      <c r="B95" s="1581"/>
      <c r="C95" s="899">
        <f>30%*(1/18)</f>
        <v>1.6666666666666666E-2</v>
      </c>
      <c r="D95" s="896">
        <v>8</v>
      </c>
      <c r="E95" s="900">
        <f>MAX(8-2*E94,0)</f>
        <v>8</v>
      </c>
      <c r="F95" s="900">
        <f t="shared" ref="F95:N95" si="6">MAX(8-2*F94,0)</f>
        <v>8</v>
      </c>
      <c r="G95" s="900">
        <f t="shared" si="6"/>
        <v>8</v>
      </c>
      <c r="H95" s="900">
        <f t="shared" si="6"/>
        <v>8</v>
      </c>
      <c r="I95" s="900">
        <f t="shared" si="6"/>
        <v>4</v>
      </c>
      <c r="J95" s="900">
        <f t="shared" si="6"/>
        <v>8</v>
      </c>
      <c r="K95" s="900">
        <f t="shared" si="6"/>
        <v>8</v>
      </c>
      <c r="L95" s="900">
        <f t="shared" si="6"/>
        <v>4</v>
      </c>
      <c r="M95" s="900">
        <f t="shared" si="6"/>
        <v>8</v>
      </c>
      <c r="N95" s="900">
        <f t="shared" si="6"/>
        <v>8</v>
      </c>
      <c r="O95" s="900" t="s">
        <v>1804</v>
      </c>
      <c r="P95" s="701"/>
      <c r="Q95" s="701"/>
    </row>
    <row r="96" spans="1:17" s="873" customFormat="1" ht="14.25" customHeight="1">
      <c r="A96" s="1597"/>
      <c r="B96" s="1581" t="s">
        <v>1822</v>
      </c>
      <c r="C96" s="730"/>
      <c r="D96" s="896"/>
      <c r="E96" s="897">
        <v>0</v>
      </c>
      <c r="F96" s="897">
        <v>0</v>
      </c>
      <c r="G96" s="897">
        <v>1</v>
      </c>
      <c r="H96" s="897">
        <v>1</v>
      </c>
      <c r="I96" s="897">
        <v>1</v>
      </c>
      <c r="J96" s="897">
        <v>0</v>
      </c>
      <c r="K96" s="897">
        <v>0</v>
      </c>
      <c r="L96" s="897">
        <v>0</v>
      </c>
      <c r="M96" s="897">
        <v>0</v>
      </c>
      <c r="N96" s="897">
        <v>0</v>
      </c>
      <c r="O96" s="900" t="s">
        <v>1803</v>
      </c>
      <c r="P96" s="701"/>
      <c r="Q96" s="701"/>
    </row>
    <row r="97" spans="1:17" s="873" customFormat="1" ht="14.25">
      <c r="A97" s="1597"/>
      <c r="B97" s="1581"/>
      <c r="C97" s="901">
        <f>30%*(1/18)</f>
        <v>1.6666666666666666E-2</v>
      </c>
      <c r="D97" s="896">
        <v>4</v>
      </c>
      <c r="E97" s="900">
        <f>MAX(4-2*E96,0)</f>
        <v>4</v>
      </c>
      <c r="F97" s="900">
        <f t="shared" ref="F97:N97" si="7">MAX(4-2*F96,0)</f>
        <v>4</v>
      </c>
      <c r="G97" s="900">
        <f t="shared" si="7"/>
        <v>2</v>
      </c>
      <c r="H97" s="900">
        <f t="shared" si="7"/>
        <v>2</v>
      </c>
      <c r="I97" s="900">
        <f t="shared" si="7"/>
        <v>2</v>
      </c>
      <c r="J97" s="900">
        <f t="shared" si="7"/>
        <v>4</v>
      </c>
      <c r="K97" s="900">
        <f t="shared" si="7"/>
        <v>4</v>
      </c>
      <c r="L97" s="900">
        <f t="shared" si="7"/>
        <v>4</v>
      </c>
      <c r="M97" s="900">
        <f t="shared" si="7"/>
        <v>4</v>
      </c>
      <c r="N97" s="900">
        <f t="shared" si="7"/>
        <v>4</v>
      </c>
      <c r="O97" s="900" t="s">
        <v>1798</v>
      </c>
      <c r="P97" s="701"/>
      <c r="Q97" s="701"/>
    </row>
    <row r="98" spans="1:17" s="873" customFormat="1" ht="14.25">
      <c r="A98" s="1597"/>
      <c r="B98" s="1581" t="s">
        <v>1823</v>
      </c>
      <c r="C98" s="902"/>
      <c r="D98" s="896"/>
      <c r="E98" s="897">
        <v>0</v>
      </c>
      <c r="F98" s="897">
        <v>0</v>
      </c>
      <c r="G98" s="897">
        <v>1</v>
      </c>
      <c r="H98" s="897">
        <v>2</v>
      </c>
      <c r="I98" s="897">
        <v>0</v>
      </c>
      <c r="J98" s="897">
        <v>0</v>
      </c>
      <c r="K98" s="897">
        <v>0</v>
      </c>
      <c r="L98" s="897">
        <v>0</v>
      </c>
      <c r="M98" s="897">
        <v>0</v>
      </c>
      <c r="N98" s="897">
        <v>0</v>
      </c>
      <c r="O98" s="900" t="s">
        <v>1803</v>
      </c>
      <c r="P98" s="701"/>
      <c r="Q98" s="701"/>
    </row>
    <row r="99" spans="1:17" s="873" customFormat="1" ht="14.25">
      <c r="A99" s="1597"/>
      <c r="B99" s="1581"/>
      <c r="C99" s="899">
        <f>30%*(1/18)</f>
        <v>1.6666666666666666E-2</v>
      </c>
      <c r="D99" s="896">
        <v>4</v>
      </c>
      <c r="E99" s="900">
        <f t="shared" ref="E99:N99" si="8">MAX(4-2*E98,0)</f>
        <v>4</v>
      </c>
      <c r="F99" s="900">
        <f t="shared" si="8"/>
        <v>4</v>
      </c>
      <c r="G99" s="900">
        <f t="shared" si="8"/>
        <v>2</v>
      </c>
      <c r="H99" s="900">
        <f t="shared" si="8"/>
        <v>0</v>
      </c>
      <c r="I99" s="900">
        <f t="shared" si="8"/>
        <v>4</v>
      </c>
      <c r="J99" s="900">
        <f t="shared" si="8"/>
        <v>4</v>
      </c>
      <c r="K99" s="900">
        <f t="shared" si="8"/>
        <v>4</v>
      </c>
      <c r="L99" s="900">
        <f t="shared" si="8"/>
        <v>4</v>
      </c>
      <c r="M99" s="900">
        <f t="shared" si="8"/>
        <v>4</v>
      </c>
      <c r="N99" s="900">
        <f t="shared" si="8"/>
        <v>4</v>
      </c>
      <c r="O99" s="900" t="s">
        <v>1798</v>
      </c>
      <c r="P99" s="701"/>
      <c r="Q99" s="701"/>
    </row>
    <row r="100" spans="1:17" s="873" customFormat="1" ht="14.25">
      <c r="A100" s="1597"/>
      <c r="B100" s="1581" t="s">
        <v>1670</v>
      </c>
      <c r="C100" s="727"/>
      <c r="D100" s="896"/>
      <c r="E100" s="897">
        <v>0</v>
      </c>
      <c r="F100" s="897">
        <v>0</v>
      </c>
      <c r="G100" s="897">
        <v>0</v>
      </c>
      <c r="H100" s="897">
        <v>0</v>
      </c>
      <c r="I100" s="897">
        <v>0</v>
      </c>
      <c r="J100" s="897">
        <v>0</v>
      </c>
      <c r="K100" s="897">
        <v>0</v>
      </c>
      <c r="L100" s="897">
        <v>0</v>
      </c>
      <c r="M100" s="897">
        <v>0</v>
      </c>
      <c r="N100" s="897">
        <v>0</v>
      </c>
      <c r="O100" s="900" t="s">
        <v>1803</v>
      </c>
      <c r="P100" s="701"/>
      <c r="Q100" s="701"/>
    </row>
    <row r="101" spans="1:17" s="873" customFormat="1" ht="14.25">
      <c r="A101" s="1597"/>
      <c r="B101" s="1581" t="s">
        <v>476</v>
      </c>
      <c r="C101" s="899">
        <f t="shared" ref="C101:C107" si="9">30%*(1/18)</f>
        <v>1.6666666666666666E-2</v>
      </c>
      <c r="D101" s="896">
        <v>5</v>
      </c>
      <c r="E101" s="900">
        <f>MAX(5-2*E100,0)</f>
        <v>5</v>
      </c>
      <c r="F101" s="900">
        <f t="shared" ref="F101:N101" si="10">MAX(5-2*F100,0)</f>
        <v>5</v>
      </c>
      <c r="G101" s="900">
        <f t="shared" si="10"/>
        <v>5</v>
      </c>
      <c r="H101" s="900">
        <f t="shared" si="10"/>
        <v>5</v>
      </c>
      <c r="I101" s="900">
        <f t="shared" si="10"/>
        <v>5</v>
      </c>
      <c r="J101" s="900">
        <f t="shared" si="10"/>
        <v>5</v>
      </c>
      <c r="K101" s="900">
        <f t="shared" si="10"/>
        <v>5</v>
      </c>
      <c r="L101" s="900">
        <f t="shared" si="10"/>
        <v>5</v>
      </c>
      <c r="M101" s="900">
        <f t="shared" si="10"/>
        <v>5</v>
      </c>
      <c r="N101" s="900">
        <f t="shared" si="10"/>
        <v>5</v>
      </c>
      <c r="O101" s="900" t="s">
        <v>1798</v>
      </c>
      <c r="P101" s="701"/>
      <c r="Q101" s="701"/>
    </row>
    <row r="102" spans="1:17" s="873" customFormat="1" ht="14.25">
      <c r="A102" s="1597"/>
      <c r="B102" s="1595" t="s">
        <v>1825</v>
      </c>
      <c r="C102" s="902"/>
      <c r="D102" s="896"/>
      <c r="E102" s="897">
        <v>0</v>
      </c>
      <c r="F102" s="897">
        <v>0</v>
      </c>
      <c r="G102" s="897">
        <v>0</v>
      </c>
      <c r="H102" s="897">
        <v>0</v>
      </c>
      <c r="I102" s="897">
        <v>0</v>
      </c>
      <c r="J102" s="897">
        <v>0</v>
      </c>
      <c r="K102" s="897">
        <v>0</v>
      </c>
      <c r="L102" s="897">
        <v>0</v>
      </c>
      <c r="M102" s="897">
        <v>0</v>
      </c>
      <c r="N102" s="897">
        <v>0</v>
      </c>
      <c r="O102" s="900" t="s">
        <v>1803</v>
      </c>
      <c r="P102" s="701"/>
      <c r="Q102" s="701"/>
    </row>
    <row r="103" spans="1:17" s="873" customFormat="1" ht="14.25">
      <c r="A103" s="1597"/>
      <c r="B103" s="1596"/>
      <c r="C103" s="899">
        <f t="shared" si="9"/>
        <v>1.6666666666666666E-2</v>
      </c>
      <c r="D103" s="896">
        <v>5</v>
      </c>
      <c r="E103" s="900">
        <f t="shared" ref="E103:N103" si="11">MAX(5-2*E102,0)</f>
        <v>5</v>
      </c>
      <c r="F103" s="900">
        <f t="shared" si="11"/>
        <v>5</v>
      </c>
      <c r="G103" s="900">
        <f t="shared" si="11"/>
        <v>5</v>
      </c>
      <c r="H103" s="900">
        <f t="shared" si="11"/>
        <v>5</v>
      </c>
      <c r="I103" s="900">
        <f t="shared" si="11"/>
        <v>5</v>
      </c>
      <c r="J103" s="900">
        <f t="shared" si="11"/>
        <v>5</v>
      </c>
      <c r="K103" s="900">
        <f t="shared" si="11"/>
        <v>5</v>
      </c>
      <c r="L103" s="900">
        <f t="shared" si="11"/>
        <v>5</v>
      </c>
      <c r="M103" s="900">
        <f t="shared" si="11"/>
        <v>5</v>
      </c>
      <c r="N103" s="900">
        <f t="shared" si="11"/>
        <v>5</v>
      </c>
      <c r="O103" s="900" t="s">
        <v>1798</v>
      </c>
      <c r="P103" s="701"/>
      <c r="Q103" s="701"/>
    </row>
    <row r="104" spans="1:17" s="873" customFormat="1" ht="14.25">
      <c r="A104" s="1597"/>
      <c r="B104" s="1581" t="s">
        <v>1826</v>
      </c>
      <c r="C104" s="902"/>
      <c r="D104" s="896"/>
      <c r="E104" s="897">
        <v>0</v>
      </c>
      <c r="F104" s="897">
        <v>0</v>
      </c>
      <c r="G104" s="897">
        <v>0</v>
      </c>
      <c r="H104" s="897">
        <v>0</v>
      </c>
      <c r="I104" s="897">
        <v>0</v>
      </c>
      <c r="J104" s="897">
        <v>0</v>
      </c>
      <c r="K104" s="897">
        <v>0</v>
      </c>
      <c r="L104" s="897">
        <v>0</v>
      </c>
      <c r="M104" s="897">
        <v>0</v>
      </c>
      <c r="N104" s="897">
        <v>0</v>
      </c>
      <c r="O104" s="900" t="s">
        <v>1803</v>
      </c>
      <c r="P104" s="701"/>
      <c r="Q104" s="701"/>
    </row>
    <row r="105" spans="1:17" s="873" customFormat="1" ht="14.25">
      <c r="A105" s="1597"/>
      <c r="B105" s="1581" t="s">
        <v>478</v>
      </c>
      <c r="C105" s="899">
        <f t="shared" si="9"/>
        <v>1.6666666666666666E-2</v>
      </c>
      <c r="D105" s="896">
        <v>5</v>
      </c>
      <c r="E105" s="900">
        <f t="shared" ref="E105:N105" si="12">MAX(5-2*E104,0)</f>
        <v>5</v>
      </c>
      <c r="F105" s="900">
        <f t="shared" si="12"/>
        <v>5</v>
      </c>
      <c r="G105" s="900">
        <f t="shared" si="12"/>
        <v>5</v>
      </c>
      <c r="H105" s="900">
        <f t="shared" si="12"/>
        <v>5</v>
      </c>
      <c r="I105" s="900">
        <f t="shared" si="12"/>
        <v>5</v>
      </c>
      <c r="J105" s="900">
        <f t="shared" si="12"/>
        <v>5</v>
      </c>
      <c r="K105" s="900">
        <f t="shared" si="12"/>
        <v>5</v>
      </c>
      <c r="L105" s="900">
        <f t="shared" si="12"/>
        <v>5</v>
      </c>
      <c r="M105" s="900">
        <f t="shared" si="12"/>
        <v>5</v>
      </c>
      <c r="N105" s="900">
        <f t="shared" si="12"/>
        <v>5</v>
      </c>
      <c r="O105" s="900" t="s">
        <v>1798</v>
      </c>
      <c r="P105" s="701"/>
      <c r="Q105" s="701"/>
    </row>
    <row r="106" spans="1:17" s="873" customFormat="1" ht="14.25">
      <c r="A106" s="1597"/>
      <c r="B106" s="1595" t="s">
        <v>1828</v>
      </c>
      <c r="C106" s="902"/>
      <c r="D106" s="896"/>
      <c r="E106" s="897">
        <v>0</v>
      </c>
      <c r="F106" s="897">
        <v>0</v>
      </c>
      <c r="G106" s="897">
        <v>0</v>
      </c>
      <c r="H106" s="897">
        <v>0</v>
      </c>
      <c r="I106" s="897">
        <v>0</v>
      </c>
      <c r="J106" s="897">
        <v>0</v>
      </c>
      <c r="K106" s="897">
        <v>0</v>
      </c>
      <c r="L106" s="897">
        <v>0</v>
      </c>
      <c r="M106" s="897">
        <v>0</v>
      </c>
      <c r="N106" s="897">
        <v>0</v>
      </c>
      <c r="O106" s="900" t="s">
        <v>1803</v>
      </c>
      <c r="P106" s="701"/>
      <c r="Q106" s="701"/>
    </row>
    <row r="107" spans="1:17" s="873" customFormat="1" ht="14.25">
      <c r="A107" s="1597"/>
      <c r="B107" s="1596"/>
      <c r="C107" s="899">
        <f t="shared" si="9"/>
        <v>1.6666666666666666E-2</v>
      </c>
      <c r="D107" s="896">
        <v>5</v>
      </c>
      <c r="E107" s="900">
        <f t="shared" ref="E107:N107" si="13">MAX(5-2*E106,0)</f>
        <v>5</v>
      </c>
      <c r="F107" s="900">
        <f t="shared" si="13"/>
        <v>5</v>
      </c>
      <c r="G107" s="900">
        <f t="shared" si="13"/>
        <v>5</v>
      </c>
      <c r="H107" s="900">
        <f t="shared" si="13"/>
        <v>5</v>
      </c>
      <c r="I107" s="900">
        <f t="shared" si="13"/>
        <v>5</v>
      </c>
      <c r="J107" s="900">
        <f t="shared" si="13"/>
        <v>5</v>
      </c>
      <c r="K107" s="900">
        <f t="shared" si="13"/>
        <v>5</v>
      </c>
      <c r="L107" s="900">
        <f t="shared" si="13"/>
        <v>5</v>
      </c>
      <c r="M107" s="900">
        <f t="shared" si="13"/>
        <v>5</v>
      </c>
      <c r="N107" s="900">
        <f t="shared" si="13"/>
        <v>5</v>
      </c>
      <c r="O107" s="900" t="s">
        <v>1798</v>
      </c>
      <c r="P107" s="701"/>
      <c r="Q107" s="701"/>
    </row>
    <row r="108" spans="1:17" ht="15" customHeight="1">
      <c r="A108" s="1589" t="s">
        <v>1792</v>
      </c>
      <c r="B108" s="1590"/>
      <c r="C108" s="903"/>
      <c r="D108" s="904">
        <f t="shared" ref="D108:N108" si="14">SUMPRODUCT($C$2:$C$107,D2:D107)</f>
        <v>9.5999999999999979</v>
      </c>
      <c r="E108" s="904">
        <f t="shared" si="14"/>
        <v>9.1175438596491194</v>
      </c>
      <c r="F108" s="904">
        <f t="shared" si="14"/>
        <v>9.1475671750181533</v>
      </c>
      <c r="G108" s="904">
        <f t="shared" si="14"/>
        <v>9.0989583333333304</v>
      </c>
      <c r="H108" s="904">
        <f t="shared" si="14"/>
        <v>8.4117283950617292</v>
      </c>
      <c r="I108" s="904">
        <f t="shared" si="14"/>
        <v>9.1393179765130963</v>
      </c>
      <c r="J108" s="904">
        <f t="shared" si="14"/>
        <v>9.2460089399744554</v>
      </c>
      <c r="K108" s="904">
        <f t="shared" si="14"/>
        <v>8.9895178197064958</v>
      </c>
      <c r="L108" s="904">
        <f t="shared" si="14"/>
        <v>9.2356274184632365</v>
      </c>
      <c r="M108" s="904">
        <f t="shared" si="14"/>
        <v>9.2031893004115197</v>
      </c>
      <c r="N108" s="904">
        <f t="shared" si="14"/>
        <v>9.2989367357788382</v>
      </c>
    </row>
    <row r="109" spans="1:17" ht="15">
      <c r="A109" s="1589" t="s">
        <v>1793</v>
      </c>
      <c r="B109" s="1590"/>
      <c r="C109" s="903"/>
      <c r="D109" s="903"/>
      <c r="E109" s="905">
        <f t="shared" ref="E109:N109" si="15">E108/$D$108*100</f>
        <v>94.974415204678351</v>
      </c>
      <c r="F109" s="905">
        <f t="shared" si="15"/>
        <v>95.287158073105786</v>
      </c>
      <c r="G109" s="905">
        <f t="shared" si="15"/>
        <v>94.780815972222214</v>
      </c>
      <c r="H109" s="905">
        <f t="shared" si="15"/>
        <v>87.622170781893033</v>
      </c>
      <c r="I109" s="905">
        <f t="shared" si="15"/>
        <v>95.201228922011438</v>
      </c>
      <c r="J109" s="905">
        <f t="shared" si="15"/>
        <v>96.312593124733937</v>
      </c>
      <c r="K109" s="905">
        <f t="shared" si="15"/>
        <v>93.640810621942677</v>
      </c>
      <c r="L109" s="905">
        <f t="shared" si="15"/>
        <v>96.204452275658738</v>
      </c>
      <c r="M109" s="905">
        <f t="shared" si="15"/>
        <v>95.866555212620014</v>
      </c>
      <c r="N109" s="905">
        <f t="shared" si="15"/>
        <v>96.86392433102958</v>
      </c>
    </row>
    <row r="110" spans="1:17" ht="15" customHeight="1">
      <c r="A110" s="1589" t="s">
        <v>1794</v>
      </c>
      <c r="B110" s="1590"/>
      <c r="C110" s="906">
        <v>0.1</v>
      </c>
      <c r="D110" s="906"/>
      <c r="E110" s="907"/>
      <c r="F110" s="907"/>
      <c r="G110" s="907"/>
      <c r="H110" s="907"/>
      <c r="I110" s="907"/>
      <c r="J110" s="907"/>
      <c r="K110" s="907"/>
      <c r="L110" s="907"/>
      <c r="M110" s="907"/>
      <c r="N110" s="907"/>
    </row>
    <row r="111" spans="1:17" ht="15" customHeight="1">
      <c r="A111" s="1589" t="s">
        <v>1795</v>
      </c>
      <c r="B111" s="1590"/>
      <c r="C111" s="906">
        <v>0.15</v>
      </c>
      <c r="D111" s="906"/>
      <c r="E111" s="907"/>
      <c r="F111" s="907"/>
      <c r="G111" s="907"/>
      <c r="H111" s="907"/>
      <c r="I111" s="907"/>
      <c r="J111" s="907"/>
      <c r="K111" s="907"/>
      <c r="L111" s="907"/>
      <c r="M111" s="907"/>
      <c r="N111" s="907"/>
    </row>
    <row r="112" spans="1:17" ht="15">
      <c r="A112" s="1589" t="s">
        <v>1796</v>
      </c>
      <c r="B112" s="1590"/>
      <c r="C112" s="906">
        <v>0.25</v>
      </c>
      <c r="D112" s="906"/>
      <c r="E112" s="907"/>
      <c r="F112" s="907"/>
      <c r="G112" s="907"/>
      <c r="H112" s="907"/>
      <c r="I112" s="907"/>
      <c r="J112" s="907"/>
      <c r="K112" s="907"/>
      <c r="L112" s="907"/>
      <c r="M112" s="907"/>
      <c r="N112" s="907"/>
    </row>
    <row r="113" spans="1:14" ht="14.25">
      <c r="A113" s="1589" t="s">
        <v>1797</v>
      </c>
      <c r="B113" s="1590" t="s">
        <v>1797</v>
      </c>
      <c r="C113" s="906"/>
      <c r="D113" s="906"/>
      <c r="E113" s="690">
        <f>E109+E110+E111+E112</f>
        <v>94.974415204678351</v>
      </c>
      <c r="F113" s="690">
        <f t="shared" ref="F113:N113" si="16">F109+F110+F111+F112</f>
        <v>95.287158073105786</v>
      </c>
      <c r="G113" s="690">
        <f t="shared" si="16"/>
        <v>94.780815972222214</v>
      </c>
      <c r="H113" s="690">
        <f t="shared" si="16"/>
        <v>87.622170781893033</v>
      </c>
      <c r="I113" s="690">
        <f t="shared" si="16"/>
        <v>95.201228922011438</v>
      </c>
      <c r="J113" s="690">
        <f t="shared" si="16"/>
        <v>96.312593124733937</v>
      </c>
      <c r="K113" s="690">
        <f t="shared" si="16"/>
        <v>93.640810621942677</v>
      </c>
      <c r="L113" s="690">
        <f t="shared" si="16"/>
        <v>96.204452275658738</v>
      </c>
      <c r="M113" s="690">
        <f t="shared" si="16"/>
        <v>95.866555212620014</v>
      </c>
      <c r="N113" s="690">
        <f t="shared" si="16"/>
        <v>96.86392433102958</v>
      </c>
    </row>
    <row r="117" spans="1:14" ht="15">
      <c r="C117" s="854" t="s">
        <v>1094</v>
      </c>
      <c r="D117" s="854">
        <f>VALUE($N$113)</f>
        <v>96.86392433102958</v>
      </c>
    </row>
    <row r="118" spans="1:14" ht="15">
      <c r="C118" s="854" t="s">
        <v>1090</v>
      </c>
      <c r="D118" s="854">
        <f>VALUE($J$113)</f>
        <v>96.312593124733937</v>
      </c>
    </row>
    <row r="119" spans="1:14" ht="15">
      <c r="C119" s="854" t="s">
        <v>1092</v>
      </c>
      <c r="D119" s="854">
        <f>VALUE($L$113)</f>
        <v>96.204452275658738</v>
      </c>
    </row>
    <row r="120" spans="1:14" ht="15">
      <c r="B120" s="532"/>
      <c r="C120" s="854" t="s">
        <v>1093</v>
      </c>
      <c r="D120" s="854">
        <f>VALUE($M$113)</f>
        <v>95.866555212620014</v>
      </c>
    </row>
    <row r="121" spans="1:14" ht="15">
      <c r="C121" s="854" t="s">
        <v>1086</v>
      </c>
      <c r="D121" s="854">
        <f>VALUE($F$113)</f>
        <v>95.287158073105786</v>
      </c>
    </row>
    <row r="122" spans="1:14" ht="15">
      <c r="C122" s="854" t="s">
        <v>1089</v>
      </c>
      <c r="D122" s="854">
        <f>VALUE($I$113)</f>
        <v>95.201228922011438</v>
      </c>
    </row>
    <row r="123" spans="1:14" ht="15">
      <c r="B123" s="766" t="s">
        <v>1829</v>
      </c>
      <c r="C123" s="854" t="s">
        <v>1085</v>
      </c>
      <c r="D123" s="854">
        <f>VALUE($E$113)</f>
        <v>94.974415204678351</v>
      </c>
    </row>
    <row r="124" spans="1:14" ht="15">
      <c r="C124" s="854" t="s">
        <v>1087</v>
      </c>
      <c r="D124" s="854">
        <f>VALUE($G$113)</f>
        <v>94.780815972222214</v>
      </c>
    </row>
    <row r="125" spans="1:14" ht="15">
      <c r="C125" s="854" t="s">
        <v>1091</v>
      </c>
      <c r="D125" s="854">
        <f>VALUE($K$113)</f>
        <v>93.640810621942677</v>
      </c>
    </row>
    <row r="126" spans="1:14" ht="15">
      <c r="C126" s="854" t="s">
        <v>1088</v>
      </c>
      <c r="D126" s="854">
        <f>VALUE($H$113)</f>
        <v>87.622170781893033</v>
      </c>
    </row>
    <row r="129" spans="1:1">
      <c r="A129" s="641" t="s">
        <v>1994</v>
      </c>
    </row>
    <row r="130" spans="1:1">
      <c r="A130" s="641" t="s">
        <v>1993</v>
      </c>
    </row>
    <row r="131" spans="1:1">
      <c r="A131" s="641" t="s">
        <v>1990</v>
      </c>
    </row>
    <row r="132" spans="1:1">
      <c r="A132" s="641" t="s">
        <v>1991</v>
      </c>
    </row>
  </sheetData>
  <sortState ref="B117:D126">
    <sortCondition descending="1" ref="D117"/>
  </sortState>
  <mergeCells count="25">
    <mergeCell ref="A2:A41"/>
    <mergeCell ref="A113:B113"/>
    <mergeCell ref="A62:A93"/>
    <mergeCell ref="B88:B89"/>
    <mergeCell ref="A108:B108"/>
    <mergeCell ref="A109:B109"/>
    <mergeCell ref="A110:B110"/>
    <mergeCell ref="A111:B111"/>
    <mergeCell ref="A112:B112"/>
    <mergeCell ref="B106:B107"/>
    <mergeCell ref="B100:B101"/>
    <mergeCell ref="B104:B105"/>
    <mergeCell ref="B102:B103"/>
    <mergeCell ref="A94:A107"/>
    <mergeCell ref="B96:B97"/>
    <mergeCell ref="B98:B99"/>
    <mergeCell ref="A42:A61"/>
    <mergeCell ref="Y47:Z47"/>
    <mergeCell ref="B94:B95"/>
    <mergeCell ref="T48:U48"/>
    <mergeCell ref="V48:W48"/>
    <mergeCell ref="X48:Y48"/>
    <mergeCell ref="S47:T47"/>
    <mergeCell ref="U47:V47"/>
    <mergeCell ref="W47:X47"/>
  </mergeCells>
  <phoneticPr fontId="3" type="noConversion"/>
  <conditionalFormatting sqref="E2:N2">
    <cfRule type="cellIs" dxfId="311" priority="228" operator="lessThan">
      <formula>$D$2</formula>
    </cfRule>
  </conditionalFormatting>
  <conditionalFormatting sqref="E3:N3">
    <cfRule type="cellIs" dxfId="310" priority="226" operator="lessThan">
      <formula>$D$3</formula>
    </cfRule>
  </conditionalFormatting>
  <conditionalFormatting sqref="E4:N4">
    <cfRule type="cellIs" dxfId="309" priority="224" operator="lessThan">
      <formula>$D$4</formula>
    </cfRule>
  </conditionalFormatting>
  <conditionalFormatting sqref="E5 F13:N13 F16:N16 F19:N19 F28:N28 F32:N32 F5:N6">
    <cfRule type="cellIs" dxfId="308" priority="222" operator="lessThan">
      <formula>$D$5</formula>
    </cfRule>
  </conditionalFormatting>
  <conditionalFormatting sqref="E7:N7">
    <cfRule type="cellIs" dxfId="307" priority="219" operator="lessThan">
      <formula>$D$7</formula>
    </cfRule>
  </conditionalFormatting>
  <conditionalFormatting sqref="H9:N9 E8:N8">
    <cfRule type="cellIs" dxfId="306" priority="217" operator="lessThan">
      <formula>$D$8</formula>
    </cfRule>
  </conditionalFormatting>
  <conditionalFormatting sqref="E9:N9">
    <cfRule type="cellIs" dxfId="305" priority="215" operator="lessThan">
      <formula>$D$9</formula>
    </cfRule>
  </conditionalFormatting>
  <conditionalFormatting sqref="E10:N10">
    <cfRule type="cellIs" dxfId="304" priority="213" operator="lessThan">
      <formula>$D$10</formula>
    </cfRule>
  </conditionalFormatting>
  <conditionalFormatting sqref="E13:N13">
    <cfRule type="cellIs" dxfId="303" priority="211" operator="lessThan">
      <formula>$D$13</formula>
    </cfRule>
  </conditionalFormatting>
  <conditionalFormatting sqref="F13:N13">
    <cfRule type="cellIs" dxfId="302" priority="210" operator="lessThan">
      <formula>$D$6</formula>
    </cfRule>
  </conditionalFormatting>
  <conditionalFormatting sqref="E77:N77 E88:N88 E17:N18 E69:N70 E94:N94 E96:N96 E11:N12 E26:N27 E23:N24 E35:N36 E51:N52 E81:N81 E85:N86">
    <cfRule type="cellIs" dxfId="301" priority="206" operator="greaterThan">
      <formula>0</formula>
    </cfRule>
  </conditionalFormatting>
  <conditionalFormatting sqref="E19:N19">
    <cfRule type="cellIs" dxfId="300" priority="201" operator="lessThan">
      <formula>$D$19</formula>
    </cfRule>
  </conditionalFormatting>
  <conditionalFormatting sqref="E20:N20">
    <cfRule type="cellIs" dxfId="299" priority="197" operator="lessThan">
      <formula>$D$20</formula>
    </cfRule>
  </conditionalFormatting>
  <conditionalFormatting sqref="E21:N21">
    <cfRule type="cellIs" dxfId="298" priority="193" operator="lessThan">
      <formula>$D$21</formula>
    </cfRule>
  </conditionalFormatting>
  <conditionalFormatting sqref="E22:N22">
    <cfRule type="cellIs" dxfId="297" priority="189" operator="lessThan">
      <formula>$D$22</formula>
    </cfRule>
  </conditionalFormatting>
  <conditionalFormatting sqref="E25:N25">
    <cfRule type="cellIs" dxfId="296" priority="183" operator="lessThan">
      <formula>$D$25</formula>
    </cfRule>
  </conditionalFormatting>
  <conditionalFormatting sqref="E29:N29">
    <cfRule type="cellIs" dxfId="295" priority="181" operator="lessThan">
      <formula>$D$29</formula>
    </cfRule>
  </conditionalFormatting>
  <conditionalFormatting sqref="E30:N30">
    <cfRule type="cellIs" dxfId="294" priority="177" operator="lessThan">
      <formula>$D$30</formula>
    </cfRule>
  </conditionalFormatting>
  <conditionalFormatting sqref="E31:N32">
    <cfRule type="cellIs" dxfId="293" priority="173" operator="lessThan">
      <formula>$D$31</formula>
    </cfRule>
  </conditionalFormatting>
  <conditionalFormatting sqref="E33:N33">
    <cfRule type="cellIs" dxfId="292" priority="167" operator="lessThan">
      <formula>$D$33</formula>
    </cfRule>
  </conditionalFormatting>
  <conditionalFormatting sqref="E34:N34">
    <cfRule type="cellIs" dxfId="291" priority="163" operator="lessThan">
      <formula>$D$34</formula>
    </cfRule>
  </conditionalFormatting>
  <conditionalFormatting sqref="E37:N37">
    <cfRule type="cellIs" dxfId="290" priority="156" operator="lessThan">
      <formula>$D$37</formula>
    </cfRule>
  </conditionalFormatting>
  <conditionalFormatting sqref="E39:N39">
    <cfRule type="cellIs" dxfId="289" priority="152" operator="lessThan">
      <formula>$D$39</formula>
    </cfRule>
  </conditionalFormatting>
  <conditionalFormatting sqref="E40:N40">
    <cfRule type="cellIs" dxfId="288" priority="148" operator="lessThan">
      <formula>$D$40</formula>
    </cfRule>
  </conditionalFormatting>
  <conditionalFormatting sqref="E41:N41">
    <cfRule type="cellIs" dxfId="287" priority="146" operator="lessThan">
      <formula>$D$41</formula>
    </cfRule>
  </conditionalFormatting>
  <conditionalFormatting sqref="E43:N43">
    <cfRule type="cellIs" dxfId="286" priority="144" operator="lessThan">
      <formula>$D$43</formula>
    </cfRule>
  </conditionalFormatting>
  <conditionalFormatting sqref="E44:N44">
    <cfRule type="cellIs" dxfId="285" priority="140" operator="lessThan">
      <formula>$D$44</formula>
    </cfRule>
  </conditionalFormatting>
  <conditionalFormatting sqref="E45:N45">
    <cfRule type="cellIs" dxfId="284" priority="134" operator="lessThan">
      <formula>$D$45</formula>
    </cfRule>
  </conditionalFormatting>
  <conditionalFormatting sqref="E46:N46">
    <cfRule type="cellIs" dxfId="283" priority="132" operator="lessThan">
      <formula>$D$46</formula>
    </cfRule>
  </conditionalFormatting>
  <conditionalFormatting sqref="E47:N47">
    <cfRule type="cellIs" dxfId="282" priority="130" operator="lessThan">
      <formula>$D$47</formula>
    </cfRule>
  </conditionalFormatting>
  <conditionalFormatting sqref="E49:N49">
    <cfRule type="cellIs" dxfId="281" priority="126" operator="lessThan">
      <formula>$D$49</formula>
    </cfRule>
  </conditionalFormatting>
  <conditionalFormatting sqref="E48:N48">
    <cfRule type="cellIs" dxfId="280" priority="124" operator="lessThan">
      <formula>$D$48</formula>
    </cfRule>
  </conditionalFormatting>
  <conditionalFormatting sqref="E50:N50 F53:N53">
    <cfRule type="cellIs" dxfId="279" priority="120" operator="lessThan">
      <formula>$D$50</formula>
    </cfRule>
  </conditionalFormatting>
  <conditionalFormatting sqref="E53:N53">
    <cfRule type="cellIs" dxfId="278" priority="114" operator="lessThan">
      <formula>$D$53</formula>
    </cfRule>
    <cfRule type="cellIs" dxfId="277" priority="118" operator="lessThan">
      <formula>$D$50</formula>
    </cfRule>
  </conditionalFormatting>
  <conditionalFormatting sqref="E54:N55">
    <cfRule type="cellIs" dxfId="276" priority="104" operator="lessThan">
      <formula>0</formula>
    </cfRule>
  </conditionalFormatting>
  <conditionalFormatting sqref="E56:N56">
    <cfRule type="cellIs" dxfId="275" priority="103" operator="lessThan">
      <formula>$D$56</formula>
    </cfRule>
  </conditionalFormatting>
  <conditionalFormatting sqref="E58:N58">
    <cfRule type="cellIs" dxfId="274" priority="101" operator="lessThan">
      <formula>$D$58</formula>
    </cfRule>
  </conditionalFormatting>
  <conditionalFormatting sqref="E59:N59">
    <cfRule type="cellIs" dxfId="273" priority="97" operator="lessThan">
      <formula>$D$59</formula>
    </cfRule>
  </conditionalFormatting>
  <conditionalFormatting sqref="E60:N60">
    <cfRule type="cellIs" dxfId="272" priority="93" operator="lessThan">
      <formula>$D$60</formula>
    </cfRule>
  </conditionalFormatting>
  <conditionalFormatting sqref="E63:N63">
    <cfRule type="cellIs" dxfId="271" priority="91" operator="lessThan">
      <formula>$D$63</formula>
    </cfRule>
  </conditionalFormatting>
  <conditionalFormatting sqref="E64:N64">
    <cfRule type="cellIs" dxfId="270" priority="89" operator="lessThan">
      <formula>$D$64</formula>
    </cfRule>
  </conditionalFormatting>
  <conditionalFormatting sqref="E65:N65">
    <cfRule type="cellIs" dxfId="269" priority="85" operator="lessThan">
      <formula>$D$65</formula>
    </cfRule>
  </conditionalFormatting>
  <conditionalFormatting sqref="E66:N68">
    <cfRule type="cellIs" dxfId="268" priority="81" operator="lessThan">
      <formula>$D$66</formula>
    </cfRule>
  </conditionalFormatting>
  <conditionalFormatting sqref="E71:N71">
    <cfRule type="cellIs" dxfId="267" priority="75" operator="lessThan">
      <formula>$D$71</formula>
    </cfRule>
  </conditionalFormatting>
  <conditionalFormatting sqref="E72:N72">
    <cfRule type="cellIs" dxfId="266" priority="74" operator="lessThan">
      <formula>$D$72</formula>
    </cfRule>
  </conditionalFormatting>
  <conditionalFormatting sqref="E73:N73">
    <cfRule type="cellIs" dxfId="265" priority="72" operator="lessThan">
      <formula>$D$73</formula>
    </cfRule>
  </conditionalFormatting>
  <conditionalFormatting sqref="E74:N74">
    <cfRule type="cellIs" dxfId="264" priority="70" operator="lessThan">
      <formula>$D$74</formula>
    </cfRule>
  </conditionalFormatting>
  <conditionalFormatting sqref="E75:N75">
    <cfRule type="cellIs" dxfId="263" priority="66" operator="lessThan">
      <formula>$D$75</formula>
    </cfRule>
  </conditionalFormatting>
  <conditionalFormatting sqref="E78:N78">
    <cfRule type="cellIs" dxfId="262" priority="56" operator="lessThan">
      <formula>$D$78</formula>
    </cfRule>
  </conditionalFormatting>
  <conditionalFormatting sqref="E79:N79">
    <cfRule type="cellIs" dxfId="261" priority="54" operator="lessThan">
      <formula>$D$79</formula>
    </cfRule>
  </conditionalFormatting>
  <conditionalFormatting sqref="E82:N82">
    <cfRule type="cellIs" dxfId="260" priority="49" operator="lessThan">
      <formula>$D$82</formula>
    </cfRule>
  </conditionalFormatting>
  <conditionalFormatting sqref="E83:N83">
    <cfRule type="cellIs" dxfId="259" priority="47" operator="lessThan">
      <formula>$D$83</formula>
    </cfRule>
  </conditionalFormatting>
  <conditionalFormatting sqref="E84:N84">
    <cfRule type="cellIs" dxfId="258" priority="43" operator="lessThan">
      <formula>$D$84</formula>
    </cfRule>
  </conditionalFormatting>
  <conditionalFormatting sqref="E87:N87">
    <cfRule type="cellIs" dxfId="257" priority="35" operator="lessThan">
      <formula>$D$87</formula>
    </cfRule>
  </conditionalFormatting>
  <conditionalFormatting sqref="E89:N89">
    <cfRule type="cellIs" dxfId="256" priority="34" operator="lessThan">
      <formula>$D$89</formula>
    </cfRule>
  </conditionalFormatting>
  <conditionalFormatting sqref="E88:N88">
    <cfRule type="cellIs" dxfId="255" priority="32" operator="greaterThan">
      <formula>0</formula>
    </cfRule>
    <cfRule type="cellIs" dxfId="254" priority="33" operator="greaterThan">
      <formula>0</formula>
    </cfRule>
  </conditionalFormatting>
  <conditionalFormatting sqref="E91:N91">
    <cfRule type="cellIs" dxfId="253" priority="30" operator="lessThan">
      <formula>$D$91</formula>
    </cfRule>
  </conditionalFormatting>
  <conditionalFormatting sqref="E92:N92">
    <cfRule type="cellIs" dxfId="252" priority="26" operator="lessThan">
      <formula>$D$92</formula>
    </cfRule>
  </conditionalFormatting>
  <conditionalFormatting sqref="E93:N93">
    <cfRule type="cellIs" dxfId="251" priority="24" operator="lessThan">
      <formula>10</formula>
    </cfRule>
  </conditionalFormatting>
  <conditionalFormatting sqref="E95:N95">
    <cfRule type="cellIs" dxfId="250" priority="23" operator="lessThan">
      <formula>$D$95</formula>
    </cfRule>
  </conditionalFormatting>
  <conditionalFormatting sqref="E97:N97">
    <cfRule type="cellIs" dxfId="249" priority="20" operator="lessThan">
      <formula>4</formula>
    </cfRule>
  </conditionalFormatting>
  <conditionalFormatting sqref="E99:N99 E101:N101 E103:N103 E105:N105 E107:N107">
    <cfRule type="cellIs" dxfId="248" priority="18" operator="lessThan">
      <formula>$D$99</formula>
    </cfRule>
  </conditionalFormatting>
  <conditionalFormatting sqref="E76:N76">
    <cfRule type="cellIs" dxfId="247" priority="12" operator="greaterThan">
      <formula>0</formula>
    </cfRule>
  </conditionalFormatting>
  <conditionalFormatting sqref="N80">
    <cfRule type="cellIs" dxfId="246" priority="2" operator="greaterThan">
      <formula>0</formula>
    </cfRule>
  </conditionalFormatting>
  <conditionalFormatting sqref="F80">
    <cfRule type="cellIs" dxfId="245" priority="10" operator="greaterThan">
      <formula>0</formula>
    </cfRule>
  </conditionalFormatting>
  <conditionalFormatting sqref="G80">
    <cfRule type="cellIs" dxfId="244" priority="9" operator="greaterThan">
      <formula>0</formula>
    </cfRule>
  </conditionalFormatting>
  <conditionalFormatting sqref="H80">
    <cfRule type="cellIs" dxfId="243" priority="8" operator="greaterThan">
      <formula>0</formula>
    </cfRule>
  </conditionalFormatting>
  <conditionalFormatting sqref="I80">
    <cfRule type="cellIs" dxfId="242" priority="7" operator="greaterThan">
      <formula>0</formula>
    </cfRule>
  </conditionalFormatting>
  <conditionalFormatting sqref="J80">
    <cfRule type="cellIs" dxfId="241" priority="6" operator="greaterThan">
      <formula>0</formula>
    </cfRule>
  </conditionalFormatting>
  <conditionalFormatting sqref="K80">
    <cfRule type="cellIs" dxfId="240" priority="5" operator="greaterThan">
      <formula>0</formula>
    </cfRule>
  </conditionalFormatting>
  <conditionalFormatting sqref="L80">
    <cfRule type="cellIs" dxfId="239" priority="4" operator="greaterThan">
      <formula>0</formula>
    </cfRule>
  </conditionalFormatting>
  <conditionalFormatting sqref="M80">
    <cfRule type="cellIs" dxfId="238" priority="3" operator="greaterThan">
      <formula>0</formula>
    </cfRule>
  </conditionalFormatting>
  <conditionalFormatting sqref="E80:N81">
    <cfRule type="cellIs" priority="1" operator="greaterThan">
      <formula>0</formula>
    </cfRule>
  </conditionalFormatting>
  <hyperlinks>
    <hyperlink ref="A129" location="绩效总分!A1" display="绩效总分"/>
    <hyperlink ref="A130" location="'总公司绩效-I'!A1" display="总公司绩效-I"/>
    <hyperlink ref="A132" location="目录!A1" display="目录"/>
    <hyperlink ref="A131" location="'总公司绩效-II'!A1" display="总公司绩效-II"/>
  </hyperlinks>
  <pageMargins left="0.7" right="0.7" top="0.75" bottom="0.75" header="0.3" footer="0.3"/>
  <ignoredErrors>
    <ignoredError sqref="E9:G9 I9:N9" formula="1"/>
  </ignoredErrors>
  <legacyDrawing r:id="rId1"/>
</worksheet>
</file>

<file path=xl/worksheets/sheet9.xml><?xml version="1.0" encoding="utf-8"?>
<worksheet xmlns="http://schemas.openxmlformats.org/spreadsheetml/2006/main" xmlns:r="http://schemas.openxmlformats.org/officeDocument/2006/relationships">
  <sheetPr codeName="Sheet1">
    <tabColor rgb="FFFFC000"/>
  </sheetPr>
  <dimension ref="A1:E27"/>
  <sheetViews>
    <sheetView workbookViewId="0">
      <selection sqref="A1:B1"/>
    </sheetView>
  </sheetViews>
  <sheetFormatPr defaultRowHeight="13.5"/>
  <cols>
    <col min="1" max="1" width="8.625" style="14" customWidth="1"/>
    <col min="2" max="2" width="67.625" customWidth="1"/>
    <col min="3" max="3" width="16.625" bestFit="1" customWidth="1"/>
    <col min="4" max="4" width="15" bestFit="1" customWidth="1"/>
  </cols>
  <sheetData>
    <row r="1" spans="1:5" ht="51" customHeight="1">
      <c r="A1" s="1598" t="s">
        <v>1660</v>
      </c>
      <c r="B1" s="1599"/>
    </row>
    <row r="2" spans="1:5" ht="25.5" customHeight="1" thickBot="1">
      <c r="A2" s="326" t="s">
        <v>186</v>
      </c>
      <c r="B2" s="327" t="s">
        <v>187</v>
      </c>
    </row>
    <row r="3" spans="1:5" ht="16.5">
      <c r="A3" s="328">
        <f>ROW()-2</f>
        <v>1</v>
      </c>
      <c r="B3" s="329" t="s">
        <v>1281</v>
      </c>
    </row>
    <row r="4" spans="1:5" ht="16.5">
      <c r="A4" s="12">
        <f>ROW()-2</f>
        <v>2</v>
      </c>
      <c r="B4" s="15" t="s">
        <v>1282</v>
      </c>
    </row>
    <row r="5" spans="1:5" ht="16.5">
      <c r="A5" s="12">
        <f>ROW()-2</f>
        <v>3</v>
      </c>
      <c r="B5" s="15" t="s">
        <v>1283</v>
      </c>
    </row>
    <row r="6" spans="1:5" ht="16.5">
      <c r="A6" s="12">
        <f t="shared" ref="A6:A11" si="0">ROW()-2</f>
        <v>4</v>
      </c>
      <c r="B6" s="15" t="s">
        <v>1284</v>
      </c>
    </row>
    <row r="7" spans="1:5" ht="16.5">
      <c r="A7" s="12">
        <f t="shared" si="0"/>
        <v>5</v>
      </c>
      <c r="B7" s="15" t="s">
        <v>1285</v>
      </c>
    </row>
    <row r="8" spans="1:5" ht="16.5">
      <c r="A8" s="12">
        <f t="shared" si="0"/>
        <v>6</v>
      </c>
      <c r="B8" s="15" t="s">
        <v>1973</v>
      </c>
    </row>
    <row r="9" spans="1:5" ht="16.5">
      <c r="A9" s="12">
        <f t="shared" si="0"/>
        <v>7</v>
      </c>
      <c r="B9" s="15" t="s">
        <v>1974</v>
      </c>
    </row>
    <row r="10" spans="1:5" ht="16.5">
      <c r="A10" s="12">
        <f t="shared" si="0"/>
        <v>8</v>
      </c>
      <c r="B10" s="15" t="s">
        <v>1975</v>
      </c>
    </row>
    <row r="11" spans="1:5" ht="16.5">
      <c r="A11" s="12">
        <f t="shared" si="0"/>
        <v>9</v>
      </c>
      <c r="B11" s="15" t="s">
        <v>1976</v>
      </c>
    </row>
    <row r="12" spans="1:5" ht="16.5">
      <c r="A12" s="12">
        <f>ROW()-2</f>
        <v>10</v>
      </c>
      <c r="B12" s="15" t="s">
        <v>1977</v>
      </c>
    </row>
    <row r="13" spans="1:5" ht="16.5">
      <c r="A13" s="12">
        <v>11</v>
      </c>
      <c r="B13" s="15" t="s">
        <v>1978</v>
      </c>
    </row>
    <row r="14" spans="1:5" ht="16.5">
      <c r="A14" s="12">
        <v>12</v>
      </c>
      <c r="B14" s="15" t="s">
        <v>1979</v>
      </c>
    </row>
    <row r="15" spans="1:5" ht="18.75">
      <c r="A15" s="12">
        <v>13</v>
      </c>
      <c r="B15" s="15" t="s">
        <v>1980</v>
      </c>
      <c r="C15" s="219"/>
      <c r="D15" s="220"/>
      <c r="E15" s="221"/>
    </row>
    <row r="16" spans="1:5" ht="18.75">
      <c r="A16" s="12">
        <v>14</v>
      </c>
      <c r="B16" s="15" t="s">
        <v>1981</v>
      </c>
      <c r="C16" s="220"/>
      <c r="D16" s="218"/>
      <c r="E16" s="221"/>
    </row>
    <row r="17" spans="1:5" ht="18.75">
      <c r="A17" s="12">
        <v>15</v>
      </c>
      <c r="B17" s="15" t="s">
        <v>1982</v>
      </c>
      <c r="C17" s="219"/>
      <c r="D17" s="220"/>
      <c r="E17" s="221"/>
    </row>
    <row r="18" spans="1:5" ht="18.75">
      <c r="A18" s="12">
        <v>16</v>
      </c>
      <c r="B18" s="15" t="s">
        <v>1983</v>
      </c>
      <c r="C18" s="220"/>
      <c r="D18" s="218"/>
      <c r="E18" s="221"/>
    </row>
    <row r="19" spans="1:5" ht="16.5">
      <c r="A19" s="12">
        <v>17</v>
      </c>
      <c r="B19" s="15" t="s">
        <v>1984</v>
      </c>
    </row>
    <row r="20" spans="1:5" ht="18.75">
      <c r="A20" s="12">
        <v>18</v>
      </c>
      <c r="B20" s="15" t="s">
        <v>1969</v>
      </c>
      <c r="C20" s="218"/>
      <c r="D20" s="218"/>
      <c r="E20" s="221"/>
    </row>
    <row r="21" spans="1:5" ht="18.75">
      <c r="A21" s="12">
        <v>19</v>
      </c>
      <c r="B21" s="15" t="s">
        <v>1970</v>
      </c>
      <c r="C21" s="218"/>
      <c r="D21" s="218"/>
      <c r="E21" s="221"/>
    </row>
    <row r="22" spans="1:5" ht="16.5">
      <c r="A22" s="12">
        <v>20</v>
      </c>
      <c r="B22" s="15" t="s">
        <v>1985</v>
      </c>
      <c r="C22" s="221"/>
      <c r="D22" s="221"/>
      <c r="E22" s="221"/>
    </row>
    <row r="23" spans="1:5" ht="16.5">
      <c r="A23" s="12">
        <v>21</v>
      </c>
      <c r="B23" s="15" t="s">
        <v>1986</v>
      </c>
      <c r="C23" s="221"/>
      <c r="D23" s="221"/>
      <c r="E23" s="221"/>
    </row>
    <row r="24" spans="1:5" ht="16.5">
      <c r="A24" s="12">
        <v>22</v>
      </c>
      <c r="B24" s="15" t="s">
        <v>1987</v>
      </c>
      <c r="C24" s="221"/>
      <c r="D24" s="221"/>
      <c r="E24" s="221"/>
    </row>
    <row r="25" spans="1:5" ht="16.5">
      <c r="A25" s="12">
        <v>23</v>
      </c>
      <c r="B25" s="15" t="s">
        <v>1988</v>
      </c>
    </row>
    <row r="26" spans="1:5" ht="16.5">
      <c r="A26" s="12">
        <v>24</v>
      </c>
      <c r="B26" s="15" t="s">
        <v>1971</v>
      </c>
    </row>
    <row r="27" spans="1:5" ht="17.25" thickBot="1">
      <c r="A27" s="13">
        <v>25</v>
      </c>
      <c r="B27" s="16" t="s">
        <v>1972</v>
      </c>
    </row>
  </sheetData>
  <mergeCells count="1">
    <mergeCell ref="A1:B1"/>
  </mergeCells>
  <phoneticPr fontId="3" type="noConversion"/>
  <hyperlinks>
    <hyperlink ref="B6" location="'OR02-销售承保'!A1" display="OR02-销售承保"/>
    <hyperlink ref="B7" location="'OR06-理赔保全'!A1" display="OR06-理赔保全"/>
    <hyperlink ref="B8" location="'OR10-资金运用'!A1" display="OR10-资金运用"/>
    <hyperlink ref="B9" location="'OR12-财务管理'!A1" display="OR12-财务管理"/>
    <hyperlink ref="B10" location="'OR15-准备金再保险'!A1" display="OR15-准备金再保险"/>
    <hyperlink ref="B11" location="'OR18-合规风险'!A1" display="OR18-合规风险"/>
    <hyperlink ref="B12" location="'RR01-声誉风险'!A1" display="RR01-声誉风险"/>
    <hyperlink ref="B3" location="'OR04-分公司销售、承保、保全'!A1" display="OR04-人身保险公司分支机构销售、承保、保全业务线操作风险"/>
    <hyperlink ref="B4" location="'OR08-分公司理赔'!A1" display="OR08-人身保险公司分支机构理赔业务线操作风险"/>
    <hyperlink ref="B5" location="'OR13-分公司财务管理'!A1" display="OR13-保险分支机构财务管理操作风险"/>
    <hyperlink ref="B13" location="信息系统!A1" display="信息系统"/>
    <hyperlink ref="B14" location="案件管理!A1" display="案件管理"/>
    <hyperlink ref="B15" location="流动性风险!A1" display="流动性风险"/>
    <hyperlink ref="B16" location="公司治理!A1" display="公司治理"/>
    <hyperlink ref="B17" location="战略风险!A1" display="战略风险"/>
    <hyperlink ref="B18" location="'FM02-分支机构封面页'!A1" display="分支机构页"/>
    <hyperlink ref="B20" location="'总公司绩效-I'!A1" display="总公司绩效-I"/>
    <hyperlink ref="B21" location="'总公司绩效-II'!A1" display="总公司绩效-II"/>
    <hyperlink ref="B22" location="分公司绩效!A1" display="分公司绩效"/>
    <hyperlink ref="B23" location="退撤保率!A1" display="退撤保率"/>
    <hyperlink ref="B24" location="续期收费率!A1" display="续期收费率"/>
    <hyperlink ref="B25" location="新契约回访完成率!A1" display="新契约回访完成率"/>
    <hyperlink ref="B26" location="犹豫期内电话回访成功率!A1" display="犹豫期内电话回访成功率"/>
    <hyperlink ref="B27" location="员工流失率!A1" display="员工流失率"/>
    <hyperlink ref="B19" location="绩效总分!A1" display="绩效总分"/>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28</vt:i4>
      </vt:variant>
      <vt:variant>
        <vt:lpstr>命名范围</vt:lpstr>
      </vt:variant>
      <vt:variant>
        <vt:i4>2</vt:i4>
      </vt:variant>
    </vt:vector>
  </HeadingPairs>
  <TitlesOfParts>
    <vt:vector size="30" baseType="lpstr">
      <vt:lpstr>员工流失率</vt:lpstr>
      <vt:lpstr>犹豫期内电话回访成功率</vt:lpstr>
      <vt:lpstr>新契约回访完成率</vt:lpstr>
      <vt:lpstr>续期收费率</vt:lpstr>
      <vt:lpstr>退撤保率</vt:lpstr>
      <vt:lpstr>总公司绩效-II</vt:lpstr>
      <vt:lpstr>总公司绩效-I</vt:lpstr>
      <vt:lpstr>分公司绩效</vt:lpstr>
      <vt:lpstr>目录</vt:lpstr>
      <vt:lpstr>FM02-分支机构封面页</vt:lpstr>
      <vt:lpstr>权重</vt:lpstr>
      <vt:lpstr>OR04-分公司销售、承保、保全</vt:lpstr>
      <vt:lpstr>OR08-分公司理赔</vt:lpstr>
      <vt:lpstr>单证遗失情况</vt:lpstr>
      <vt:lpstr>绩效评分汇总页</vt:lpstr>
      <vt:lpstr>OR13-分公司财务管理</vt:lpstr>
      <vt:lpstr>OR02-销售承保</vt:lpstr>
      <vt:lpstr>OR06-理赔保全</vt:lpstr>
      <vt:lpstr>OR10-资金运用</vt:lpstr>
      <vt:lpstr>OR12-财务管理</vt:lpstr>
      <vt:lpstr>OR15-准备金再保险</vt:lpstr>
      <vt:lpstr>OR18-合规风险</vt:lpstr>
      <vt:lpstr>信息系统</vt:lpstr>
      <vt:lpstr>案件管理</vt:lpstr>
      <vt:lpstr>流动性风险</vt:lpstr>
      <vt:lpstr>公司治理</vt:lpstr>
      <vt:lpstr>战略风险</vt:lpstr>
      <vt:lpstr>事件登记</vt:lpstr>
      <vt:lpstr>案件管理!Print_Area</vt:lpstr>
      <vt:lpstr>案件管理!Print_Titles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yfl</dc:creator>
  <cp:lastModifiedBy>徐梦薇/Mengwei Xu</cp:lastModifiedBy>
  <cp:lastPrinted>2018-01-09T06:16:55Z</cp:lastPrinted>
  <dcterms:created xsi:type="dcterms:W3CDTF">2016-07-18T02:45:56Z</dcterms:created>
  <dcterms:modified xsi:type="dcterms:W3CDTF">2019-08-12T03:51:01Z</dcterms:modified>
</cp:coreProperties>
</file>