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hidePivotFieldList="1" defaultThemeVersion="124226"/>
  <mc:AlternateContent xmlns:mc="http://schemas.openxmlformats.org/markup-compatibility/2006">
    <mc:Choice Requires="x15">
      <x15ac:absPath xmlns:x15ac="http://schemas.microsoft.com/office/spreadsheetml/2010/11/ac" url="C:\Users\FC\Desktop\绩效\"/>
    </mc:Choice>
  </mc:AlternateContent>
  <bookViews>
    <workbookView xWindow="-15" yWindow="15" windowWidth="19260" windowHeight="5955" tabRatio="874" firstSheet="3" activeTab="5"/>
  </bookViews>
  <sheets>
    <sheet name="员工流失率√" sheetId="28" r:id="rId1"/>
    <sheet name="犹豫期内电话回访成功率√" sheetId="29" r:id="rId2"/>
    <sheet name="新契约回访完成率√" sheetId="30" r:id="rId3"/>
    <sheet name="续期收费率√" sheetId="32" r:id="rId4"/>
    <sheet name="退撤保率√" sheetId="33" r:id="rId5"/>
    <sheet name="总公司绩效-II" sheetId="27" r:id="rId6"/>
    <sheet name="总公司绩效-I" sheetId="26" r:id="rId7"/>
    <sheet name="分公司绩效" sheetId="25" r:id="rId8"/>
    <sheet name="目录" sheetId="9" r:id="rId9"/>
    <sheet name="FM02-分支机构封面页" sheetId="21" r:id="rId10"/>
    <sheet name="权重" sheetId="24" r:id="rId11"/>
    <sheet name="OR04-分公司销售、承保、保全" sheetId="18" r:id="rId12"/>
    <sheet name="OR08-分公司理赔" sheetId="19" r:id="rId13"/>
    <sheet name="单证遗失情况" sheetId="22" state="hidden" r:id="rId14"/>
    <sheet name="绩效评分汇总页" sheetId="23" state="hidden" r:id="rId15"/>
    <sheet name="OR13-分公司财务管理" sheetId="20" r:id="rId16"/>
    <sheet name="OR02-销售承保" sheetId="2" r:id="rId17"/>
    <sheet name="OR06-理赔保全" sheetId="3" r:id="rId18"/>
    <sheet name="OR10-资金运用" sheetId="4" r:id="rId19"/>
    <sheet name="OR12-财务管理" sheetId="5" r:id="rId20"/>
    <sheet name="OR15-准备金再保险" sheetId="6" r:id="rId21"/>
    <sheet name="OR18-合规风险" sheetId="7" r:id="rId22"/>
    <sheet name="信息系统" sheetId="12" r:id="rId23"/>
    <sheet name="案件管理" sheetId="16" r:id="rId24"/>
    <sheet name="流动性风险" sheetId="10" r:id="rId25"/>
    <sheet name="公司治理" sheetId="11" r:id="rId26"/>
    <sheet name="战略风险" sheetId="15" r:id="rId27"/>
    <sheet name="事件登记" sheetId="34" r:id="rId28"/>
  </sheets>
  <externalReferences>
    <externalReference r:id="rId29"/>
    <externalReference r:id="rId30"/>
    <externalReference r:id="rId31"/>
  </externalReferences>
  <definedNames>
    <definedName name="_xlnm._FilterDatabase" localSheetId="16" hidden="1">'OR02-销售承保'!$A$3:$AA$45</definedName>
    <definedName name="_xlnm._FilterDatabase" localSheetId="11" hidden="1">'OR04-分公司销售、承保、保全'!$A$3:$CK$84</definedName>
    <definedName name="_xlnm._FilterDatabase" localSheetId="17" hidden="1">'OR06-理赔保全'!$A$3:$U$28</definedName>
    <definedName name="_xlnm._FilterDatabase" localSheetId="12" hidden="1">'OR08-分公司理赔'!$A$3:$CB$49</definedName>
    <definedName name="_xlnm._FilterDatabase" localSheetId="18" hidden="1">'OR10-资金运用'!$A$3:$AA$66</definedName>
    <definedName name="_xlnm._FilterDatabase" localSheetId="19" hidden="1">'OR12-财务管理'!$A$3:$X$48</definedName>
    <definedName name="_xlnm._FilterDatabase" localSheetId="15" hidden="1">'OR13-分公司财务管理'!$A$3:$CD$65</definedName>
    <definedName name="_xlnm._FilterDatabase" localSheetId="20" hidden="1">'OR15-准备金再保险'!$C$3:$V$19</definedName>
    <definedName name="_xlnm._FilterDatabase" localSheetId="21" hidden="1">'OR18-合规风险'!$A$1:$W$26</definedName>
    <definedName name="_xlnm._FilterDatabase" localSheetId="23" hidden="1">案件管理!$F$2:$M$21</definedName>
    <definedName name="_xlnm._FilterDatabase" localSheetId="25" hidden="1">公司治理!$A$3:$M$96</definedName>
    <definedName name="_xlnm._FilterDatabase" localSheetId="27" hidden="1">事件登记!$A$1:$Q$55</definedName>
    <definedName name="_xlnm._FilterDatabase" localSheetId="4" hidden="1">退撤保率√!$A$1:$Q$50</definedName>
    <definedName name="_xlnm._FilterDatabase" localSheetId="22" hidden="1">信息系统!$A$2:$L$137</definedName>
    <definedName name="_xlnm._FilterDatabase" localSheetId="3" hidden="1">续期收费率√!$A$1:$P$121</definedName>
    <definedName name="_xlnm._FilterDatabase" localSheetId="26" hidden="1">战略风险!$A$2:$F$32</definedName>
    <definedName name="_xlnm._FilterDatabase" localSheetId="6" hidden="1">'总公司绩效-I'!$D$133:$D$137</definedName>
    <definedName name="_xlnm._FilterDatabase" localSheetId="5" hidden="1">'总公司绩效-II'!$A$1:$M$84</definedName>
    <definedName name="boolean" localSheetId="23">'[1]Database-下拉框'!$B$2:$B$3</definedName>
    <definedName name="boolean" localSheetId="26">'[1]Database-下拉框'!$B$2:$B$3</definedName>
    <definedName name="LR01_D1.1.1_报告期的实际净现金流" localSheetId="23">'[2]Database-分值计算'!$B$917:$C$918</definedName>
    <definedName name="LR01_D1.1.1_报告期的实际净现金流" localSheetId="26">'[2]Database-分值计算'!$B$917:$C$918</definedName>
    <definedName name="LR01_D1.1.2.1_在基本情景下未来预计净现金流_财产险和再保险公司" localSheetId="23">'[2]Database-分值计算'!$B$919:$C$920</definedName>
    <definedName name="LR01_D1.1.2.1_在基本情景下未来预计净现金流_财产险和再保险公司" localSheetId="26">'[2]Database-分值计算'!$B$919:$C$920</definedName>
    <definedName name="LR01_D1.1.2.3_在基本情景下未来预计净现金流_人身险公司_报告日后第1年" localSheetId="23">'[2]Database-分值计算'!$B$921:$C$922</definedName>
    <definedName name="LR01_D1.1.2.3_在基本情景下未来预计净现金流_人身险公司_报告日后第1年" localSheetId="26">'[2]Database-分值计算'!$B$921:$C$922</definedName>
    <definedName name="LR01_D1.1.2.4_在基本情景下未来预计净现金流_人身险公司_报告日后第2年和第3年" localSheetId="23">'[2]Database-分值计算'!$B$923:$C$924</definedName>
    <definedName name="LR01_D1.1.2.4_在基本情景下未来预计净现金流_人身险公司_报告日后第2年和第3年" localSheetId="26">'[2]Database-分值计算'!$B$923:$C$924</definedName>
    <definedName name="LR01_D1.1.3.1_在压力情景下未来预计净现金流_财产险和再保险公司" localSheetId="23">'[2]Database-分值计算'!$B$925:$C$926</definedName>
    <definedName name="LR01_D1.1.3.1_在压力情景下未来预计净现金流_财产险和再保险公司" localSheetId="26">'[2]Database-分值计算'!$B$925:$C$926</definedName>
    <definedName name="LR01_D1.1.3.3_在压力情景下未来预计净现金流_人身险公司_报告日后第1年" localSheetId="23">'[2]Database-分值计算'!$B$927:$C$928</definedName>
    <definedName name="LR01_D1.1.3.3_在压力情景下未来预计净现金流_人身险公司_报告日后第1年" localSheetId="26">'[2]Database-分值计算'!$B$927:$C$928</definedName>
    <definedName name="LR01_D1.1.3.4_在压力情景下未来预计净现金流_人身险公司_报告日后第2年和第3年" localSheetId="23">'[2]Database-分值计算'!$B$929:$C$930</definedName>
    <definedName name="LR01_D1.1.3.4_在压力情景下未来预计净现金流_人身险公司_报告日后第2年和第3年" localSheetId="26">'[2]Database-分值计算'!$B$929:$C$930</definedName>
    <definedName name="LR01_D1.2.2_综合流动比率_财产险和再保险公司" localSheetId="23">'[2]Database-分值计算'!$B$931:$C$932</definedName>
    <definedName name="LR01_D1.2.2_综合流动比率_财产险和再保险公司" localSheetId="26">'[2]Database-分值计算'!$B$931:$C$932</definedName>
    <definedName name="LR01_D1.2.4_综合流动比率_人身险公司" localSheetId="23">'[2]Database-分值计算'!$B$933:$C$934</definedName>
    <definedName name="LR01_D1.2.4_综合流动比率_人身险公司" localSheetId="26">'[2]Database-分值计算'!$B$933:$C$934</definedName>
    <definedName name="LR01_D1.3_流动性覆盖率" localSheetId="23">'[2]Database-分值计算'!$B$935:$C$939</definedName>
    <definedName name="LR01_D1.3_流动性覆盖率" localSheetId="26">'[2]Database-分值计算'!$B$935:$C$939</definedName>
    <definedName name="OR01_D1.1.1_销售人员管理情况" localSheetId="23">'[2]Database-分值计算'!$B$2:$C$4</definedName>
    <definedName name="OR01_D1.1.1_销售人员管理情况" localSheetId="26">'[2]Database-分值计算'!$B$2:$C$4</definedName>
    <definedName name="OR01_D1.1.2_核保人员管理情况" localSheetId="23">'[2]Database-分值计算'!$B$5:$C$7</definedName>
    <definedName name="OR01_D1.1.2_核保人员管理情况" localSheetId="26">'[2]Database-分值计算'!$B$5:$C$7</definedName>
    <definedName name="OR01_D1.2.1_核保授权管理建设情况" localSheetId="23">'[2]Database-分值计算'!$B$8:$C$10</definedName>
    <definedName name="OR01_D1.2.1_核保授权管理建设情况" localSheetId="26">'[2]Database-分值计算'!$B$8:$C$10</definedName>
    <definedName name="OR01_D2.1.1_合作中介机构资质完备率" localSheetId="23">'[2]Database-分值计算'!$B$11:$C$14</definedName>
    <definedName name="OR01_D2.1.1_合作中介机构资质完备率" localSheetId="26">'[2]Database-分值计算'!$B$11:$C$14</definedName>
    <definedName name="OR01_D2.1.2_中介代理协议签订合格率" localSheetId="23">'[2]Database-分值计算'!$B$15:$C$18</definedName>
    <definedName name="OR01_D2.1.2_中介代理协议签订合格率" localSheetId="26">'[2]Database-分值计算'!$B$15:$C$18</definedName>
    <definedName name="OR01_D2.1.3_手续费跟单率" localSheetId="23">'[2]Database-分值计算'!$B$19:$C$22</definedName>
    <definedName name="OR01_D2.1.3_手续费跟单率" localSheetId="26">'[2]Database-分值计算'!$B$19:$C$22</definedName>
    <definedName name="OR01_D2.2.1.1_对需审批的保险条款和费率执行情况" localSheetId="23">'[2]Database-分值计算'!$B$23:$C$24</definedName>
    <definedName name="OR01_D2.2.1.1_对需审批的保险条款和费率执行情况" localSheetId="26">'[2]Database-分值计算'!$B$23:$C$24</definedName>
    <definedName name="OR01_D2.2.1.2_对不需审批的保险条款和费率执行情况" localSheetId="23">'[2]Database-分值计算'!$B$25:$C$26</definedName>
    <definedName name="OR01_D2.2.1.2_对不需审批的保险条款和费率执行情况" localSheetId="26">'[2]Database-分值计算'!$B$25:$C$26</definedName>
    <definedName name="OR01_D2.2.1.3_经保监会批准或备案的保险条款和费率的执行情况" localSheetId="23">'[2]Database-分值计算'!$B$27:$C$28</definedName>
    <definedName name="OR01_D2.2.1.3_经保监会批准或备案的保险条款和费率的执行情况" localSheetId="26">'[2]Database-分值计算'!$B$27:$C$28</definedName>
    <definedName name="OR01_D2.2.4_签单日期晚于起保日期的保费_当期总保费" localSheetId="23">'[2]Database-分值计算'!$B$29:$C$32</definedName>
    <definedName name="OR01_D2.2.4_签单日期晚于起保日期的保费_当期总保费" localSheetId="26">'[2]Database-分值计算'!$B$29:$C$32</definedName>
    <definedName name="OR01_D2.3_承保档案管理情况" localSheetId="23">'[2]Database-分值计算'!$B$33:$C$35</definedName>
    <definedName name="OR01_D2.3_承保档案管理情况" localSheetId="26">'[2]Database-分值计算'!$B$33:$C$35</definedName>
    <definedName name="OR01_D2.4.1_符合产品特点的应收保费管理细则制定情况" localSheetId="23">'[2]Database-分值计算'!$B$36:$C$37</definedName>
    <definedName name="OR01_D2.4.1_符合产品特点的应收保费管理细则制定情况" localSheetId="26">'[2]Database-分值计算'!$B$36:$C$37</definedName>
    <definedName name="OR01_D2.4.2_根据应收保费管理细则实施应收保费的日常管理情况" localSheetId="23">'[2]Database-分值计算'!$B$38:$C$39</definedName>
    <definedName name="OR01_D2.4.2_根据应收保费管理细则实施应收保费的日常管理情况" localSheetId="26">'[2]Database-分值计算'!$B$38:$C$39</definedName>
    <definedName name="OR01_D2.4.3_对应收账龄超过3个月的应收保费开展催收情况" localSheetId="23">'[2]Database-分值计算'!$B$40:$C$41</definedName>
    <definedName name="OR01_D2.4.3_对应收账龄超过3个月的应收保费开展催收情况" localSheetId="26">'[2]Database-分值计算'!$B$40:$C$41</definedName>
    <definedName name="OR01_D2.4.4_总公司应收保费考核开展情况" localSheetId="23">'[2]Database-分值计算'!$B$42:$C$43</definedName>
    <definedName name="OR01_D2.4.4_总公司应收保费考核开展情况" localSheetId="26">'[2]Database-分值计算'!$B$42:$C$43</definedName>
    <definedName name="OR01_D2.5.1_利用广告后其他宣传方式对保险条款内容和服务质量等做引人误解的宣传情况" localSheetId="23">'[2]Database-分值计算'!$B$44:$C$45</definedName>
    <definedName name="OR01_D2.5.1_利用广告后其他宣传方式对保险条款内容和服务质量等做引人误解的宣传情况" localSheetId="26">'[2]Database-分值计算'!$B$44:$C$45</definedName>
    <definedName name="OR01_D2.5.2_在销售活动中阻碍消费者履行如实告知义务或诱导其不履行如实告知义务情况" localSheetId="23">'[2]Database-分值计算'!$B$46:$C$47</definedName>
    <definedName name="OR01_D2.5.2_在销售活动中阻碍消费者履行如实告知义务或诱导其不履行如实告知义务情况" localSheetId="26">'[2]Database-分值计算'!$B$46:$C$47</definedName>
    <definedName name="OR01_D2.5.3_夸大保险产品保障情况" localSheetId="23">'[2]Database-分值计算'!$B$48:$C$49</definedName>
    <definedName name="OR01_D2.5.3_夸大保险产品保障情况" localSheetId="26">'[2]Database-分值计算'!$B$48:$C$49</definedName>
    <definedName name="OR01_D2.5.4_隐瞒合同重要内容如免责退保等内容情况" localSheetId="23">'[2]Database-分值计算'!$B$50:$C$51</definedName>
    <definedName name="OR01_D2.5.4_隐瞒合同重要内容如免责退保等内容情况" localSheetId="26">'[2]Database-分值计算'!$B$50:$C$51</definedName>
    <definedName name="OR01_D2.5.5_提供虚假产品信息情况" localSheetId="23">'[2]Database-分值计算'!$B$52:$C$53</definedName>
    <definedName name="OR01_D2.5.5_提供虚假产品信息情况" localSheetId="26">'[2]Database-分值计算'!$B$52:$C$53</definedName>
    <definedName name="OR01_D3.1.1.1_业务信息系统管理完整性得分" localSheetId="23">'[2]Database-分值计算'!$B$54:$C$55</definedName>
    <definedName name="OR01_D3.1.1.1_业务信息系统管理完整性得分" localSheetId="26">'[2]Database-分值计算'!$B$54:$C$55</definedName>
    <definedName name="OR01_D3.1.1.2_业务统计分析系统管理完整性得分" localSheetId="23">'[2]Database-分值计算'!$B$56:$C$57</definedName>
    <definedName name="OR01_D3.1.1.2_业务统计分析系统管理完整性得分" localSheetId="26">'[2]Database-分值计算'!$B$56:$C$57</definedName>
    <definedName name="OR01_D3.1.1.3_承保业务系统与再保、财务系统对接情况得分" localSheetId="23">'[2]Database-分值计算'!$B$58:$C$59</definedName>
    <definedName name="OR01_D3.1.1.3_承保业务系统与再保、财务系统对接情况得分" localSheetId="26">'[2]Database-分值计算'!$B$58:$C$59</definedName>
    <definedName name="OR01_D3.1.2_销售管理系统建设情况" localSheetId="23">'[2]Database-分值计算'!$B$60:$C$62</definedName>
    <definedName name="OR01_D3.1.2_销售管理系统建设情况" localSheetId="26">'[2]Database-分值计算'!$B$60:$C$62</definedName>
    <definedName name="OR01_D3.2.1_关键承保信息质量及一致性情况" localSheetId="23">'[2]Database-分值计算'!$B$63:$C$65</definedName>
    <definedName name="OR01_D3.2.1_关键承保信息质量及一致性情况" localSheetId="26">'[2]Database-分值计算'!$B$63:$C$65</definedName>
    <definedName name="OR01_D5.1_行业人员水平调整" localSheetId="23">'[2]Database-分值计算'!$B$71:$C$73</definedName>
    <definedName name="OR01_D5.1_行业人员水平调整" localSheetId="26">'[2]Database-分值计算'!$B$71:$C$73</definedName>
    <definedName name="OR01_D5.2_行业内控水平调整" localSheetId="23">'[2]Database-分值计算'!$B$74:$C$76</definedName>
    <definedName name="OR01_D5.2_行业内控水平调整" localSheetId="26">'[2]Database-分值计算'!$B$74:$C$76</definedName>
    <definedName name="OR01_D5.3_行业系统水平调整" localSheetId="23">'[2]Database-分值计算'!$B$77:$C$79</definedName>
    <definedName name="OR01_D5.3_行业系统水平调整" localSheetId="26">'[2]Database-分值计算'!$B$77:$C$79</definedName>
    <definedName name="OR01_D6.1_农业保险核验标的率" localSheetId="23">'[2]Database-分值计算'!$B$66:$C$68</definedName>
    <definedName name="OR01_D6.1_农业保险核验标的率" localSheetId="26">'[2]Database-分值计算'!$B$66:$C$68</definedName>
    <definedName name="OR01_D6.2_农业保险承保到户情况" localSheetId="23">'[2]Database-分值计算'!$B$69:$C$70</definedName>
    <definedName name="OR01_D6.2_农业保险承保到户情况" localSheetId="26">'[2]Database-分值计算'!$B$69:$C$70</definedName>
    <definedName name="OR01_X1.1.1_销售人员管理情况" localSheetId="23">'[2]Database-下拉框'!$B$4:$B$6</definedName>
    <definedName name="OR01_X1.1.1_销售人员管理情况" localSheetId="26">'[2]Database-下拉框'!$B$4:$B$6</definedName>
    <definedName name="OR01_X1.1.2_核保人员管理情况" localSheetId="23">'[2]Database-下拉框'!$B$7:$B$9</definedName>
    <definedName name="OR01_X1.1.2_核保人员管理情况" localSheetId="26">'[2]Database-下拉框'!$B$7:$B$9</definedName>
    <definedName name="OR01_X1.2.1_核保授权管理建设情况" localSheetId="23">'[2]Database-下拉框'!$B$10:$B$12</definedName>
    <definedName name="OR01_X1.2.1_核保授权管理建设情况" localSheetId="26">'[2]Database-下拉框'!$B$10:$B$12</definedName>
    <definedName name="OR01_X2.2.1.1_对需审批的保险条款和费率执行情况" localSheetId="23">'[2]Database-下拉框'!$B$13:$B$14</definedName>
    <definedName name="OR01_X2.2.1.1_对需审批的保险条款和费率执行情况" localSheetId="26">'[2]Database-下拉框'!$B$13:$B$14</definedName>
    <definedName name="OR01_X2.2.1.2_对不需审批的保险条款和费率执行情况" localSheetId="23">'[2]Database-下拉框'!$B$15:$B$16</definedName>
    <definedName name="OR01_X2.2.1.2_对不需审批的保险条款和费率执行情况" localSheetId="26">'[2]Database-下拉框'!$B$15:$B$16</definedName>
    <definedName name="OR01_X2.2.1.3_经保监会批准或备案的保险条款和费率的执行情况" localSheetId="23">'[2]Database-下拉框'!$B$17:$B$18</definedName>
    <definedName name="OR01_X2.2.1.3_经保监会批准或备案的保险条款和费率的执行情况" localSheetId="26">'[2]Database-下拉框'!$B$17:$B$18</definedName>
    <definedName name="OR01_X2.3_承保档案管理情况" localSheetId="23">'[2]Database-下拉框'!$B$37:$B$39</definedName>
    <definedName name="OR01_X2.3_承保档案管理情况" localSheetId="26">'[2]Database-下拉框'!$B$37:$B$39</definedName>
    <definedName name="OR01_X2.4.1_符合产品特点的应收保费管理细则制定情况" localSheetId="23">'[2]Database-下拉框'!$B$19:$B$20</definedName>
    <definedName name="OR01_X2.4.1_符合产品特点的应收保费管理细则制定情况" localSheetId="26">'[2]Database-下拉框'!$B$19:$B$20</definedName>
    <definedName name="OR01_X2.4.2_根据应收保费管理细则实施应收保费的日常管理情况" localSheetId="23">'[2]Database-下拉框'!$B$21:$B$22</definedName>
    <definedName name="OR01_X2.4.2_根据应收保费管理细则实施应收保费的日常管理情况" localSheetId="26">'[2]Database-下拉框'!$B$21:$B$22</definedName>
    <definedName name="OR01_X2.4.3_对应收账龄超过3个月的应收保费开展催收情况" localSheetId="23">'[2]Database-下拉框'!$B$23:$B$24</definedName>
    <definedName name="OR01_X2.4.3_对应收账龄超过3个月的应收保费开展催收情况" localSheetId="26">'[2]Database-下拉框'!$B$23:$B$24</definedName>
    <definedName name="OR01_X2.4.4_总公司应收保费考核开展情况" localSheetId="23">'[2]Database-下拉框'!$B$25:$B$26</definedName>
    <definedName name="OR01_X2.4.4_总公司应收保费考核开展情况" localSheetId="26">'[2]Database-下拉框'!$B$25:$B$26</definedName>
    <definedName name="OR01_X2.5.1_利用广告后其他宣传方式对保险条款内容和服务质量等做引人误解的宣传情况" localSheetId="23">'[2]Database-下拉框'!$B$27:$B$28</definedName>
    <definedName name="OR01_X2.5.1_利用广告后其他宣传方式对保险条款内容和服务质量等做引人误解的宣传情况" localSheetId="26">'[2]Database-下拉框'!$B$27:$B$28</definedName>
    <definedName name="OR01_X2.5.2_在销售活动中阻碍消费者履行如实告知义务或诱导其不履行如实告知义务情况" localSheetId="23">'[2]Database-下拉框'!$B$29:$B$30</definedName>
    <definedName name="OR01_X2.5.2_在销售活动中阻碍消费者履行如实告知义务或诱导其不履行如实告知义务情况" localSheetId="26">'[2]Database-下拉框'!$B$29:$B$30</definedName>
    <definedName name="OR01_X2.5.3_夸大保险产品保障情况" localSheetId="23">'[2]Database-下拉框'!$B$31:$B$32</definedName>
    <definedName name="OR01_X2.5.3_夸大保险产品保障情况" localSheetId="26">'[2]Database-下拉框'!$B$31:$B$32</definedName>
    <definedName name="OR01_X2.5.4_隐瞒合同重要内容如免责退保等内容情况" localSheetId="23">'[2]Database-下拉框'!$B$33:$B$34</definedName>
    <definedName name="OR01_X2.5.4_隐瞒合同重要内容如免责退保等内容情况" localSheetId="26">'[2]Database-下拉框'!$B$33:$B$34</definedName>
    <definedName name="OR01_X2.5.5_提供虚假产品信息情况" localSheetId="23">'[2]Database-下拉框'!$B$35:$B$36</definedName>
    <definedName name="OR01_X2.5.5_提供虚假产品信息情况" localSheetId="26">'[2]Database-下拉框'!$B$35:$B$36</definedName>
    <definedName name="OR01_X3.1.1.1_业务信息系统管理完整性" localSheetId="23">'[2]Database-下拉框'!$B$40:$B$41</definedName>
    <definedName name="OR01_X3.1.1.1_业务信息系统管理完整性" localSheetId="26">'[2]Database-下拉框'!$B$40:$B$41</definedName>
    <definedName name="OR01_X3.1.1.2_业务统计分析系统管理完整性" localSheetId="23">'[2]Database-下拉框'!$B$42:$B$43</definedName>
    <definedName name="OR01_X3.1.1.2_业务统计分析系统管理完整性" localSheetId="26">'[2]Database-下拉框'!$B$42:$B$43</definedName>
    <definedName name="OR01_X3.1.1.3_承保业务系统与再保、财务系统对接情况" localSheetId="23">'[2]Database-下拉框'!$B$44:$B$45</definedName>
    <definedName name="OR01_X3.1.1.3_承保业务系统与再保、财务系统对接情况" localSheetId="26">'[2]Database-下拉框'!$B$44:$B$45</definedName>
    <definedName name="OR01_X3.1.2_销售管理系统建设情况" localSheetId="23">'[2]Database-下拉框'!$B$46:$B$48</definedName>
    <definedName name="OR01_X3.1.2_销售管理系统建设情况" localSheetId="26">'[2]Database-下拉框'!$B$46:$B$48</definedName>
    <definedName name="OR01_X3.2.1_关键承保信息质量及一致性情况" localSheetId="23">'[2]Database-下拉框'!$B$49:$B$51</definedName>
    <definedName name="OR01_X3.2.1_关键承保信息质量及一致性情况" localSheetId="26">'[2]Database-下拉框'!$B$49:$B$51</definedName>
    <definedName name="OR01_X6.2_农业保险承保到户情况" localSheetId="23">'[2]Database-下拉框'!$B$52:$B$53</definedName>
    <definedName name="OR01_X6.2_农业保险承保到户情况" localSheetId="26">'[2]Database-下拉框'!$B$52:$B$53</definedName>
    <definedName name="OR02_D1.1_销售人员离职率" localSheetId="23">'[2]Database-分值计算'!$B$80:$C$83</definedName>
    <definedName name="OR02_D1.1_销售人员离职率" localSheetId="26">'[2]Database-分值计算'!$B$80:$C$83</definedName>
    <definedName name="OR02_D1.2_电话回访人员数量" localSheetId="23">'[2]Database-分值计算'!$B$84:$C$87</definedName>
    <definedName name="OR02_D1.2_电话回访人员数量" localSheetId="26">'[2]Database-分值计算'!$B$84:$C$87</definedName>
    <definedName name="OR02_D1.3_核保人员人均核保保单数量" localSheetId="23">'[2]Database-分值计算'!$B$88:$C$91</definedName>
    <definedName name="OR02_D1.3_核保人员人均核保保单数量" localSheetId="26">'[2]Database-分值计算'!$B$88:$C$91</definedName>
    <definedName name="OR02_D1.4_核保人员工作经验" localSheetId="23">'[2]Database-分值计算'!$B$92:$C$95</definedName>
    <definedName name="OR02_D1.4_核保人员工作经验" localSheetId="26">'[2]Database-分值计算'!$B$92:$C$95</definedName>
    <definedName name="OR02_D1.5_销售人员学历水平" localSheetId="23">'[2]Database-分值计算'!$B$96:$C$99</definedName>
    <definedName name="OR02_D1.5_销售人员学历水平" localSheetId="26">'[2]Database-分值计算'!$B$96:$C$99</definedName>
    <definedName name="OR02_D1.6_销售人员责任追究" localSheetId="23">'[2]Database-分值计算'!$B$100:$C$103</definedName>
    <definedName name="OR02_D1.6_销售人员责任追究" localSheetId="26">'[2]Database-分值计算'!$B$100:$C$103</definedName>
    <definedName name="OR02_D2.1_电话回访成功率" localSheetId="23">'[2]Database-分值计算'!$B$104:$C$106</definedName>
    <definedName name="OR02_D2.1_电话回访成功率" localSheetId="26">'[2]Database-分值计算'!$B$104:$C$106</definedName>
    <definedName name="OR02_D2.2_电客户信息真实性" localSheetId="23">'[2]Database-分值计算'!$B$106:$C$109</definedName>
    <definedName name="OR02_D2.2_电客户信息真实性" localSheetId="26">'[2]Database-分值计算'!$B$106:$C$109</definedName>
    <definedName name="OR02_D2.5_电话营销销售误导问题" localSheetId="23">'[2]Database-分值计算'!$B$110:$C$113</definedName>
    <definedName name="OR02_D2.5_电话营销销售误导问题" localSheetId="26">'[2]Database-分值计算'!$B$110:$C$113</definedName>
    <definedName name="OR02_D3.1_银保通系统得分" localSheetId="23">'[2]Database-分值计算'!$B$114:$C$115</definedName>
    <definedName name="OR02_D3.1_银保通系统得分" localSheetId="26">'[2]Database-分值计算'!$B$114:$C$115</definedName>
    <definedName name="OR02_D3.2.1_与核心业务系统实时对接" localSheetId="23">'[2]Database-分值计算'!$B$116:$C$117</definedName>
    <definedName name="OR02_D3.2.1_与核心业务系统实时对接" localSheetId="26">'[2]Database-分值计算'!$B$116:$C$117</definedName>
    <definedName name="OR02_D3.2.2_意外险保单信息记录的完整性" localSheetId="23">'[2]Database-分值计算'!$B$118:$C$119</definedName>
    <definedName name="OR02_D3.2.2_意外险保单信息记录的完整性" localSheetId="26">'[2]Database-分值计算'!$B$118:$C$119</definedName>
    <definedName name="OR02_D3.3.1_系统完整性控制功能得分" localSheetId="23">'[2]Database-分值计算'!$B$120:$C$122</definedName>
    <definedName name="OR02_D3.3.1_系统完整性控制功能得分" localSheetId="26">'[2]Database-分值计算'!$B$120:$C$122</definedName>
    <definedName name="OR02_D3.3.2_系统逻辑准确性功能得分" localSheetId="23">'[2]Database-分值计算'!$B$123:$C$125</definedName>
    <definedName name="OR02_D3.3.2_系统逻辑准确性功能得分" localSheetId="26">'[2]Database-分值计算'!$B$123:$C$125</definedName>
    <definedName name="OR02_D4.1_监管部门接到的关于承保、销售业务线的投诉得分" localSheetId="23">'[2]Database-分值计算'!$B$126:$C$130</definedName>
    <definedName name="OR02_D4.1_监管部门接到的关于承保、销售业务线的投诉得分" localSheetId="26">'[2]Database-分值计算'!$B$126:$C$130</definedName>
    <definedName name="OR02_D4.2_保险公司接到的关于承保、销售业务线的投诉得分" localSheetId="23">'[2]Database-分值计算'!$B$131:$C$135</definedName>
    <definedName name="OR02_D4.2_保险公司接到的关于承保、销售业务线的投诉得分" localSheetId="26">'[2]Database-分值计算'!$B$131:$C$135</definedName>
    <definedName name="OR02_X3.1_银邮保通系统" localSheetId="23">'[2]Database-下拉框'!$B$54:$B$55</definedName>
    <definedName name="OR02_X3.1_银邮保通系统" localSheetId="26">'[2]Database-下拉框'!$B$54:$B$55</definedName>
    <definedName name="OR02_X3.2.1_与核心业务系统实时对接" localSheetId="23">'[2]Database-下拉框'!$B$56:$B$57</definedName>
    <definedName name="OR02_X3.2.1_与核心业务系统实时对接" localSheetId="26">'[2]Database-下拉框'!$B$56:$B$57</definedName>
    <definedName name="OR02_X3.2.2_意外险保单信息记录的完整性" localSheetId="23">'[2]Database-下拉框'!$B$58:$B$59</definedName>
    <definedName name="OR02_X3.2.2_意外险保单信息记录的完整性" localSheetId="26">'[2]Database-下拉框'!$B$58:$B$59</definedName>
    <definedName name="OR02_X3.3.1_系统完整性控制功能得分" localSheetId="23">'[2]Database-下拉框'!$B$60:$B$62</definedName>
    <definedName name="OR02_X3.3.1_系统完整性控制功能得分" localSheetId="26">'[2]Database-下拉框'!$B$60:$B$62</definedName>
    <definedName name="OR02_X3.3.2_系统逻辑准确性功能得分" localSheetId="23">'[2]Database-下拉框'!$B$63:$B$65</definedName>
    <definedName name="OR02_X3.3.2_系统逻辑准确性功能得分" localSheetId="26">'[2]Database-下拉框'!$B$63:$B$65</definedName>
    <definedName name="OR03_D1.1.1_管理层离职率得分" localSheetId="23">'[2]Database-分值计算'!$B$136:$C$138</definedName>
    <definedName name="OR03_D1.1.1_管理层离职率得分" localSheetId="26">'[2]Database-分值计算'!$B$136:$C$138</definedName>
    <definedName name="OR03_D1.1.2_部门管理层从业经验得分" localSheetId="23">'[2]Database-分值计算'!$B$139:$C$141</definedName>
    <definedName name="OR03_D1.1.2_部门管理层从业经验得分" localSheetId="26">'[2]Database-分值计算'!$B$139:$C$141</definedName>
    <definedName name="OR03_D1.2_招聘、解雇得分" localSheetId="23">'[2]Database-分值计算'!$B$142:$C$144</definedName>
    <definedName name="OR03_D1.2_招聘、解雇得分" localSheetId="26">'[2]Database-分值计算'!$B$142:$C$144</definedName>
    <definedName name="OR03_D1.3_培训得分" localSheetId="23">'[2]Database-分值计算'!$B$145:$C$147</definedName>
    <definedName name="OR03_D1.3_培训得分" localSheetId="26">'[2]Database-分值计算'!$B$145:$C$147</definedName>
    <definedName name="OR03_D1.4_业绩管理、薪酬得分" localSheetId="23">'[2]Database-分值计算'!$B$148:$C$149</definedName>
    <definedName name="OR03_D1.4_业绩管理、薪酬得分" localSheetId="26">'[2]Database-分值计算'!$B$148:$C$149</definedName>
    <definedName name="OR03_D2.1.1_中介协议签订率得分" localSheetId="23">'[2]Database-分值计算'!$B$150:$C$151</definedName>
    <definedName name="OR03_D2.1.1_中介协议签订率得分" localSheetId="26">'[2]Database-分值计算'!$B$150:$C$151</definedName>
    <definedName name="OR03_D2.1.2_销售人员协议签订率得分" localSheetId="23">'[2]Database-分值计算'!$B$152:$C$153</definedName>
    <definedName name="OR03_D2.1.2_销售人员协议签订率得分" localSheetId="26">'[2]Database-分值计算'!$B$152:$C$153</definedName>
    <definedName name="OR03_D2.1.3_佣金支付方式得分" localSheetId="23">'[2]Database-分值计算'!$B$154:$C$156</definedName>
    <definedName name="OR03_D2.1.3_佣金支付方式得分" localSheetId="26">'[2]Database-分值计算'!$B$154:$C$156</definedName>
    <definedName name="OR03_D2.2.1_核保权限集中度得分" localSheetId="23">'[2]Database-分值计算'!$B$157:$C$159</definedName>
    <definedName name="OR03_D2.2.1_核保权限集中度得分" localSheetId="26">'[2]Database-分值计算'!$B$157:$C$159</definedName>
    <definedName name="OR03_D2.2.2_承保标的风险评估得分" localSheetId="23">'[2]Database-分值计算'!$B$160:$C$161</definedName>
    <definedName name="OR03_D2.2.2_承保标的风险评估得分" localSheetId="26">'[2]Database-分值计算'!$B$160:$C$161</definedName>
    <definedName name="OR03_D2.2.3_应收保费率得分" localSheetId="23">'[2]Database-分值计算'!$B$162:$C$164</definedName>
    <definedName name="OR03_D2.2.3_应收保费率得分" localSheetId="26">'[2]Database-分值计算'!$B$162:$C$164</definedName>
    <definedName name="OR03_D2.3.1_保费批退率得分" localSheetId="23">'[2]Database-分值计算'!$B$168:$C$170</definedName>
    <definedName name="OR03_D2.3.1_保费批退率得分" localSheetId="26">'[2]Database-分值计算'!$B$168:$C$170</definedName>
    <definedName name="OR03_D2.3.2_保全差错率得分" localSheetId="23">'[2]Database-分值计算'!$B$171:$C$173</definedName>
    <definedName name="OR03_D2.3.2_保全差错率得分" localSheetId="26">'[2]Database-分值计算'!$B$171:$C$173</definedName>
    <definedName name="OR03_D2.3.3_批减资金支付方式得分" localSheetId="23">'[2]Database-分值计算'!$B$174:$C$175</definedName>
    <definedName name="OR03_D2.3.3_批减资金支付方式得分" localSheetId="26">'[2]Database-分值计算'!$B$174:$C$175</definedName>
    <definedName name="OR03_D3.2_佣金系统计提得分" localSheetId="23">'[2]Database-分值计算'!$B$176:$C$177</definedName>
    <definedName name="OR03_D3.2_佣金系统计提得分" localSheetId="26">'[2]Database-分值计算'!$B$176:$C$177</definedName>
    <definedName name="OR03_D5_亿元保费销售、承保、保全操作风险事件数" localSheetId="23">'[2]Database-分值计算'!$B$178:$C$181</definedName>
    <definedName name="OR03_D5_亿元保费销售、承保、保全操作风险事件数" localSheetId="26">'[2]Database-分值计算'!$B$178:$C$181</definedName>
    <definedName name="OR03_X1.4_业绩考核" localSheetId="23">'[2]Database-下拉框'!$B$72:$B$73</definedName>
    <definedName name="OR03_X1.4_业绩考核" localSheetId="26">'[2]Database-下拉框'!$B$72:$B$73</definedName>
    <definedName name="OR03_X2.1.3_佣金支付方式得分" localSheetId="23">'[2]Database-下拉框'!$B$66:$B$68</definedName>
    <definedName name="OR03_X2.1.3_佣金支付方式得分" localSheetId="26">'[2]Database-下拉框'!$B$66:$B$68</definedName>
    <definedName name="OR03_X2.2.1_核保权限集中度得分" localSheetId="23">'[2]Database-下拉框'!$B$69:$B$71</definedName>
    <definedName name="OR03_X2.2.1_核保权限集中度得分" localSheetId="26">'[2]Database-下拉框'!$B$69:$B$71</definedName>
    <definedName name="OR03_X2.2.2_承保标的风险评估" localSheetId="23">'[2]Database-下拉框'!$B$74:$B$75</definedName>
    <definedName name="OR03_X2.2.2_承保标的风险评估" localSheetId="26">'[2]Database-下拉框'!$B$74:$B$75</definedName>
    <definedName name="OR03_X2.3.3_批减资金支付方式" localSheetId="23">'[2]Database-下拉框'!$B$76:$B$77</definedName>
    <definedName name="OR03_X2.3.3_批减资金支付方式" localSheetId="26">'[2]Database-下拉框'!$B$76:$B$77</definedName>
    <definedName name="OR03_X3.2_佣金系统计提" localSheetId="23">'[2]Database-下拉框'!$B$78:$B$79</definedName>
    <definedName name="OR03_X3.2_佣金系统计提" localSheetId="26">'[2]Database-下拉框'!$B$78:$B$79</definedName>
    <definedName name="OR04_D1.1.1_管理层离职率得分" localSheetId="23">'[2]Database-分值计算'!$B$182:$C$184</definedName>
    <definedName name="OR04_D1.1.1_管理层离职率得分" localSheetId="26">'[2]Database-分值计算'!$B$182:$C$184</definedName>
    <definedName name="OR04_D1.1.2_部门管理层从业经验得分" localSheetId="23">'[2]Database-分值计算'!$B$185:$C$187</definedName>
    <definedName name="OR04_D1.1.2_部门管理层从业经验得分" localSheetId="26">'[2]Database-分值计算'!$B$185:$C$187</definedName>
    <definedName name="OR04_D1.2_招聘、解雇得分" localSheetId="23">'[2]Database-分值计算'!$B$188:$C$190</definedName>
    <definedName name="OR04_D1.2_招聘、解雇得分" localSheetId="26">'[2]Database-分值计算'!$B$188:$C$190</definedName>
    <definedName name="OR04_D1.3_培训得分" localSheetId="23">'[2]Database-分值计算'!$B$191:$C$193</definedName>
    <definedName name="OR04_D1.3_培训得分" localSheetId="26">'[2]Database-分值计算'!$B$191:$C$193</definedName>
    <definedName name="OR04_D1.4_业绩管理、薪酬得分" localSheetId="23">'[2]Database-分值计算'!$B$194:$C$195</definedName>
    <definedName name="OR04_D1.4_业绩管理、薪酬得分" localSheetId="26">'[2]Database-分值计算'!$B$194:$C$195</definedName>
    <definedName name="OR04_D2.1.1_中介协议签订率得分" localSheetId="23">'[2]Database-分值计算'!$B$196:$C$197</definedName>
    <definedName name="OR04_D2.1.1_中介协议签订率得分" localSheetId="26">'[2]Database-分值计算'!$B$196:$C$197</definedName>
    <definedName name="OR04_D2.1.2_销售人员协议签订率得分" localSheetId="23">'[2]Database-分值计算'!$B$198:$C$199</definedName>
    <definedName name="OR04_D2.1.2_销售人员协议签订率得分" localSheetId="26">'[2]Database-分值计算'!$B$198:$C$199</definedName>
    <definedName name="OR04_D2.1.3_千张保单投诉量得分" localSheetId="23">'[2]Database-分值计算'!$B$200:$C$202</definedName>
    <definedName name="OR04_D2.1.3_千张保单投诉量得分" localSheetId="26">'[2]Database-分值计算'!$B$200:$C$202</definedName>
    <definedName name="OR04_D2.2.1_承保标的风险评估得分" localSheetId="23">'[2]Database-分值计算'!$B$203:$C$204</definedName>
    <definedName name="OR04_D2.2.1_承保标的风险评估得分" localSheetId="26">'[2]Database-分值计算'!$B$203:$C$204</definedName>
    <definedName name="OR04_D2.2.2_犹豫期内电话回访成功率得分" localSheetId="23">'[2]Database-分值计算'!$B$205:$C$208</definedName>
    <definedName name="OR04_D2.2.2_犹豫期内电话回访成功率得分" localSheetId="26">'[2]Database-分值计算'!$B$205:$C$208</definedName>
    <definedName name="OR04_D2.3.1_续期收费率得分" localSheetId="23">'[2]Database-分值计算'!$B$212:$C$214</definedName>
    <definedName name="OR04_D2.3.1_续期收费率得分" localSheetId="26">'[2]Database-分值计算'!$B$212:$C$214</definedName>
    <definedName name="OR04_D2.3.2_保全变更完成率得分" localSheetId="23">'[2]Database-分值计算'!$B$215:$C$217</definedName>
    <definedName name="OR04_D2.3.2_保全变更完成率得分" localSheetId="26">'[2]Database-分值计算'!$B$215:$C$217</definedName>
    <definedName name="OR04_D2.3.3_退撤保率得分" localSheetId="23">'[2]Database-分值计算'!$B$218:$C$220</definedName>
    <definedName name="OR04_D2.3.3_退撤保率得分" localSheetId="26">'[2]Database-分值计算'!$B$218:$C$220</definedName>
    <definedName name="OR04_D2.3.4_保单失效率得分" localSheetId="23">'[2]Database-分值计算'!$B$221:$C$223</definedName>
    <definedName name="OR04_D2.3.4_保单失效率得分" localSheetId="26">'[2]Database-分值计算'!$B$221:$C$223</definedName>
    <definedName name="OR04_D2.3.5_保全差错率得分" localSheetId="23">'[2]Database-分值计算'!$B$224:$C$226</definedName>
    <definedName name="OR04_D2.3.5_保全差错率得分" localSheetId="26">'[2]Database-分值计算'!$B$224:$C$226</definedName>
    <definedName name="OR04_D2.3.6_保单质押贷款支付方式得分" localSheetId="23">'[2]Database-分值计算'!$B$227:$C$228</definedName>
    <definedName name="OR04_D2.3.6_保单质押贷款支付方式得分" localSheetId="26">'[2]Database-分值计算'!$B$227:$C$228</definedName>
    <definedName name="OR04_D3.2_佣金系统计提得分" localSheetId="23">'[2]Database-分值计算'!$B$229:$C$230</definedName>
    <definedName name="OR04_D3.2_佣金系统计提得分" localSheetId="26">'[2]Database-分值计算'!$B$229:$C$230</definedName>
    <definedName name="OR04_D5_亿元保费销售、承保、保全操作风险事件数" localSheetId="23">'[2]Database-分值计算'!$B$231:$C$234</definedName>
    <definedName name="OR04_D5_亿元保费销售、承保、保全操作风险事件数" localSheetId="26">'[2]Database-分值计算'!$B$231:$C$234</definedName>
    <definedName name="OR04_X1.4_业绩考核" localSheetId="23">'[2]Database-下拉框'!$B$80:$B$81</definedName>
    <definedName name="OR04_X1.4_业绩考核" localSheetId="26">'[2]Database-下拉框'!$B$80:$B$81</definedName>
    <definedName name="OR04_X2.2.1_承保标的风险评估" localSheetId="23">'[2]Database-下拉框'!$B$82:$B$83</definedName>
    <definedName name="OR04_X2.2.1_承保标的风险评估" localSheetId="26">'[2]Database-下拉框'!$B$82:$B$83</definedName>
    <definedName name="OR04_X2.3.6_保单质押贷款支付方式" localSheetId="23">'[2]Database-下拉框'!$B$84:$B$85</definedName>
    <definedName name="OR04_X2.3.6_保单质押贷款支付方式" localSheetId="26">'[2]Database-下拉框'!$B$84:$B$85</definedName>
    <definedName name="OR04_X3.2_佣金系统计提" localSheetId="23">'[2]Database-下拉框'!$B$86:$B$87</definedName>
    <definedName name="OR04_X3.2_佣金系统计提" localSheetId="26">'[2]Database-下拉框'!$B$86:$B$87</definedName>
    <definedName name="OR05_D1_不相容职务分离得分" localSheetId="23">'[2]Database-分值计算'!$B$235:$C$237</definedName>
    <definedName name="OR05_D1_不相容职务分离得分" localSheetId="26">'[2]Database-分值计算'!$B$235:$C$237</definedName>
    <definedName name="OR05_D2.1_特殊环节集中度得分" localSheetId="23">'[2]Database-分值计算'!$B$238:$C$239</definedName>
    <definedName name="OR05_D2.1_特殊环节集中度得分" localSheetId="26">'[2]Database-分值计算'!$B$238:$C$239</definedName>
    <definedName name="OR05_D2.2.1限时立案率得分" localSheetId="23">'[2]Database-分值计算'!$B$240:$C$242</definedName>
    <definedName name="OR05_D2.2.1限时立案率得分" localSheetId="26">'[2]Database-分值计算'!$B$240:$C$242</definedName>
    <definedName name="OR05_D2.3立案注销率得分" localSheetId="23">'[2]Database-分值计算'!$B$243:$C$245</definedName>
    <definedName name="OR05_D2.3立案注销率得分" localSheetId="26">'[2]Database-分值计算'!$B$243:$C$245</definedName>
    <definedName name="OR05_D2.4立案注销恢复率得分" localSheetId="23">'[2]Database-分值计算'!$B$246:$C$248</definedName>
    <definedName name="OR05_D2.4立案注销恢复率得分" localSheetId="26">'[2]Database-分值计算'!$B$246:$C$248</definedName>
    <definedName name="OR05_D2.5_已发生已报告未决赔款准备金发展偏差率_II类公司" localSheetId="23">'[2]Database-分值计算'!$B$256:$C$260</definedName>
    <definedName name="OR05_D2.5_已发生已报告未决赔款准备金发展偏差率_II类公司" localSheetId="26">'[2]Database-分值计算'!$B$256:$C$260</definedName>
    <definedName name="OR05_D2.5_已发生已报告未决赔款准备金发展偏差率_I类公司" localSheetId="23">'[2]Database-分值计算'!$B$251:$C$255</definedName>
    <definedName name="OR05_D2.5_已发生已报告未决赔款准备金发展偏差率_I类公司" localSheetId="26">'[2]Database-分值计算'!$B$251:$C$255</definedName>
    <definedName name="OR05_D2.5_已发生已报告未决赔款准备金发展偏差率得分" localSheetId="23">'[2]Database-分值计算'!$B$249:$C$250</definedName>
    <definedName name="OR05_D2.5_已发生已报告未决赔款准备金发展偏差率得分" localSheetId="26">'[2]Database-分值计算'!$B$249:$C$250</definedName>
    <definedName name="OR05_D2.6注销恢复及案件重开率得分" localSheetId="23">'[2]Database-分值计算'!$B$261:$C$263</definedName>
    <definedName name="OR05_D2.6注销恢复及案件重开率得分" localSheetId="26">'[2]Database-分值计算'!$B$261:$C$263</definedName>
    <definedName name="OR05_D2.7.1车险报案结案率得分" localSheetId="23">'[2]Database-分值计算'!$B$264:$C$266</definedName>
    <definedName name="OR05_D2.7.1车险报案结案率得分" localSheetId="26">'[2]Database-分值计算'!$B$264:$C$266</definedName>
    <definedName name="OR05_D2.7.2非车险报案结案率得分" localSheetId="23">'[2]Database-分值计算'!$B$267:$C$269</definedName>
    <definedName name="OR05_D2.7.2非车险报案结案率得分" localSheetId="26">'[2]Database-分值计算'!$B$267:$C$269</definedName>
    <definedName name="OR05_D4_理赔反欺诈模块" localSheetId="23">'[2]Database-分值计算'!$B$270:$C$272</definedName>
    <definedName name="OR05_D4_理赔反欺诈模块" localSheetId="26">'[2]Database-分值计算'!$B$270:$C$272</definedName>
    <definedName name="OR05_D5.1_行业人员水平调整得分" localSheetId="23">'[2]Database-分值计算'!$B$273:$C$275</definedName>
    <definedName name="OR05_D5.1_行业人员水平调整得分" localSheetId="26">'[2]Database-分值计算'!$B$273:$C$275</definedName>
    <definedName name="OR05_D5.2_行业内控水平调整得分" localSheetId="23">'[2]Database-分值计算'!$B$276:$C$278</definedName>
    <definedName name="OR05_D5.2_行业内控水平调整得分" localSheetId="26">'[2]Database-分值计算'!$B$276:$C$278</definedName>
    <definedName name="OR05_D5.3_行业系统水平调整得分" localSheetId="23">'[2]Database-分值计算'!$B$279:$C$281</definedName>
    <definedName name="OR05_D5.3_行业系统水平调整得分" localSheetId="26">'[2]Database-分值计算'!$B$279:$C$281</definedName>
    <definedName name="OR05_D6.1_内部稽核" localSheetId="23">'[2]Database-分值计算'!$B$282:$C$285</definedName>
    <definedName name="OR05_D6.1_内部稽核" localSheetId="26">'[2]Database-分值计算'!$B$282:$C$285</definedName>
    <definedName name="OR05_D6.2_赔付后回访率得分" localSheetId="23">'[2]Database-分值计算'!$B$286:$C$288</definedName>
    <definedName name="OR05_D6.2_赔付后回访率得分" localSheetId="26">'[2]Database-分值计算'!$B$286:$C$288</definedName>
    <definedName name="OR05_X1_不相容职务分离" localSheetId="23">'[2]Database-下拉框'!$B$88:$B$90</definedName>
    <definedName name="OR05_X1_不相容职务分离" localSheetId="26">'[2]Database-下拉框'!$B$88:$B$90</definedName>
    <definedName name="OR05_X2.1_特殊环节集中度" localSheetId="23">'[2]Database-下拉框'!$B$91:$B$92</definedName>
    <definedName name="OR05_X2.1_特殊环节集中度" localSheetId="26">'[2]Database-下拉框'!$B$91:$B$92</definedName>
    <definedName name="OR05_X4_理赔反欺诈模块" localSheetId="23">'[2]Database-下拉框'!$B$93:$B$95</definedName>
    <definedName name="OR05_X4_理赔反欺诈模块" localSheetId="26">'[2]Database-下拉框'!$B$93:$B$95</definedName>
    <definedName name="OR05_X6.1_内部稽核" localSheetId="23">'[2]Database-下拉框'!$B$96:$B$99</definedName>
    <definedName name="OR05_X6.1_内部稽核" localSheetId="26">'[2]Database-下拉框'!$B$96:$B$99</definedName>
    <definedName name="OR06_D1.1_理赔人员人均办理理赔案件数量得分" localSheetId="23">'[2]Database-分值计算'!$B$289:$C$292</definedName>
    <definedName name="OR06_D1.1_理赔人员人均办理理赔案件数量得分" localSheetId="26">'[2]Database-分值计算'!$B$289:$C$292</definedName>
    <definedName name="OR06_D1.2_理赔人员人均办理理赔案件数量得分" localSheetId="23">'[2]Database-分值计算'!$B$293:$C$296</definedName>
    <definedName name="OR06_D1.2_理赔人员人均办理理赔案件数量得分" localSheetId="26">'[2]Database-分值计算'!$B$293:$C$296</definedName>
    <definedName name="OR06_D1.3_理赔工作经验得分" localSheetId="23">'[2]Database-分值计算'!$B$297:$C$300</definedName>
    <definedName name="OR06_D1.3_理赔工作经验得分" localSheetId="26">'[2]Database-分值计算'!$B$297:$C$300</definedName>
    <definedName name="OR06_D1.4_保全工作经验得分" localSheetId="23">'[2]Database-分值计算'!$B$301:$C$304</definedName>
    <definedName name="OR06_D1.4_保全工作经验得分" localSheetId="26">'[2]Database-分值计算'!$B$301:$C$304</definedName>
    <definedName name="OR06_D2.1_索赔核定平均时长得分" localSheetId="23">'[2]Database-分值计算'!$B$305:$C$306</definedName>
    <definedName name="OR06_D2.1_索赔核定平均时长得分" localSheetId="26">'[2]Database-分值计算'!$B$305:$C$306</definedName>
    <definedName name="OR06_D2.1_索赔核定平均时长行业均值大于8" localSheetId="23">'[2]Database-分值计算'!$B$307:$C$309</definedName>
    <definedName name="OR06_D2.1_索赔核定平均时长行业均值大于8" localSheetId="26">'[2]Database-分值计算'!$B$307:$C$309</definedName>
    <definedName name="OR06_D2.1_索赔核定平均时长行业均值小于8" localSheetId="23">'[2]Database-分值计算'!$B$310:$C$313</definedName>
    <definedName name="OR06_D2.1_索赔核定平均时长行业均值小于8" localSheetId="26">'[2]Database-分值计算'!$B$310:$C$313</definedName>
    <definedName name="OR06_D2.2_赔款支付平均时长得分" localSheetId="23">'[2]Database-分值计算'!$B$314:$C$315</definedName>
    <definedName name="OR06_D2.2_赔款支付平均时长得分" localSheetId="26">'[2]Database-分值计算'!$B$314:$C$315</definedName>
    <definedName name="OR06_D2.2_赔款支付平均时长行业均值大于10" localSheetId="23">'[2]Database-分值计算'!$B$316:$C$318</definedName>
    <definedName name="OR06_D2.2_赔款支付平均时长行业均值大于10" localSheetId="26">'[2]Database-分值计算'!$B$316:$C$318</definedName>
    <definedName name="OR06_D2.2_赔款支付平均时长行业均值小于10" localSheetId="23">'[2]Database-分值计算'!$B$319:$C$322</definedName>
    <definedName name="OR06_D2.2_赔款支付平均时长行业均值小于10" localSheetId="26">'[2]Database-分值计算'!$B$319:$C$322</definedName>
    <definedName name="OR06_D2.3保全受理平均时长得分" localSheetId="23">'[2]Database-分值计算'!$B$323:$C$324</definedName>
    <definedName name="OR06_D2.3保全受理平均时长得分" localSheetId="26">'[2]Database-分值计算'!$B$323:$C$324</definedName>
    <definedName name="OR06_D2.3保全受理平均时长行业均值大于2" localSheetId="23">'[2]Database-分值计算'!$B$325:$C$327</definedName>
    <definedName name="OR06_D2.3保全受理平均时长行业均值大于2" localSheetId="26">'[2]Database-分值计算'!$B$325:$C$327</definedName>
    <definedName name="OR06_D2.3保全受理平均时长行业均值小于2" localSheetId="23">'[2]Database-分值计算'!$B$328:$C$331</definedName>
    <definedName name="OR06_D2.3保全受理平均时长行业均值小于2" localSheetId="26">'[2]Database-分值计算'!$B$328:$C$331</definedName>
    <definedName name="OR06_D2.4保全处理平均时长得分" localSheetId="23">'[2]Database-分值计算'!$B$332:$C$333</definedName>
    <definedName name="OR06_D2.4保全处理平均时长得分" localSheetId="26">'[2]Database-分值计算'!$B$332:$C$333</definedName>
    <definedName name="OR06_D2.4保全处理平均时长得分行业均值大于5" localSheetId="23">'[2]Database-分值计算'!$B$334:$C$336</definedName>
    <definedName name="OR06_D2.4保全处理平均时长得分行业均值大于5" localSheetId="26">'[2]Database-分值计算'!$B$334:$C$336</definedName>
    <definedName name="OR06_D2.4保全处理平均时长得分行业均值小于5" localSheetId="23">'[2]Database-分值计算'!$B$337:$C$340</definedName>
    <definedName name="OR06_D2.4保全处理平均时长得分行业均值小于5" localSheetId="26">'[2]Database-分值计算'!$B$337:$C$340</definedName>
    <definedName name="OR06_D2.5投诉处理平均时长得分" localSheetId="23">'[2]Database-分值计算'!$B$341:$C$342</definedName>
    <definedName name="OR06_D2.5投诉处理平均时长得分" localSheetId="26">'[2]Database-分值计算'!$B$341:$C$342</definedName>
    <definedName name="OR06_D2.5投诉处理平均时长得分行业均值大于10" localSheetId="23">'[2]Database-分值计算'!$B$343:$C$345</definedName>
    <definedName name="OR06_D2.5投诉处理平均时长得分行业均值大于10" localSheetId="26">'[2]Database-分值计算'!$B$343:$C$345</definedName>
    <definedName name="OR06_D2.5投诉处理平均时长得分行业均值小于10" localSheetId="23">'[2]Database-分值计算'!$B$346:$C$349</definedName>
    <definedName name="OR06_D2.5投诉处理平均时长得分行业均值小于10" localSheetId="26">'[2]Database-分值计算'!$B$346:$C$349</definedName>
    <definedName name="OR06_D4.1_监管部门接到的关于理赔、保全业务线的投诉得分" localSheetId="23">'[2]Database-分值计算'!$B$350:$C$354</definedName>
    <definedName name="OR06_D4.1_监管部门接到的关于理赔、保全业务线的投诉得分" localSheetId="26">'[2]Database-分值计算'!$B$350:$C$354</definedName>
    <definedName name="OR06_D4.2_保险公司接到的关于理赔、保全业务线的投诉得分" localSheetId="23">'[2]Database-分值计算'!$B$355:$C$359</definedName>
    <definedName name="OR06_D4.2_保险公司接到的关于理赔、保全业务线的投诉得分" localSheetId="26">'[2]Database-分值计算'!$B$355:$C$359</definedName>
    <definedName name="OR07_D1.1_领导能力" localSheetId="23">'[2]Database-分值计算'!$B$360:$C$362</definedName>
    <definedName name="OR07_D1.1_领导能力" localSheetId="26">'[2]Database-分值计算'!$B$360:$C$362</definedName>
    <definedName name="OR07_D1.2_招聘、解雇" localSheetId="23">'[2]Database-分值计算'!$B$363:$C$365</definedName>
    <definedName name="OR07_D1.2_招聘、解雇" localSheetId="26">'[2]Database-分值计算'!$B$363:$C$365</definedName>
    <definedName name="OR07_D1.4_业绩管理、薪酬" localSheetId="23">'[2]Database-分值计算'!$B$369:$C$370</definedName>
    <definedName name="OR07_D1.4_业绩管理、薪酬" localSheetId="26">'[2]Database-分值计算'!$B$369:$C$370</definedName>
    <definedName name="OR07_D2.1_理赔权限管理" localSheetId="23">'[2]Database-分值计算'!$B$371:$C$372</definedName>
    <definedName name="OR07_D2.1_理赔权限管理" localSheetId="26">'[2]Database-分值计算'!$B$371:$C$372</definedName>
    <definedName name="OR07_D2.2_报案立案率" localSheetId="23">'[2]Database-分值计算'!$B$373:$C$374</definedName>
    <definedName name="OR07_D2.2_报案立案率" localSheetId="26">'[2]Database-分值计算'!$B$373:$C$374</definedName>
    <definedName name="OR07_D2.3_部门负责人培训" localSheetId="23">'[2]Database-分值计算'!$B$375:$C$377</definedName>
    <definedName name="OR07_D2.3_部门负责人培训" localSheetId="26">'[2]Database-分值计算'!$B$375:$C$377</definedName>
    <definedName name="OR07_D2.4_案均核赔支付时效" localSheetId="23">'[2]Database-分值计算'!$B$378:$C$380</definedName>
    <definedName name="OR07_D2.4_案均核赔支付时效" localSheetId="26">'[2]Database-分值计算'!$B$378:$C$380</definedName>
    <definedName name="OR07_D2.5_赔款转账直付比例" localSheetId="23">'[2]Database-分值计算'!$B$381:$C$383</definedName>
    <definedName name="OR07_D2.5_赔款转账直付比例" localSheetId="26">'[2]Database-分值计算'!$B$381:$C$383</definedName>
    <definedName name="OR07_D2.6_已发生已报告未决赔款准备金发展偏差率" localSheetId="23">'[2]Database-分值计算'!$B$384:$C$386</definedName>
    <definedName name="OR07_D2.6_已发生已报告未决赔款准备金发展偏差率" localSheetId="26">'[2]Database-分值计算'!$B$384:$C$386</definedName>
    <definedName name="OR07_D2.7_千张保单投诉量" localSheetId="23">'[2]Database-分值计算'!$B$387:$C$389</definedName>
    <definedName name="OR07_D2.7_千张保单投诉量" localSheetId="26">'[2]Database-分值计算'!$B$387:$C$389</definedName>
    <definedName name="OR07_D3.2_反欺诈识别" localSheetId="23">'[2]Database-分值计算'!$B$390:$C$391</definedName>
    <definedName name="OR07_D3.2_反欺诈识别" localSheetId="26">'[2]Database-分值计算'!$B$390:$C$391</definedName>
    <definedName name="OR07_D3.3_系统对接" localSheetId="23">'[2]Database-分值计算'!$B$392:$C$393</definedName>
    <definedName name="OR07_D3.3_系统对接" localSheetId="26">'[2]Database-分值计算'!$B$392:$C$393</definedName>
    <definedName name="OR07_D5_基于行业总体水平的调整" localSheetId="23">'[2]Database-分值计算'!$B$394:$C$397</definedName>
    <definedName name="OR07_D5_基于行业总体水平的调整" localSheetId="26">'[2]Database-分值计算'!$B$394:$C$397</definedName>
    <definedName name="OR07_X1.3_部门负责人培训" localSheetId="23">'[2]Database-下拉框'!#REF!</definedName>
    <definedName name="OR07_X1.3_部门负责人培训" localSheetId="26">'[2]Database-下拉框'!#REF!</definedName>
    <definedName name="OR07_X1.4_业绩管理、薪酬" localSheetId="23">'[2]Database-下拉框'!$B$100:$B$101</definedName>
    <definedName name="OR07_X1.4_业绩管理、薪酬" localSheetId="26">'[2]Database-下拉框'!$B$100:$B$101</definedName>
    <definedName name="OR07_X2.1_理赔权限管理" localSheetId="23">'[2]Database-下拉框'!$B$102:$B$103</definedName>
    <definedName name="OR07_X2.1_理赔权限管理" localSheetId="26">'[2]Database-下拉框'!$B$102:$B$103</definedName>
    <definedName name="OR07_X3.2_反欺诈识别" localSheetId="23">'[2]Database-下拉框'!$B$104:$B$105</definedName>
    <definedName name="OR07_X3.2_反欺诈识别" localSheetId="26">'[2]Database-下拉框'!$B$104:$B$105</definedName>
    <definedName name="OR07_X3.3_系统对接" localSheetId="23">'[2]Database-下拉框'!$B$106:$B$107</definedName>
    <definedName name="OR07_X3.3_系统对接" localSheetId="26">'[2]Database-下拉框'!$B$106:$B$107</definedName>
    <definedName name="OR08_D1.1_领导能力" localSheetId="23">'[2]Database-分值计算'!$B$398:$C$400</definedName>
    <definedName name="OR08_D1.1_领导能力" localSheetId="26">'[2]Database-分值计算'!$B$398:$C$400</definedName>
    <definedName name="OR08_D1.2_招聘、解雇" localSheetId="23">'[2]Database-分值计算'!$B$401:$C$403</definedName>
    <definedName name="OR08_D1.2_招聘、解雇" localSheetId="26">'[2]Database-分值计算'!$B$401:$C$403</definedName>
    <definedName name="OR08_D1.4_业绩管理、薪酬" localSheetId="23">'[2]Database-分值计算'!$B$407:$C$408</definedName>
    <definedName name="OR08_D1.4_业绩管理、薪酬" localSheetId="26">'[2]Database-分值计算'!$B$407:$C$408</definedName>
    <definedName name="OR08_D2.1_案均核赔支付时效" localSheetId="23">'[2]Database-分值计算'!$B$409:$C$411</definedName>
    <definedName name="OR08_D2.1_案均核赔支付时效" localSheetId="26">'[2]Database-分值计算'!$B$409:$C$411</definedName>
    <definedName name="OR08_D2.2_理赔服务时效得分" localSheetId="23">'[2]Database-分值计算'!$B$412:$C$415</definedName>
    <definedName name="OR08_D2.2_理赔服务时效得分" localSheetId="26">'[2]Database-分值计算'!$B$412:$C$415</definedName>
    <definedName name="OR08_D2.3_赔款转账直付比例" localSheetId="23">'[2]Database-分值计算'!$B$416:$C$418</definedName>
    <definedName name="OR08_D2.3_赔款转账直付比例" localSheetId="26">'[2]Database-分值计算'!$B$416:$C$418</definedName>
    <definedName name="OR08_D2.4_非寿险业务估损代数偏差率" localSheetId="23">'[2]Database-分值计算'!$B$419:$C$420</definedName>
    <definedName name="OR08_D2.4_非寿险业务估损代数偏差率" localSheetId="26">'[2]Database-分值计算'!$B$419:$C$420</definedName>
    <definedName name="OR08_D3.2_反欺诈识别" localSheetId="23">'[2]Database-分值计算'!$B$421:$C$422</definedName>
    <definedName name="OR08_D3.2_反欺诈识别" localSheetId="26">'[2]Database-分值计算'!$B$421:$C$422</definedName>
    <definedName name="OR08_D3.3_系统对接" localSheetId="23">'[2]Database-分值计算'!$B$423:$C$424</definedName>
    <definedName name="OR08_D3.3_系统对接" localSheetId="26">'[2]Database-分值计算'!$B$423:$C$424</definedName>
    <definedName name="OR08_D5_基于行业总体水平的调整" localSheetId="23">'[2]Database-分值计算'!$B$425:$C$428</definedName>
    <definedName name="OR08_D5_基于行业总体水平的调整" localSheetId="26">'[2]Database-分值计算'!$B$425:$C$428</definedName>
    <definedName name="OR08_X1.3_部门负责人培训" localSheetId="23">'[2]Database-下拉框'!#REF!</definedName>
    <definedName name="OR08_X1.3_部门负责人培训" localSheetId="26">'[2]Database-下拉框'!#REF!</definedName>
    <definedName name="OR08_X1.4_业绩管理、薪酬" localSheetId="23">'[2]Database-下拉框'!$B$108:$B$109</definedName>
    <definedName name="OR08_X1.4_业绩管理、薪酬" localSheetId="26">'[2]Database-下拉框'!$B$108:$B$109</definedName>
    <definedName name="OR08_X3.2_反欺诈识别" localSheetId="23">'[2]Database-下拉框'!$B$110:$B$111</definedName>
    <definedName name="OR08_X3.2_反欺诈识别" localSheetId="26">'[2]Database-下拉框'!$B$110:$B$111</definedName>
    <definedName name="OR08_X3.3_系统对接" localSheetId="23">'[2]Database-下拉框'!$B$112:$B$113</definedName>
    <definedName name="OR08_X3.3_系统对接" localSheetId="26">'[2]Database-下拉框'!$B$112:$B$113</definedName>
    <definedName name="OR09_D1.1_再保险业务管理情况" localSheetId="23">'[2]Database-分值计算'!$B$429:$C$431</definedName>
    <definedName name="OR09_D1.1_再保险业务管理情况" localSheetId="26">'[2]Database-分值计算'!$B$429:$C$431</definedName>
    <definedName name="OR09_D1.2_再保险分入业务分工情况" localSheetId="23">'[2]Database-分值计算'!$B$432:$C$433</definedName>
    <definedName name="OR09_D1.2_再保险分入业务分工情况" localSheetId="26">'[2]Database-分值计算'!$B$432:$C$433</definedName>
    <definedName name="OR09_D2.2.1_再保险接受人及经纪人资信管理情况" localSheetId="23">'[2]Database-分值计算'!$B$434:$C$435</definedName>
    <definedName name="OR09_D2.2.1_再保险接受人及经纪人资信管理情况" localSheetId="26">'[2]Database-分值计算'!$B$434:$C$435</definedName>
    <definedName name="OR09_D2.2.3_再保险接受人信用风险突发应急预案管理情况" localSheetId="23">'[2]Database-分值计算'!$B$436:$C$437</definedName>
    <definedName name="OR09_D2.2.3_再保险接受人信用风险突发应急预案管理情况" localSheetId="26">'[2]Database-分值计算'!$B$436:$C$437</definedName>
    <definedName name="OR09_D2.3.2_需续保的再保合约业务及时性得分" localSheetId="23">'[2]Database-分值计算'!$B$438:$C$439</definedName>
    <definedName name="OR09_D2.3.2_需续保的再保合约业务及时性得分" localSheetId="26">'[2]Database-分值计算'!$B$438:$C$439</definedName>
    <definedName name="OR09_D2.5.1_再保险应收应付款项管理情况" localSheetId="23">'[2]Database-分值计算'!$B$440:$C$441</definedName>
    <definedName name="OR09_D2.5.1_再保险应收应付款项管理情况" localSheetId="26">'[2]Database-分值计算'!$B$440:$C$441</definedName>
    <definedName name="OR09_D2.6.1_每一危险单位划分符合相关法律法规情况得分" localSheetId="23">'[2]Database-分值计算'!$B$442:$C$443</definedName>
    <definedName name="OR09_D2.6.1_每一危险单位划分符合相关法律法规情况得分" localSheetId="26">'[2]Database-分值计算'!$B$442:$C$443</definedName>
    <definedName name="OR09_D2.6.2_每一危险单位划分符合公司内部规定情况得分" localSheetId="23">'[2]Database-分值计算'!$B$444:$C$445</definedName>
    <definedName name="OR09_D2.6.2_每一危险单位划分符合公司内部规定情况得分" localSheetId="26">'[2]Database-分值计算'!$B$444:$C$445</definedName>
    <definedName name="OR09_D2.8.1_完成外部审计" localSheetId="23">'[2]Database-分值计算'!$B$446:$C$447</definedName>
    <definedName name="OR09_D2.8.1_完成外部审计" localSheetId="26">'[2]Database-分值计算'!$B$446:$C$447</definedName>
    <definedName name="OR09_D2.8.2_完成内部审计" localSheetId="23">'[2]Database-分值计算'!$B$448:$C$449</definedName>
    <definedName name="OR09_D2.8.2_完成内部审计" localSheetId="26">'[2]Database-分值计算'!$B$448:$C$449</definedName>
    <definedName name="OR09_D3.1_再保系统与其他系统链接" localSheetId="23">'[2]Database-分值计算'!$B$450:$C$451</definedName>
    <definedName name="OR09_D3.1_再保系统与其他系统链接" localSheetId="26">'[2]Database-分值计算'!$B$450:$C$451</definedName>
    <definedName name="OR09_D3.2_IT系统模块功能" localSheetId="23">'[2]Database-分值计算'!$B$452:$C$453</definedName>
    <definedName name="OR09_D3.2_IT系统模块功能" localSheetId="26">'[2]Database-分值计算'!$B$452:$C$453</definedName>
    <definedName name="OR09_D3.3_IT系统统计保监会要求上报的各类再保险数据报表" localSheetId="23">'[2]Database-分值计算'!$B$454:$C$455</definedName>
    <definedName name="OR09_D3.3_IT系统统计保监会要求上报的各类再保险数据报表" localSheetId="26">'[2]Database-分值计算'!$B$454:$C$455</definedName>
    <definedName name="OR09_D3.4_再保险IT系统权限管理情况" localSheetId="23">'[2]Database-分值计算'!$B$456:$C$457</definedName>
    <definedName name="OR09_D3.4_再保险IT系统权限管理情况" localSheetId="26">'[2]Database-分值计算'!$B$456:$C$457</definedName>
    <definedName name="OR09_D3.5_再保系统记录修改痕迹功能" localSheetId="23">'[2]Database-分值计算'!$B$458:$C$459</definedName>
    <definedName name="OR09_D3.5_再保系统记录修改痕迹功能" localSheetId="26">'[2]Database-分值计算'!$B$458:$C$459</definedName>
    <definedName name="OR09_D4.1_再保险管理组织架构" localSheetId="23">'[2]Database-分值计算'!$B$460:$C$462</definedName>
    <definedName name="OR09_D4.1_再保险管理组织架构" localSheetId="26">'[2]Database-分值计算'!$B$460:$C$462</definedName>
    <definedName name="OR09_D4.2_分保安排及确认的及时性" localSheetId="23">'[2]Database-分值计算'!$B$463:$C$465</definedName>
    <definedName name="OR09_D4.2_分保安排及确认的及时性" localSheetId="26">'[2]Database-分值计算'!$B$463:$C$465</definedName>
    <definedName name="OR09_D4.3_再保系统独立性和完整性" localSheetId="23">'[2]Database-分值计算'!$B$466:$C$468</definedName>
    <definedName name="OR09_D4.3_再保系统独立性和完整性" localSheetId="26">'[2]Database-分值计算'!$B$466:$C$468</definedName>
    <definedName name="OR09_X1.1_再保险业务管理情况" localSheetId="23">'[2]Database-下拉框'!$B$114:$B$116</definedName>
    <definedName name="OR09_X1.1_再保险业务管理情况" localSheetId="26">'[2]Database-下拉框'!$B$114:$B$116</definedName>
    <definedName name="OR09_X1.2_再保险分入业务管理情况" localSheetId="23">'[2]Database-下拉框'!$B$117:$B$118</definedName>
    <definedName name="OR09_X1.2_再保险分入业务管理情况" localSheetId="26">'[2]Database-下拉框'!$B$117:$B$118</definedName>
    <definedName name="OR09_X2.2.1_再保险接受人及经纪人资信管理情况" localSheetId="23">'[2]Database-下拉框'!$B$119:$B$120</definedName>
    <definedName name="OR09_X2.2.1_再保险接受人及经纪人资信管理情况" localSheetId="26">'[2]Database-下拉框'!$B$119:$B$120</definedName>
    <definedName name="OR09_X2.2.3_再保险接受人信用风险突发应急预案管理情况" localSheetId="23">'[2]Database-下拉框'!$B$121:$B$122</definedName>
    <definedName name="OR09_X2.2.3_再保险接受人信用风险突发应急预案管理情况" localSheetId="26">'[2]Database-下拉框'!$B$121:$B$122</definedName>
    <definedName name="OR09_X2.3.2_需续保的再保合约业务完成情况" localSheetId="23">'[2]Database-下拉框'!$B$123:$B$124</definedName>
    <definedName name="OR09_X2.3.2_需续保的再保合约业务完成情况" localSheetId="26">'[2]Database-下拉框'!$B$123:$B$124</definedName>
    <definedName name="OR09_X2.5.1_再保险应收应付款项管理情况" localSheetId="23">'[2]Database-下拉框'!$B$125:$B$126</definedName>
    <definedName name="OR09_X2.5.1_再保险应收应付款项管理情况" localSheetId="26">'[2]Database-下拉框'!$B$125:$B$126</definedName>
    <definedName name="OR09_X2.6.1_每一危险单位划分是否符合相关法律法规" localSheetId="23">'[2]Database-下拉框'!$B$127:$B$128</definedName>
    <definedName name="OR09_X2.6.1_每一危险单位划分是否符合相关法律法规" localSheetId="26">'[2]Database-下拉框'!$B$127:$B$128</definedName>
    <definedName name="OR09_X2.6.2_每一危险单位自留额管理" localSheetId="23">'[2]Database-下拉框'!$B$129:$B$130</definedName>
    <definedName name="OR09_X2.6.2_每一危险单位自留额管理" localSheetId="26">'[2]Database-下拉框'!$B$129:$B$130</definedName>
    <definedName name="OR09_X3.1_再保系统与其他系统链接" localSheetId="23">'[2]Database-下拉框'!$B$131:$B$132</definedName>
    <definedName name="OR09_X3.1_再保系统与其他系统链接" localSheetId="26">'[2]Database-下拉框'!$B$131:$B$132</definedName>
    <definedName name="OR09_X3.2_IT系统模块功能" localSheetId="23">'[2]Database-下拉框'!$B$133:$B$134</definedName>
    <definedName name="OR09_X3.2_IT系统模块功能" localSheetId="26">'[2]Database-下拉框'!$B$133:$B$134</definedName>
    <definedName name="OR09_X3.3_IT系统统计再保险数据报表" localSheetId="23">'[2]Database-下拉框'!$B$135:$B$136</definedName>
    <definedName name="OR09_X3.3_IT系统统计再保险数据报表" localSheetId="26">'[2]Database-下拉框'!$B$135:$B$136</definedName>
    <definedName name="OR09_X3.4_再保险IT系统权限管理情况" localSheetId="23">'[2]Database-下拉框'!$B$137:$B$138</definedName>
    <definedName name="OR09_X3.4_再保险IT系统权限管理情况" localSheetId="26">'[2]Database-下拉框'!$B$137:$B$138</definedName>
    <definedName name="OR09_X3.5_再保系统记录修改痕迹功能" localSheetId="23">'[2]Database-下拉框'!$B$139:$B$140</definedName>
    <definedName name="OR09_X3.5_再保系统记录修改痕迹功能" localSheetId="26">'[2]Database-下拉框'!$B$139:$B$140</definedName>
    <definedName name="OR10_D1.1.1_资产管理部门负责人从业经验" localSheetId="23">'[2]Database-分值计算'!$B$534:$C$536</definedName>
    <definedName name="OR10_D1.1.1_资产管理部门负责人从业经验" localSheetId="26">'[2]Database-分值计算'!$B$534:$C$536</definedName>
    <definedName name="OR10_D1.1.2_资产管理部门负责人违法违规及处罚" localSheetId="23">'[2]Database-分值计算'!$B$537:$C$538</definedName>
    <definedName name="OR10_D1.1.2_资产管理部门负责人违法违规及处罚" localSheetId="26">'[2]Database-分值计算'!$B$537:$C$538</definedName>
    <definedName name="OR10_D1.1.3_资产管理部门人员平均从业年限" localSheetId="23">'[2]Database-分值计算'!$B$539:$C$541</definedName>
    <definedName name="OR10_D1.1.3_资产管理部门人员平均从业年限" localSheetId="26">'[2]Database-分值计算'!$B$539:$C$541</definedName>
    <definedName name="OR10_D1.2.1.1_委托投资人员岗位" localSheetId="23">'[2]Database-分值计算'!$B$542:$C$544</definedName>
    <definedName name="OR10_D1.2.1.1_委托投资人员岗位" localSheetId="26">'[2]Database-分值计算'!$B$542:$C$544</definedName>
    <definedName name="OR10_D1.2.1.2_自行投资人员岗位" localSheetId="23">'[2]Database-分值计算'!$B$545:$C$547</definedName>
    <definedName name="OR10_D1.2.1.2_自行投资人员岗位" localSheetId="26">'[2]Database-分值计算'!$B$545:$C$547</definedName>
    <definedName name="OR10_D1.2.2_人员结构" localSheetId="23">'[2]Database-分值计算'!$B$548:$C$549</definedName>
    <definedName name="OR10_D1.2.2_人员结构" localSheetId="26">'[2]Database-分值计算'!$B$548:$C$549</definedName>
    <definedName name="OR10_D1.2.3_资产管理部门人员流失率" localSheetId="23">'[2]Database-分值计算'!$B$550:$C$552</definedName>
    <definedName name="OR10_D1.2.3_资产管理部门人员流失率" localSheetId="26">'[2]Database-分值计算'!$B$550:$C$552</definedName>
    <definedName name="OR10_D1.3.2_员工培训频率" localSheetId="23">'[2]Database-分值计算'!$B$557:$C$558</definedName>
    <definedName name="OR10_D1.3.2_员工培训频率" localSheetId="26">'[2]Database-分值计算'!$B$557:$C$558</definedName>
    <definedName name="OR10_D1.4.1.1_自行投资投研人员激励机制" localSheetId="23">'[2]Database-分值计算'!$B$559:$C$561</definedName>
    <definedName name="OR10_D1.4.1.1_自行投资投研人员激励机制" localSheetId="26">'[2]Database-分值计算'!$B$559:$C$561</definedName>
    <definedName name="OR10_D1.4.1.2_委托投资投研人员激励机制" localSheetId="23">'[2]Database-分值计算'!$B$562:$C$564</definedName>
    <definedName name="OR10_D1.4.1.2_委托投资投研人员激励机制" localSheetId="26">'[2]Database-分值计算'!$B$562:$C$564</definedName>
    <definedName name="OR10_D1.4.2.1_自行投资风险管理人员激励机制" localSheetId="23">'[2]Database-分值计算'!$B$565:$C$567</definedName>
    <definedName name="OR10_D1.4.2.1_自行投资风险管理人员激励机制" localSheetId="26">'[2]Database-分值计算'!$B$565:$C$567</definedName>
    <definedName name="OR10_D1.4.2.2_委托投资风险管理人员激励机制" localSheetId="23">'[2]Database-分值计算'!$B$568:$C$570</definedName>
    <definedName name="OR10_D1.4.2.2_委托投资风险管理人员激励机制" localSheetId="26">'[2]Database-分值计算'!$B$568:$C$570</definedName>
    <definedName name="OR10_D1.4.3.1_自行投资业绩考核" localSheetId="23">'[2]Database-分值计算'!$B$571:$C$573</definedName>
    <definedName name="OR10_D1.4.3.1_自行投资业绩考核" localSheetId="26">'[2]Database-分值计算'!$B$571:$C$573</definedName>
    <definedName name="OR10_D1.4.3.2_委托投资业绩考核" localSheetId="23">'[2]Database-分值计算'!$B$574:$C$576</definedName>
    <definedName name="OR10_D1.4.3.2_委托投资业绩考核" localSheetId="26">'[2]Database-分值计算'!$B$574:$C$576</definedName>
    <definedName name="OR10_D2.1_操作风险数据库" localSheetId="23">'[2]Database-分值计算'!$B$577:$C$578</definedName>
    <definedName name="OR10_D2.1_操作风险数据库" localSheetId="26">'[2]Database-分值计算'!$B$577:$C$578</definedName>
    <definedName name="OR10_D2.2.1_委托投资管理制度" localSheetId="23">'[2]Database-分值计算'!$B$579:$C$581</definedName>
    <definedName name="OR10_D2.2.1_委托投资管理制度" localSheetId="26">'[2]Database-分值计算'!$B$579:$C$581</definedName>
    <definedName name="OR10_D2.2.2_委托投资指引" localSheetId="23">'[2]Database-分值计算'!$B$582:$C$584</definedName>
    <definedName name="OR10_D2.2.2_委托投资指引" localSheetId="26">'[2]Database-分值计算'!$B$582:$C$584</definedName>
    <definedName name="OR10_D2.2.3_定期评估" localSheetId="23">'[2]Database-分值计算'!$B$585:$C$588</definedName>
    <definedName name="OR10_D2.2.3_定期评估" localSheetId="26">'[2]Database-分值计算'!$B$585:$C$588</definedName>
    <definedName name="OR10_D2.3.1_压力测试" localSheetId="23">'[2]Database-分值计算'!$B$589:$C$590</definedName>
    <definedName name="OR10_D2.3.1_压力测试" localSheetId="26">'[2]Database-分值计算'!$B$589:$C$590</definedName>
    <definedName name="OR10_D2.3.2.1_自行投资分账户" localSheetId="23">'[2]Database-分值计算'!$B$591:$C$593</definedName>
    <definedName name="OR10_D2.3.2.1_自行投资分账户" localSheetId="26">'[2]Database-分值计算'!$B$591:$C$593</definedName>
    <definedName name="OR10_D2.3.2.2_委托投资分账户" localSheetId="23">'[2]Database-分值计算'!$B$594:$C$596</definedName>
    <definedName name="OR10_D2.3.2.2_委托投资分账户" localSheetId="26">'[2]Database-分值计算'!$B$594:$C$596</definedName>
    <definedName name="OR10_D2.4_托管" localSheetId="23">'[2]Database-分值计算'!$B$597:$C$599</definedName>
    <definedName name="OR10_D2.4_托管" localSheetId="26">'[2]Database-分值计算'!$B$597:$C$599</definedName>
    <definedName name="OR10_D2.5.1_投资授权制度" localSheetId="23">'[2]Database-分值计算'!$B$600:$C$601</definedName>
    <definedName name="OR10_D2.5.1_投资授权制度" localSheetId="26">'[2]Database-分值计算'!$B$600:$C$601</definedName>
    <definedName name="OR10_D2.5.2.1.1_自行投资决策流程信息化和自动化" localSheetId="23">'[2]Database-分值计算'!$B$602:$C$604</definedName>
    <definedName name="OR10_D2.5.2.1.1_自行投资决策流程信息化和自动化" localSheetId="26">'[2]Database-分值计算'!$B$602:$C$604</definedName>
    <definedName name="OR10_D2.5.2.1.2_委托投资决策流程信息化和自动化" localSheetId="23">'[2]Database-分值计算'!$B$605:$C$607</definedName>
    <definedName name="OR10_D2.5.2.1.2_委托投资决策流程信息化和自动化" localSheetId="26">'[2]Database-分值计算'!$B$605:$C$607</definedName>
    <definedName name="OR10_D2.5.2.2.1_自行投资决策书面记录" localSheetId="23">'[2]Database-分值计算'!$B$608:$C$610</definedName>
    <definedName name="OR10_D2.5.2.2.1_自行投资决策书面记录" localSheetId="26">'[2]Database-分值计算'!$B$608:$C$610</definedName>
    <definedName name="OR10_D2.5.2.2.2_委托投资决策书面记录" localSheetId="23">'[2]Database-分值计算'!$B$611:$C$613</definedName>
    <definedName name="OR10_D2.5.2.2.2_委托投资决策书面记录" localSheetId="26">'[2]Database-分值计算'!$B$611:$C$613</definedName>
    <definedName name="OR10_D2.5.3.1_自行投资投资池、备选池和禁投池体系" localSheetId="23">'[2]Database-分值计算'!$B$614:$C$616</definedName>
    <definedName name="OR10_D2.5.3.1_自行投资投资池、备选池和禁投池体系" localSheetId="26">'[2]Database-分值计算'!$B$614:$C$616</definedName>
    <definedName name="OR10_D2.5.3.2_委托投资投资池、备选池和禁投池体系" localSheetId="23">'[2]Database-分值计算'!$B$617:$C$619</definedName>
    <definedName name="OR10_D2.5.3.2_委托投资投资池、备选池和禁投池体系" localSheetId="26">'[2]Database-分值计算'!$B$617:$C$619</definedName>
    <definedName name="OR10_D2.5.4_投资决策操作风险" localSheetId="23">'[2]Database-分值计算'!$B$620:$C$622</definedName>
    <definedName name="OR10_D2.5.4_投资决策操作风险" localSheetId="26">'[2]Database-分值计算'!$B$620:$C$622</definedName>
    <definedName name="OR10_D2.6.1.1_自行投资集中交易" localSheetId="23">'[2]Database-分值计算'!$B$623:$C$625</definedName>
    <definedName name="OR10_D2.6.1.1_自行投资集中交易" localSheetId="26">'[2]Database-分值计算'!$B$623:$C$625</definedName>
    <definedName name="OR10_D2.6.1.2_委托投资集中交易" localSheetId="23">'[2]Database-分值计算'!$B$626:$C$628</definedName>
    <definedName name="OR10_D2.6.1.2_委托投资集中交易" localSheetId="26">'[2]Database-分值计算'!$B$626:$C$628</definedName>
    <definedName name="OR10_D2.6.2.1_自行投资交易记录" localSheetId="23">'[2]Database-分值计算'!$B$629:$C$631</definedName>
    <definedName name="OR10_D2.6.2.1_自行投资交易记录" localSheetId="26">'[2]Database-分值计算'!$B$629:$C$631</definedName>
    <definedName name="OR10_D2.6.2.2_委托投资交易记录" localSheetId="23">'[2]Database-分值计算'!$B$632:$C$634</definedName>
    <definedName name="OR10_D2.6.2.2_委托投资交易记录" localSheetId="26">'[2]Database-分值计算'!$B$632:$C$634</definedName>
    <definedName name="OR10_D2.6.3_交易行为操作风险" localSheetId="23">'[2]Database-分值计算'!$B$635:$C$637</definedName>
    <definedName name="OR10_D2.6.3_交易行为操作风险" localSheetId="26">'[2]Database-分值计算'!$B$635:$C$637</definedName>
    <definedName name="OR10_D2.7.1.1_自行投资会计估值政策与制度规范" localSheetId="23">'[2]Database-分值计算'!$B$638:$C$640</definedName>
    <definedName name="OR10_D2.7.1.1_自行投资会计估值政策与制度规范" localSheetId="26">'[2]Database-分值计算'!$B$638:$C$640</definedName>
    <definedName name="OR10_D2.7.1.2_委托投资会计估值政策与制度规范" localSheetId="23">'[2]Database-分值计算'!$B$641:$C$643</definedName>
    <definedName name="OR10_D2.7.1.2_委托投资会计估值政策与制度规范" localSheetId="26">'[2]Database-分值计算'!$B$641:$C$643</definedName>
    <definedName name="OR10_D2.7.2.1_自行投资清算和交易信息核对频率" localSheetId="23">'[2]Database-分值计算'!$B$644:$C$646</definedName>
    <definedName name="OR10_D2.7.2.1_自行投资清算和交易信息核对频率" localSheetId="26">'[2]Database-分值计算'!$B$644:$C$646</definedName>
    <definedName name="OR10_D2.7.2.2_委托投资清算和交易信息核对频率" localSheetId="23">'[2]Database-分值计算'!$B$647:$C$649</definedName>
    <definedName name="OR10_D2.7.2.2_委托投资清算和交易信息核对频率" localSheetId="26">'[2]Database-分值计算'!$B$647:$C$649</definedName>
    <definedName name="OR10_D2.7.3_估值核算操作风险事件" localSheetId="23">'[2]Database-分值计算'!$B$650:$C$652</definedName>
    <definedName name="OR10_D2.7.3_估值核算操作风险事件" localSheetId="26">'[2]Database-分值计算'!$B$650:$C$652</definedName>
    <definedName name="OR10_D2.8_信息披露风险事件" localSheetId="23">'[2]Database-分值计算'!$B$653:$C$655</definedName>
    <definedName name="OR10_D2.8_信息披露风险事件" localSheetId="26">'[2]Database-分值计算'!$B$653:$C$655</definedName>
    <definedName name="OR10_D3.1.1.1_自行投资系统自动化" localSheetId="23">'[2]Database-分值计算'!$B$656:$C$659</definedName>
    <definedName name="OR10_D3.1.1.1_自行投资系统自动化" localSheetId="26">'[2]Database-分值计算'!$B$656:$C$659</definedName>
    <definedName name="OR10_D3.1.1.2_委托投资系统自动化" localSheetId="23">'[2]Database-分值计算'!$B$660:$C$662</definedName>
    <definedName name="OR10_D3.1.1.2_委托投资系统自动化" localSheetId="26">'[2]Database-分值计算'!$B$660:$C$662</definedName>
    <definedName name="OR10_D3.1.2_系统设计差错量" localSheetId="23">'[2]Database-分值计算'!$B$663:$C$664</definedName>
    <definedName name="OR10_D3.1.2_系统设计差错量" localSheetId="26">'[2]Database-分值计算'!$B$663:$C$664</definedName>
    <definedName name="OR10_D3.2.1_系统中断次数" localSheetId="23">'[2]Database-分值计算'!$B$665:$C$666</definedName>
    <definedName name="OR10_D3.2.1_系统中断次数" localSheetId="26">'[2]Database-分值计算'!$B$665:$C$666</definedName>
    <definedName name="OR10_D3.2.2_系统异常事件数量" localSheetId="23">'[2]Database-分值计算'!$B$667:$C$668</definedName>
    <definedName name="OR10_D3.2.2_系统异常事件数量" localSheetId="26">'[2]Database-分值计算'!$B$667:$C$668</definedName>
    <definedName name="OR10_D3.3_信息安全事件数量" localSheetId="23">'[2]Database-分值计算'!$B$669:$C$671</definedName>
    <definedName name="OR10_D3.3_信息安全事件数量" localSheetId="26">'[2]Database-分值计算'!$B$669:$C$671</definedName>
    <definedName name="OR10_D3.4_数据差错量" localSheetId="23">'[2]Database-分值计算'!$B$672:$C$673</definedName>
    <definedName name="OR10_D3.4_数据差错量" localSheetId="26">'[2]Database-分值计算'!$B$672:$C$673</definedName>
    <definedName name="OR10_D4.1_对新政策的参与和反应速度" localSheetId="23">'[2]Database-分值计算'!$B$674:$C$675</definedName>
    <definedName name="OR10_D4.1_对新政策的参与和反应速度" localSheetId="26">'[2]Database-分值计算'!$B$674:$C$675</definedName>
    <definedName name="OR10_D4.2_新政策培训" localSheetId="23">'[2]Database-分值计算'!$B$676:$C$677</definedName>
    <definedName name="OR10_D4.2_新政策培训" localSheetId="26">'[2]Database-分值计算'!$B$676:$C$677</definedName>
    <definedName name="OR10_D6.1_投资决策操作风险事件" localSheetId="23">'[2]Database-分值计算'!$B$678:$C$680</definedName>
    <definedName name="OR10_D6.1_投资决策操作风险事件" localSheetId="26">'[2]Database-分值计算'!$B$678:$C$680</definedName>
    <definedName name="OR10_D6.2_交易行为操作风险事件" localSheetId="23">'[2]Database-分值计算'!$B$681:$C$683</definedName>
    <definedName name="OR10_D6.2_交易行为操作风险事件" localSheetId="26">'[2]Database-分值计算'!$B$681:$C$683</definedName>
    <definedName name="OR10_D6.3_估值核算操作风险事件" localSheetId="23">'[2]Database-分值计算'!$B$684:$C$686</definedName>
    <definedName name="OR10_D6.3_估值核算操作风险事件" localSheetId="26">'[2]Database-分值计算'!$B$684:$C$686</definedName>
    <definedName name="OR10_D6.4_信息披露操作风险事件" localSheetId="23">'[2]Database-分值计算'!$B$687:$C$689</definedName>
    <definedName name="OR10_D6.4_信息披露操作风险事件" localSheetId="26">'[2]Database-分值计算'!$B$687:$C$689</definedName>
    <definedName name="OR10_X1.1.2_资产管理部门负责人违法违规及处罚" localSheetId="23">'[2]Database-下拉框'!$B$164:$B$165</definedName>
    <definedName name="OR10_X1.1.2_资产管理部门负责人违法违规及处罚" localSheetId="26">'[2]Database-下拉框'!$B$164:$B$165</definedName>
    <definedName name="OR10_X1.2.1.1_委托投资人员岗位" localSheetId="23">'[2]Database-下拉框'!$B$166:$B$168</definedName>
    <definedName name="OR10_X1.2.1.1_委托投资人员岗位" localSheetId="26">'[2]Database-下拉框'!$B$166:$B$168</definedName>
    <definedName name="OR10_X1.2.1.2_自行投资人员岗位" localSheetId="23">'[2]Database-下拉框'!$B$169:$B$171</definedName>
    <definedName name="OR10_X1.2.1.2_自行投资人员岗位" localSheetId="26">'[2]Database-下拉框'!$B$169:$B$171</definedName>
    <definedName name="OR10_X1.4.1.1_自行投资投研人员激励机制" localSheetId="23">'[2]Database-下拉框'!$B$172:$B$174</definedName>
    <definedName name="OR10_X1.4.1.1_自行投资投研人员激励机制" localSheetId="26">'[2]Database-下拉框'!$B$172:$B$174</definedName>
    <definedName name="OR10_X1.4.1.2_委托投资投研人员激励机制" localSheetId="23">'[2]Database-下拉框'!$B$175:$B$177</definedName>
    <definedName name="OR10_X1.4.1.2_委托投资投研人员激励机制" localSheetId="26">'[2]Database-下拉框'!$B$175:$B$177</definedName>
    <definedName name="OR10_X1.4.2.1_自行投资风险管理人员激励机制" localSheetId="23">'[2]Database-下拉框'!$B$178:$B$180</definedName>
    <definedName name="OR10_X1.4.2.1_自行投资风险管理人员激励机制" localSheetId="26">'[2]Database-下拉框'!$B$178:$B$180</definedName>
    <definedName name="OR10_X1.4.2.2_委托投资风险管理人员激励机制" localSheetId="23">'[2]Database-下拉框'!$B$181:$B$183</definedName>
    <definedName name="OR10_X1.4.2.2_委托投资风险管理人员激励机制" localSheetId="26">'[2]Database-下拉框'!$B$181:$B$183</definedName>
    <definedName name="OR10_X1.4.3.1_自行投资业绩考核" localSheetId="23">'[2]Database-下拉框'!$B$184:$B$186</definedName>
    <definedName name="OR10_X1.4.3.1_自行投资业绩考核" localSheetId="26">'[2]Database-下拉框'!$B$184:$B$186</definedName>
    <definedName name="OR10_X1.4.3.2_委托投资业绩考核" localSheetId="23">'[2]Database-下拉框'!$B$187:$B$189</definedName>
    <definedName name="OR10_X1.4.3.2_委托投资业绩考核" localSheetId="26">'[2]Database-下拉框'!$B$187:$B$189</definedName>
    <definedName name="OR10_X2.1_操作风险数据库" localSheetId="23">'[2]Database-下拉框'!$B$190:$B$191</definedName>
    <definedName name="OR10_X2.1_操作风险数据库" localSheetId="26">'[2]Database-下拉框'!$B$190:$B$191</definedName>
    <definedName name="OR10_X2.2.1_委托投资管理制度" localSheetId="23">'[2]Database-下拉框'!$B$192:$B$194</definedName>
    <definedName name="OR10_X2.2.1_委托投资管理制度" localSheetId="26">'[2]Database-下拉框'!$B$192:$B$194</definedName>
    <definedName name="OR10_X2.2.2_委托投资指引" localSheetId="23">'[2]Database-下拉框'!$B$195:$B$197</definedName>
    <definedName name="OR10_X2.2.2_委托投资指引" localSheetId="26">'[2]Database-下拉框'!$B$195:$B$197</definedName>
    <definedName name="OR10_X2.2.3_定期评估" localSheetId="23">'[2]Database-下拉框'!$B$198:$B$201</definedName>
    <definedName name="OR10_X2.2.3_定期评估" localSheetId="26">'[2]Database-下拉框'!$B$198:$B$201</definedName>
    <definedName name="OR10_X2.3.1_压力测试" localSheetId="23">'[2]Database-下拉框'!$B$202:$B$203</definedName>
    <definedName name="OR10_X2.3.1_压力测试" localSheetId="26">'[2]Database-下拉框'!$B$202:$B$203</definedName>
    <definedName name="OR10_X2.3.2.1_自行投资分账户" localSheetId="23">'[2]Database-下拉框'!$B$204:$B$206</definedName>
    <definedName name="OR10_X2.3.2.1_自行投资分账户" localSheetId="26">'[2]Database-下拉框'!$B$204:$B$206</definedName>
    <definedName name="OR10_X2.3.2.2_委托投资分账户" localSheetId="23">'[2]Database-下拉框'!$B$207:$B$209</definedName>
    <definedName name="OR10_X2.3.2.2_委托投资分账户" localSheetId="26">'[2]Database-下拉框'!$B$207:$B$209</definedName>
    <definedName name="OR10_X2.4_托管" localSheetId="23">'[2]Database-下拉框'!$B$210:$B$212</definedName>
    <definedName name="OR10_X2.4_托管" localSheetId="26">'[2]Database-下拉框'!$B$210:$B$212</definedName>
    <definedName name="OR10_X2.5.1_投资授权制度" localSheetId="23">'[2]Database-下拉框'!$B$213:$B$214</definedName>
    <definedName name="OR10_X2.5.1_投资授权制度" localSheetId="26">'[2]Database-下拉框'!$B$213:$B$214</definedName>
    <definedName name="OR10_X2.5.2.1.1_自行投资决策流程信息化和自动化" localSheetId="23">'[2]Database-下拉框'!$B$215:$B$217</definedName>
    <definedName name="OR10_X2.5.2.1.1_自行投资决策流程信息化和自动化" localSheetId="26">'[2]Database-下拉框'!$B$215:$B$217</definedName>
    <definedName name="OR10_X2.5.2.1.2_委托投资决策流程信息化和自动化" localSheetId="23">'[2]Database-下拉框'!$B$218:$B$220</definedName>
    <definedName name="OR10_X2.5.2.1.2_委托投资决策流程信息化和自动化" localSheetId="26">'[2]Database-下拉框'!$B$218:$B$220</definedName>
    <definedName name="OR10_X2.5.2.2.1_自行投资决策书面记录" localSheetId="23">'[2]Database-下拉框'!$B$221:$B$223</definedName>
    <definedName name="OR10_X2.5.2.2.1_自行投资决策书面记录" localSheetId="26">'[2]Database-下拉框'!$B$221:$B$223</definedName>
    <definedName name="OR10_X2.5.2.2.2_委托投资决策书面记录" localSheetId="23">'[2]Database-下拉框'!$B$224:$B$226</definedName>
    <definedName name="OR10_X2.5.2.2.2_委托投资决策书面记录" localSheetId="26">'[2]Database-下拉框'!$B$224:$B$226</definedName>
    <definedName name="OR10_X2.5.3.1_自行投资投资池、备选池和禁投池体系" localSheetId="23">'[2]Database-下拉框'!$B$227:$B$229</definedName>
    <definedName name="OR10_X2.5.3.1_自行投资投资池、备选池和禁投池体系" localSheetId="26">'[2]Database-下拉框'!$B$227:$B$229</definedName>
    <definedName name="OR10_X2.5.3.2_委托投资投资池、备选池和禁投池体系" localSheetId="23">'[2]Database-下拉框'!$B$230:$B$232</definedName>
    <definedName name="OR10_X2.5.3.2_委托投资投资池、备选池和禁投池体系" localSheetId="26">'[2]Database-下拉框'!$B$230:$B$232</definedName>
    <definedName name="OR10_X2.6.1.1_自行投资集中交易" localSheetId="23">'[2]Database-下拉框'!$B$233:$B$235</definedName>
    <definedName name="OR10_X2.6.1.1_自行投资集中交易" localSheetId="26">'[2]Database-下拉框'!$B$233:$B$235</definedName>
    <definedName name="OR10_X2.6.1.2_委托投资集中交易" localSheetId="23">'[2]Database-下拉框'!$B$236:$B$238</definedName>
    <definedName name="OR10_X2.6.1.2_委托投资集中交易" localSheetId="26">'[2]Database-下拉框'!$B$236:$B$238</definedName>
    <definedName name="OR10_X2.6.2.1_自行投资交易记录" localSheetId="23">'[2]Database-下拉框'!$B$239:$B$241</definedName>
    <definedName name="OR10_X2.6.2.1_自行投资交易记录" localSheetId="26">'[2]Database-下拉框'!$B$239:$B$241</definedName>
    <definedName name="OR10_X2.6.2.2_委托投资交易记录" localSheetId="23">'[2]Database-下拉框'!$B$242:$B$244</definedName>
    <definedName name="OR10_X2.6.2.2_委托投资交易记录" localSheetId="26">'[2]Database-下拉框'!$B$242:$B$244</definedName>
    <definedName name="OR10_X2.7.1.1_自行投资会计估值政策与制度规范" localSheetId="23">'[2]Database-下拉框'!$B$245:$B$247</definedName>
    <definedName name="OR10_X2.7.1.1_自行投资会计估值政策与制度规范" localSheetId="26">'[2]Database-下拉框'!$B$245:$B$247</definedName>
    <definedName name="OR10_X2.7.1.2_委托投资会计估值政策与制度规范" localSheetId="23">'[2]Database-下拉框'!$B$248:$B$250</definedName>
    <definedName name="OR10_X2.7.1.2_委托投资会计估值政策与制度规范" localSheetId="26">'[2]Database-下拉框'!$B$248:$B$250</definedName>
    <definedName name="OR10_X2.7.2.1_自行投资清算和交易信息核对频率" localSheetId="23">'[2]Database-下拉框'!$B$251:$B$253</definedName>
    <definedName name="OR10_X2.7.2.1_自行投资清算和交易信息核对频率" localSheetId="26">'[2]Database-下拉框'!$B$251:$B$253</definedName>
    <definedName name="OR10_X2.7.2.2_委托投资清算和交易信息核对频率" localSheetId="23">'[2]Database-下拉框'!$B$254:$B$256</definedName>
    <definedName name="OR10_X2.7.2.2_委托投资清算和交易信息核对频率" localSheetId="26">'[2]Database-下拉框'!$B$254:$B$256</definedName>
    <definedName name="OR10_X3.1.1.1_自行投资系统自动化" localSheetId="23">'[2]Database-下拉框'!$B$257:$B$260</definedName>
    <definedName name="OR10_X3.1.1.1_自行投资系统自动化" localSheetId="26">'[2]Database-下拉框'!$B$257:$B$260</definedName>
    <definedName name="OR10_X3.1.1.2_委托投资系统自动化" localSheetId="23">'[2]Database-下拉框'!$B$261:$B$263</definedName>
    <definedName name="OR10_X3.1.1.2_委托投资系统自动化" localSheetId="26">'[2]Database-下拉框'!$B$261:$B$263</definedName>
    <definedName name="OR10_X4.1_对新政策的参与和反应速度" localSheetId="23">'[2]Database-下拉框'!$B$264:$B$265</definedName>
    <definedName name="OR10_X4.1_对新政策的参与和反应速度" localSheetId="26">'[2]Database-下拉框'!$B$264:$B$265</definedName>
    <definedName name="OR10_X4.2_新政策培训" localSheetId="23">'[2]Database-下拉框'!$B$266:$B$267</definedName>
    <definedName name="OR10_X4.2_新政策培训" localSheetId="26">'[2]Database-下拉框'!$B$266:$B$267</definedName>
    <definedName name="OR12_D1.1_财会部门主要负责人专业性" localSheetId="23">'[2]Database-分值计算'!$B$690:$C$692</definedName>
    <definedName name="OR12_D1.1_财会部门主要负责人专业性" localSheetId="26">'[2]Database-分值计算'!$B$690:$C$692</definedName>
    <definedName name="OR12_D1.2.1.1_财会部门人数_否_I类公司" localSheetId="23">'[2]Database-分值计算'!$B$699:$C$700</definedName>
    <definedName name="OR12_D1.2.1.1_财会部门人数_否_I类公司" localSheetId="26">'[2]Database-分值计算'!$B$699:$C$700</definedName>
    <definedName name="OR12_D1.2.1.1_财会部门人数_是_II类公司" localSheetId="23">'[2]Database-分值计算'!$B$701:$C$702</definedName>
    <definedName name="OR12_D1.2.1.1_财会部门人数_是_II类公司" localSheetId="26">'[2]Database-分值计算'!$B$701:$C$702</definedName>
    <definedName name="OR12_D1.2.1.1_财会部门人数_是_I类公司" localSheetId="23">'[2]Database-分值计算'!$B$697:$C$698</definedName>
    <definedName name="OR12_D1.2.1.1_财会部门人数_是_I类公司" localSheetId="26">'[2]Database-分值计算'!$B$697:$C$698</definedName>
    <definedName name="OR12_D1.2.1.1_财务处理情况" localSheetId="23">'[2]Database-分值计算'!$B$693:$C$696</definedName>
    <definedName name="OR12_D1.2.1.1_财务处理情况" localSheetId="26">'[2]Database-分值计算'!$B$693:$C$696</definedName>
    <definedName name="OR12_D1.2.2_财会部门人员流失率" localSheetId="23">'[2]Database-分值计算'!$B$705:$C$706</definedName>
    <definedName name="OR12_D1.2.2_财会部门人员流失率" localSheetId="26">'[2]Database-分值计算'!$B$705:$C$706</definedName>
    <definedName name="OR12_D1.3_员工培训率" localSheetId="23">'[2]Database-分值计算'!$B$707:$C$708</definedName>
    <definedName name="OR12_D1.3_员工培训率" localSheetId="26">'[2]Database-分值计算'!$B$707:$C$708</definedName>
    <definedName name="OR12_D1.4_业绩考核" localSheetId="23">'[2]Database-分值计算'!$B$709:$C$710</definedName>
    <definedName name="OR12_D1.4_业绩考核" localSheetId="26">'[2]Database-分值计算'!$B$709:$C$710</definedName>
    <definedName name="OR12_D2.1_操作风险数据库" localSheetId="23">'[2]Database-分值计算'!$B$711:$C$712</definedName>
    <definedName name="OR12_D2.1_操作风险数据库" localSheetId="26">'[2]Database-分值计算'!$B$711:$C$712</definedName>
    <definedName name="OR12_D2.2.1_核算集中度" localSheetId="23">'[2]Database-分值计算'!$B$713:$C$714</definedName>
    <definedName name="OR12_D2.2.1_核算集中度" localSheetId="26">'[2]Database-分值计算'!$B$713:$C$714</definedName>
    <definedName name="OR12_D2.2.2_会计差错量" localSheetId="23">'[2]Database-分值计算'!$B$715:$C$716</definedName>
    <definedName name="OR12_D2.2.2_会计差错量" localSheetId="26">'[2]Database-分值计算'!$B$715:$C$716</definedName>
    <definedName name="OR12_D2.2.3_委托投资资产数据核对" localSheetId="23">'[2]Database-分值计算'!$B$717:$C$718</definedName>
    <definedName name="OR12_D2.2.3_委托投资资产数据核对" localSheetId="26">'[2]Database-分值计算'!$B$717:$C$718</definedName>
    <definedName name="OR12_D2.3.1_偿付能力报告差错量" localSheetId="23">'[2]Database-分值计算'!$B$719:$C$721</definedName>
    <definedName name="OR12_D2.3.1_偿付能力报告差错量" localSheetId="26">'[2]Database-分值计算'!$B$719:$C$721</definedName>
    <definedName name="OR12_D2.3.2_偿付能力报告出现重大错报或漏报" localSheetId="23">'[2]Database-分值计算'!$B$722:$C$723</definedName>
    <definedName name="OR12_D2.3.2_偿付能力报告出现重大错报或漏报" localSheetId="26">'[2]Database-分值计算'!$B$722:$C$723</definedName>
    <definedName name="OR12_D2.4.1_财务报告差错量" localSheetId="23">'[2]Database-分值计算'!$B$724:$C$726</definedName>
    <definedName name="OR12_D2.4.1_财务报告差错量" localSheetId="26">'[2]Database-分值计算'!$B$724:$C$726</definedName>
    <definedName name="OR12_D2.4.2_财务报告出现重大错报或漏报" localSheetId="23">'[2]Database-分值计算'!$B$727:$C$728</definedName>
    <definedName name="OR12_D2.4.2_财务报告出现重大错报或漏报" localSheetId="26">'[2]Database-分值计算'!$B$727:$C$728</definedName>
    <definedName name="OR12_D2.5.1_收支两条线" localSheetId="23">'[2]Database-分值计算'!$B$729:$C$730</definedName>
    <definedName name="OR12_D2.5.1_收支两条线" localSheetId="26">'[2]Database-分值计算'!$B$729:$C$730</definedName>
    <definedName name="OR12_D2.5.2_银行账户集中管理" localSheetId="23">'[2]Database-分值计算'!$B$731:$C$732</definedName>
    <definedName name="OR12_D2.5.2_银行账户集中管理" localSheetId="26">'[2]Database-分值计算'!$B$731:$C$732</definedName>
    <definedName name="OR12_D2.5.3_资金管理操作风险事件" localSheetId="23">'[2]Database-分值计算'!$B$733:$C$735</definedName>
    <definedName name="OR12_D2.5.3_资金管理操作风险事件" localSheetId="26">'[2]Database-分值计算'!$B$733:$C$735</definedName>
    <definedName name="OR12_D2.6.1_单证管理" localSheetId="23">'[2]Database-分值计算'!$B$736:$C$737</definedName>
    <definedName name="OR12_D2.6.1_单证管理" localSheetId="26">'[2]Database-分值计算'!$B$736:$C$737</definedName>
    <definedName name="OR12_D2.6.2_空白单证缺失率" localSheetId="23">'[2]Database-分值计算'!$B$738:$C$739</definedName>
    <definedName name="OR12_D2.6.2_空白单证缺失率" localSheetId="26">'[2]Database-分值计算'!$B$738:$C$739</definedName>
    <definedName name="OR12_D2.7.1_印章管理" localSheetId="23">'[2]Database-分值计算'!$B$740:$C$741</definedName>
    <definedName name="OR12_D2.7.1_印章管理" localSheetId="26">'[2]Database-分值计算'!$B$740:$C$741</definedName>
    <definedName name="OR12_D2.7.2_印章管理操作风险事件" localSheetId="23">'[2]Database-分值计算'!$B$742:$C$744</definedName>
    <definedName name="OR12_D2.7.2_印章管理操作风险事件" localSheetId="26">'[2]Database-分值计算'!$B$742:$C$744</definedName>
    <definedName name="OR12_D2.8.1_税收管理" localSheetId="23">'[2]Database-分值计算'!$B$745:$C$746</definedName>
    <definedName name="OR12_D2.8.1_税收管理" localSheetId="26">'[2]Database-分值计算'!$B$745:$C$746</definedName>
    <definedName name="OR12_D2.8.1_税收管理_II类公司" localSheetId="23">'[2]Database-分值计算'!$B$750:$C$752</definedName>
    <definedName name="OR12_D2.8.1_税收管理_II类公司" localSheetId="26">'[2]Database-分值计算'!$B$750:$C$752</definedName>
    <definedName name="OR12_D2.8.1_税收管理_I类公司" localSheetId="23">'[2]Database-分值计算'!$B$747:$C$749</definedName>
    <definedName name="OR12_D2.8.1_税收管理_I类公司" localSheetId="26">'[2]Database-分值计算'!$B$747:$C$749</definedName>
    <definedName name="OR12_D2.8.2_税收操作风险事件" localSheetId="23">'[2]Database-分值计算'!$B$753:$C$755</definedName>
    <definedName name="OR12_D2.8.2_税收操作风险事件" localSheetId="26">'[2]Database-分值计算'!$B$753:$C$755</definedName>
    <definedName name="OR12_D3.1_系统自动化" localSheetId="23">'[2]Database-分值计算'!$B$756:$C$757</definedName>
    <definedName name="OR12_D3.1_系统自动化" localSheetId="26">'[2]Database-分值计算'!$B$756:$C$757</definedName>
    <definedName name="OR12_D3.2_系统异常事件数量" localSheetId="23">'[2]Database-分值计算'!$B$758:$C$760</definedName>
    <definedName name="OR12_D3.2_系统异常事件数量" localSheetId="26">'[2]Database-分值计算'!$B$758:$C$760</definedName>
    <definedName name="OR12_D3.3_系统管理集中度" localSheetId="23">'[2]Database-分值计算'!$B$761:$C$762</definedName>
    <definedName name="OR12_D3.3_系统管理集中度" localSheetId="26">'[2]Database-分值计算'!$B$761:$C$762</definedName>
    <definedName name="OR12_D3.4.1_数据核对频率" localSheetId="23">'[2]Database-分值计算'!$B$763:$C$765</definedName>
    <definedName name="OR12_D3.4.1_数据核对频率" localSheetId="26">'[2]Database-分值计算'!$B$763:$C$765</definedName>
    <definedName name="OR12_D3.4.2_数据差错率" localSheetId="23">'[2]Database-分值计算'!$B$766:$C$767</definedName>
    <definedName name="OR12_D3.4.2_数据差错率" localSheetId="26">'[2]Database-分值计算'!$B$766:$C$767</definedName>
    <definedName name="OR12_D4.1_对新政策的参与和反应" localSheetId="23">'[2]Database-分值计算'!$B$768:$C$769</definedName>
    <definedName name="OR12_D4.1_对新政策的参与和反应" localSheetId="26">'[2]Database-分值计算'!$B$768:$C$769</definedName>
    <definedName name="OR12_D4.2_新政策培训" localSheetId="23">'[2]Database-分值计算'!$B$770:$C$771</definedName>
    <definedName name="OR12_D4.2_新政策培训" localSheetId="26">'[2]Database-分值计算'!$B$770:$C$771</definedName>
    <definedName name="OR12_X1.1_财会部门主要负责人专业性" localSheetId="23">'[2]Database-下拉框'!$B$268:$B$270</definedName>
    <definedName name="OR12_X1.1_财会部门主要负责人专业性" localSheetId="26">'[2]Database-下拉框'!$B$268:$B$270</definedName>
    <definedName name="OR12_X1.4_业绩考核" localSheetId="23">'[2]Database-下拉框'!$B$271:$B$272</definedName>
    <definedName name="OR12_X1.4_业绩考核" localSheetId="26">'[2]Database-下拉框'!$B$271:$B$272</definedName>
    <definedName name="OR12_X2.1_操作风险数据库" localSheetId="23">'[2]Database-下拉框'!$B$273:$B$274</definedName>
    <definedName name="OR12_X2.1_操作风险数据库" localSheetId="26">'[2]Database-下拉框'!$B$273:$B$274</definedName>
    <definedName name="OR12_X2.2.1_核算集中度" localSheetId="23">'[2]Database-下拉框'!$B$275:$B$276</definedName>
    <definedName name="OR12_X2.2.1_核算集中度" localSheetId="26">'[2]Database-下拉框'!$B$275:$B$276</definedName>
    <definedName name="OR12_X2.2.3_委托投资资产数据核对" localSheetId="23">'[2]Database-下拉框'!$B$277:$B$278</definedName>
    <definedName name="OR12_X2.2.3_委托投资资产数据核对" localSheetId="26">'[2]Database-下拉框'!$B$277:$B$278</definedName>
    <definedName name="OR12_X2.5.1_收支两条线" localSheetId="23">'[2]Database-下拉框'!$B$279:$B$280</definedName>
    <definedName name="OR12_X2.5.1_收支两条线" localSheetId="26">'[2]Database-下拉框'!$B$279:$B$280</definedName>
    <definedName name="OR12_X2.5.2_银行账户集中管理" localSheetId="23">'[2]Database-下拉框'!$B$281:$B$282</definedName>
    <definedName name="OR12_X2.5.2_银行账户集中管理" localSheetId="26">'[2]Database-下拉框'!$B$281:$B$282</definedName>
    <definedName name="OR12_X2.6.1_单证管理" localSheetId="23">'[2]Database-下拉框'!$B$283:$B$284</definedName>
    <definedName name="OR12_X2.6.1_单证管理" localSheetId="26">'[2]Database-下拉框'!$B$283:$B$284</definedName>
    <definedName name="OR12_X2.7.1_印章管理" localSheetId="23">'[2]Database-下拉框'!$B$285:$B$286</definedName>
    <definedName name="OR12_X2.7.1_印章管理" localSheetId="26">'[2]Database-下拉框'!$B$285:$B$286</definedName>
    <definedName name="OR12_X2.8.1_税收管理" localSheetId="23">'[2]Database-下拉框'!$B$287:$B$289</definedName>
    <definedName name="OR12_X2.8.1_税收管理" localSheetId="26">'[2]Database-下拉框'!$B$287:$B$289</definedName>
    <definedName name="OR12_X3.1_系统自动化" localSheetId="23">'[2]Database-下拉框'!$B$290:$B$291</definedName>
    <definedName name="OR12_X3.1_系统自动化" localSheetId="26">'[2]Database-下拉框'!$B$290:$B$291</definedName>
    <definedName name="OR12_X3.3_系统管理集中度" localSheetId="23">'[2]Database-下拉框'!$B$292:$B$293</definedName>
    <definedName name="OR12_X3.3_系统管理集中度" localSheetId="26">'[2]Database-下拉框'!$B$292:$B$293</definedName>
    <definedName name="OR12_X3.4.1_数据核对频率" localSheetId="23">'[2]Database-下拉框'!$B$294:$B$296</definedName>
    <definedName name="OR12_X3.4.1_数据核对频率" localSheetId="26">'[2]Database-下拉框'!$B$294:$B$296</definedName>
    <definedName name="OR12_X4.1_对新政策的参与和反应" localSheetId="23">'[2]Database-下拉框'!$B$297:$B$298</definedName>
    <definedName name="OR12_X4.1_对新政策的参与和反应" localSheetId="26">'[2]Database-下拉框'!$B$297:$B$298</definedName>
    <definedName name="OR12_X4.2_新政策培训" localSheetId="23">'[2]Database-下拉框'!$B$299:$B$300</definedName>
    <definedName name="OR12_X4.2_新政策培训" localSheetId="26">'[2]Database-下拉框'!$B$299:$B$300</definedName>
    <definedName name="OR13_D1.1_领导能力" localSheetId="23">'[2]Database-分值计算'!$B$772:$C$773</definedName>
    <definedName name="OR13_D1.1_领导能力" localSheetId="26">'[2]Database-分值计算'!$B$772:$C$773</definedName>
    <definedName name="OR13_D1.2.1_财会人员流失率" localSheetId="23">'[2]Database-分值计算'!$B$774:$C$775</definedName>
    <definedName name="OR13_D1.2.1_财会人员流失率" localSheetId="26">'[2]Database-分值计算'!$B$774:$C$775</definedName>
    <definedName name="OR13_D1.2.2_会计证持证率" localSheetId="23">'[2]Database-分值计算'!$B$776:$C$777</definedName>
    <definedName name="OR13_D1.2.2_会计证持证率" localSheetId="26">'[2]Database-分值计算'!$B$776:$C$777</definedName>
    <definedName name="OR13_D1.3_员工培训人次" localSheetId="23">'[2]Database-分值计算'!$B$778:$C$779</definedName>
    <definedName name="OR13_D1.3_员工培训人次" localSheetId="26">'[2]Database-分值计算'!$B$778:$C$779</definedName>
    <definedName name="OR13_D1.4.1_管理方式" localSheetId="23">'[2]Database-分值计算'!$B$780:$C$781</definedName>
    <definedName name="OR13_D1.4.1_管理方式" localSheetId="26">'[2]Database-分值计算'!$B$780:$C$781</definedName>
    <definedName name="OR13_D1.4.2_业绩考核" localSheetId="23">'[2]Database-分值计算'!$B$782:$C$783</definedName>
    <definedName name="OR13_D1.4.2_业绩考核" localSheetId="26">'[2]Database-分值计算'!$B$782:$C$783</definedName>
    <definedName name="OR13_D2.1.1.1_财务报告差错量" localSheetId="23">'[2]Database-分值计算'!$B$784:$C$786</definedName>
    <definedName name="OR13_D2.1.1.1_财务报告差错量" localSheetId="26">'[2]Database-分值计算'!$B$784:$C$786</definedName>
    <definedName name="OR13_D2.1.1.2_财务报告出现重大错报或漏报" localSheetId="23">'[2]Database-分值计算'!$B$787:$C$788</definedName>
    <definedName name="OR13_D2.1.1.2_财务报告出现重大错报或漏报" localSheetId="26">'[2]Database-分值计算'!$B$787:$C$788</definedName>
    <definedName name="OR13_D2.2.1_银行账户集中管理" localSheetId="23">'[2]Database-分值计算'!$B$789:$C$790</definedName>
    <definedName name="OR13_D2.2.1_银行账户集中管理" localSheetId="26">'[2]Database-分值计算'!$B$789:$C$790</definedName>
    <definedName name="OR13_D2.2.2_非现金收款比率" localSheetId="23">'[2]Database-分值计算'!$B$791:$C$793</definedName>
    <definedName name="OR13_D2.2.2_非现金收款比率" localSheetId="26">'[2]Database-分值计算'!$B$791:$C$793</definedName>
    <definedName name="OR13_D2.2.3_非现金付款比率" localSheetId="23">'[2]Database-分值计算'!$B$794:$C$796</definedName>
    <definedName name="OR13_D2.2.3_非现金付款比率" localSheetId="26">'[2]Database-分值计算'!$B$794:$C$796</definedName>
    <definedName name="OR13_D2.2.4_非寿险业务非正常应收保费比例" localSheetId="23">'[2]Database-分值计算'!$B$797:$C$799</definedName>
    <definedName name="OR13_D2.2.4_非寿险业务非正常应收保费比例" localSheetId="26">'[2]Database-分值计算'!$B$797:$C$799</definedName>
    <definedName name="OR13_D2.3.1_费用预算执行情况" localSheetId="23">'[2]Database-分值计算'!$B$800:$C$801</definedName>
    <definedName name="OR13_D2.3.1_费用预算执行情况" localSheetId="26">'[2]Database-分值计算'!$B$800:$C$801</definedName>
    <definedName name="OR13_D2.4.2_单证回销率" localSheetId="23">'[2]Database-分值计算'!$B$804:$C$806</definedName>
    <definedName name="OR13_D2.4.2_单证回销率" localSheetId="26">'[2]Database-分值计算'!$B$804:$C$806</definedName>
    <definedName name="OR13_D2.5_税收操作风险事件" localSheetId="23">'[2]Database-分值计算'!$B$807:$C$809</definedName>
    <definedName name="OR13_D2.5_税收操作风险事件" localSheetId="26">'[2]Database-分值计算'!$B$807:$C$809</definedName>
    <definedName name="OR13_D3.2_系统对接" localSheetId="23">'[2]Database-分值计算'!$B$810:$C$811</definedName>
    <definedName name="OR13_D3.2_系统对接" localSheetId="26">'[2]Database-分值计算'!$B$810:$C$811</definedName>
    <definedName name="OR13_D5_亿元保费财务操作风险事件数" localSheetId="23">'[2]Database-分值计算'!$B$812:$C$815</definedName>
    <definedName name="OR13_D5_亿元保费财务操作风险事件数" localSheetId="26">'[2]Database-分值计算'!$B$812:$C$815</definedName>
    <definedName name="OR13_X1.4.1_管理方式" localSheetId="23">'[2]Database-下拉框'!$B$301:$B$302</definedName>
    <definedName name="OR13_X1.4.1_管理方式" localSheetId="26">'[2]Database-下拉框'!$B$301:$B$302</definedName>
    <definedName name="OR13_X1.4.2_业绩考核" localSheetId="23">'[2]Database-下拉框'!$B$303:$B$304</definedName>
    <definedName name="OR13_X1.4.2_业绩考核" localSheetId="26">'[2]Database-下拉框'!$B$303:$B$304</definedName>
    <definedName name="OR13_X2.2.1_银行账户管理集中度" localSheetId="23">'[2]Database-下拉框'!$B$305:$B$306</definedName>
    <definedName name="OR13_X2.2.1_银行账户管理集中度" localSheetId="26">'[2]Database-下拉框'!$B$305:$B$306</definedName>
    <definedName name="OR13_X2.3.1_费用预算执行情况" localSheetId="23">'[2]Database-下拉框'!$B$307:$B$308</definedName>
    <definedName name="OR13_X2.3.1_费用预算执行情况" localSheetId="26">'[2]Database-下拉框'!$B$307:$B$308</definedName>
    <definedName name="OR13_X3.2_系统对接" localSheetId="23">'[2]Database-下拉框'!$B$309:$B$310</definedName>
    <definedName name="OR13_X3.2_系统对接" localSheetId="26">'[2]Database-下拉框'!$B$309:$B$310</definedName>
    <definedName name="OR14_D1_II类公司" localSheetId="23">'[2]Database-分值计算'!$B$474:$C$476</definedName>
    <definedName name="OR14_D1_II类公司" localSheetId="26">'[2]Database-分值计算'!$B$474:$C$476</definedName>
    <definedName name="OR14_D1_I类公司" localSheetId="23">'[2]Database-分值计算'!$B$471:$C$473</definedName>
    <definedName name="OR14_D1_I类公司" localSheetId="26">'[2]Database-分值计算'!$B$471:$C$473</definedName>
    <definedName name="OR14_D1_精算人员数量" localSheetId="23">'[2]Database-分值计算'!$B$469:$C$470</definedName>
    <definedName name="OR14_D1_精算人员数量" localSheetId="26">'[2]Database-分值计算'!$B$469:$C$470</definedName>
    <definedName name="OR14_D2.1_未到期责任准备金评估" localSheetId="23">'[2]Database-分值计算'!$B$477:$C$479</definedName>
    <definedName name="OR14_D2.1_未到期责任准备金评估" localSheetId="26">'[2]Database-分值计算'!$B$477:$C$479</definedName>
    <definedName name="OR14_D2.2_已发生未报案未决赔款准备金评估" localSheetId="23">'[2]Database-分值计算'!$B$480:$C$482</definedName>
    <definedName name="OR14_D2.2_已发生未报案未决赔款准备金评估" localSheetId="26">'[2]Database-分值计算'!$B$480:$C$482</definedName>
    <definedName name="OR14_D2.3_分保未决赔款准备金管理" localSheetId="23">'[2]Database-分值计算'!$B$483:$C$484</definedName>
    <definedName name="OR14_D2.3_分保未决赔款准备金管理" localSheetId="26">'[2]Database-分值计算'!$B$483:$C$484</definedName>
    <definedName name="OR14_D2.4_准备金核算完整性和及时性" localSheetId="23">'[2]Database-分值计算'!$B$485:$C$486</definedName>
    <definedName name="OR14_D2.4_准备金核算完整性和及时性" localSheetId="26">'[2]Database-分值计算'!$B$485:$C$486</definedName>
    <definedName name="OR14_D2.5_准备金总部是否有冗余" localSheetId="23">'[2]Database-分值计算'!$B$487:$C$488</definedName>
    <definedName name="OR14_D2.5_准备金总部是否有冗余" localSheetId="26">'[2]Database-分值计算'!$B$487:$C$488</definedName>
    <definedName name="OR14_D2.6_再保后未决赔款准备金回溯偏差率得分_II类公司" localSheetId="23">'[2]Database-分值计算'!$B$494:$C$496</definedName>
    <definedName name="OR14_D2.6_再保后未决赔款准备金回溯偏差率得分_II类公司" localSheetId="26">'[2]Database-分值计算'!$B$494:$C$496</definedName>
    <definedName name="OR14_D2.6_再保后未决赔款准备金回溯偏差率得分_I类公司" localSheetId="23">'[2]Database-分值计算'!$B$491:$C$493</definedName>
    <definedName name="OR14_D2.6_再保后未决赔款准备金回溯偏差率得分_I类公司" localSheetId="26">'[2]Database-分值计算'!$B$491:$C$493</definedName>
    <definedName name="OR14_D2.7_准备金管理制度" localSheetId="23">'[2]Database-分值计算'!$B$497:$C$499</definedName>
    <definedName name="OR14_D2.7_准备金管理制度" localSheetId="26">'[2]Database-分值计算'!$B$497:$C$499</definedName>
    <definedName name="OR14_D2.8.1_底稿完善性得分" localSheetId="23">'[2]Database-分值计算'!$B$500:$C$501</definedName>
    <definedName name="OR14_D2.8.1_底稿完善性得分" localSheetId="26">'[2]Database-分值计算'!$B$500:$C$501</definedName>
    <definedName name="OR14_D2.8.2_编制频率得分" localSheetId="23">'[2]Database-分值计算'!$B$502:$C$503</definedName>
    <definedName name="OR14_D2.8.2_编制频率得分" localSheetId="26">'[2]Database-分值计算'!$B$502:$C$503</definedName>
    <definedName name="OR14_D2.8.3_有效复核得分" localSheetId="23">'[2]Database-分值计算'!$B$504:$C$505</definedName>
    <definedName name="OR14_D2.8.3_有效复核得分" localSheetId="26">'[2]Database-分值计算'!$B$504:$C$505</definedName>
    <definedName name="OR14_D2.8.4_有效留存或备份得分" localSheetId="23">'[2]Database-分值计算'!$B$506:$C$507</definedName>
    <definedName name="OR14_D2.8.4_有效留存或备份得分" localSheetId="26">'[2]Database-分值计算'!$B$506:$C$507</definedName>
    <definedName name="OR14_D4.2_未决赔款准备金回溯偏差率" localSheetId="23">'[2]Database-分值计算'!$B$511:$C$513</definedName>
    <definedName name="OR14_D4.2_未决赔款准备金回溯偏差率" localSheetId="26">'[2]Database-分值计算'!$B$511:$C$513</definedName>
    <definedName name="OR14_D4.3_准备金系统数据一致性" localSheetId="23">'[2]Database-分值计算'!$B$514:$C$516</definedName>
    <definedName name="OR14_D4.3_准备金系统数据一致性" localSheetId="26">'[2]Database-分值计算'!$B$514:$C$516</definedName>
    <definedName name="OR14_X2.1_未到期责任准备金评估" localSheetId="23">'[2]Database-下拉框'!$B$141:$B$143</definedName>
    <definedName name="OR14_X2.1_未到期责任准备金评估" localSheetId="26">'[2]Database-下拉框'!$B$141:$B$143</definedName>
    <definedName name="OR14_X2.2_已发生未报案未决赔款准备金评估" localSheetId="23">'[2]Database-下拉框'!$B$144:$B$146</definedName>
    <definedName name="OR14_X2.2_已发生未报案未决赔款准备金评估" localSheetId="26">'[2]Database-下拉框'!$B$144:$B$146</definedName>
    <definedName name="OR14_X2.3_分保未决赔款准备金管理" localSheetId="23">'[2]Database-下拉框'!$B$147:$B$148</definedName>
    <definedName name="OR14_X2.3_分保未决赔款准备金管理" localSheetId="26">'[2]Database-下拉框'!$B$147:$B$148</definedName>
    <definedName name="OR14_X2.4_准备金核算完整性和及时性" localSheetId="23">'[2]Database-下拉框'!$B$149:$B$150</definedName>
    <definedName name="OR14_X2.4_准备金核算完整性和及时性" localSheetId="26">'[2]Database-下拉框'!$B$149:$B$150</definedName>
    <definedName name="OR14_X2.5_准备金总部是否有冗余" localSheetId="23">'[2]Database-下拉框'!$B$151:$B$152</definedName>
    <definedName name="OR14_X2.5_准备金总部是否有冗余" localSheetId="26">'[2]Database-下拉框'!$B$151:$B$152</definedName>
    <definedName name="OR14_X2.7_准备金管理制度" localSheetId="23">'[2]Database-下拉框'!$B$161:$B$163</definedName>
    <definedName name="OR14_X2.7_准备金管理制度" localSheetId="26">'[2]Database-下拉框'!$B$161:$B$163</definedName>
    <definedName name="OR14_X2.8.1_底稿完善性" localSheetId="23">'[2]Database-下拉框'!$B$153:$B$154</definedName>
    <definedName name="OR14_X2.8.1_底稿完善性" localSheetId="26">'[2]Database-下拉框'!$B$153:$B$154</definedName>
    <definedName name="OR14_X2.8.2_编制频率" localSheetId="23">'[2]Database-下拉框'!$B$155:$B$156</definedName>
    <definedName name="OR14_X2.8.2_编制频率" localSheetId="26">'[2]Database-下拉框'!$B$155:$B$156</definedName>
    <definedName name="OR14_X2.8.3_有效复核" localSheetId="23">'[2]Database-下拉框'!$B$157:$B$158</definedName>
    <definedName name="OR14_X2.8.3_有效复核" localSheetId="26">'[2]Database-下拉框'!$B$157:$B$158</definedName>
    <definedName name="OR14_X2.8.4_有效留存或备份" localSheetId="23">'[2]Database-下拉框'!$B$159:$B$160</definedName>
    <definedName name="OR14_X2.8.4_有效留存或备份" localSheetId="26">'[2]Database-下拉框'!$B$159:$B$160</definedName>
    <definedName name="OR15_D1.1_准备金评估工作人员的工作经验" localSheetId="23">'[2]Database-分值计算'!$B$517:$C$520</definedName>
    <definedName name="OR15_D1.1_准备金评估工作人员的工作经验" localSheetId="26">'[2]Database-分值计算'!$B$517:$C$520</definedName>
    <definedName name="OR15_D1.2_总精算师在公司连续工作年限" localSheetId="23">'[2]Database-分值计算'!$B$521:$C$525</definedName>
    <definedName name="OR15_D1.2_总精算师在公司连续工作年限" localSheetId="26">'[2]Database-分值计算'!$B$521:$C$525</definedName>
    <definedName name="OR15_D1.3_总精算师变换情况" localSheetId="23">'[2]Database-分值计算'!$B$526:$C$529</definedName>
    <definedName name="OR15_D1.3_总精算师变换情况" localSheetId="26">'[2]Database-分值计算'!$B$526:$C$529</definedName>
    <definedName name="OR15_D1.4_再保险管理人员的工作经验" localSheetId="23">'[2]Database-分值计算'!$B$530:$C$533</definedName>
    <definedName name="OR15_D1.4_再保险管理人员的工作经验" localSheetId="26">'[2]Database-分值计算'!$B$530:$C$533</definedName>
    <definedName name="OR17_D3.1_百亿元保费案件数" localSheetId="23">'[2]Database-分值计算'!$B$816:$C$820</definedName>
    <definedName name="OR17_D3.1_百亿元保费案件数" localSheetId="26">'[2]Database-分值计算'!$B$816:$C$820</definedName>
    <definedName name="OR17_D3.2_案件增长率" localSheetId="23">'[2]Database-分值计算'!$B$821:$C$825</definedName>
    <definedName name="OR17_D3.2_案件增长率" localSheetId="26">'[2]Database-分值计算'!$B$821:$C$825</definedName>
    <definedName name="OR17_D3.3_案发机构占比" localSheetId="23">'[2]Database-分值计算'!$B$826:$C$830</definedName>
    <definedName name="OR17_D3.3_案发机构占比" localSheetId="26">'[2]Database-分值计算'!$B$826:$C$830</definedName>
    <definedName name="OR17_D3.4_案件报送不及时率" localSheetId="23">'[2]Database-分值计算'!$B$831:$C$835</definedName>
    <definedName name="OR17_D3.4_案件报送不及时率" localSheetId="26">'[2]Database-分值计算'!$B$831:$C$835</definedName>
    <definedName name="OR17_D3.5_案件报送差错率" localSheetId="23">'[2]Database-分值计算'!$B$836:$C$840</definedName>
    <definedName name="OR17_D3.5_案件报送差错率" localSheetId="26">'[2]Database-分值计算'!$B$836:$C$840</definedName>
    <definedName name="OR17_D3.6_重大案件调查完成率" localSheetId="23">'[2]Database-分值计算'!$B$843:$C$846</definedName>
    <definedName name="OR17_D3.6_重大案件调查完成率" localSheetId="26">'[2]Database-分值计算'!$B$843:$C$846</definedName>
    <definedName name="OR17_D3.6_重大案件调查完成率情况" localSheetId="23">'[2]Database-分值计算'!$B$841:$C$842</definedName>
    <definedName name="OR17_D3.6_重大案件调查完成率情况" localSheetId="26">'[2]Database-分值计算'!$B$841:$C$842</definedName>
    <definedName name="OR17_D3.7_问责完成率" localSheetId="23">'[2]Database-分值计算'!$B$849:$C$852</definedName>
    <definedName name="OR17_D3.7_问责完成率" localSheetId="26">'[2]Database-分值计算'!$B$849:$C$852</definedName>
    <definedName name="OR17_D3.7_问责完成率情况" localSheetId="23">'[2]Database-分值计算'!$B$847:$C$848</definedName>
    <definedName name="OR17_D3.7_问责完成率情况" localSheetId="26">'[2]Database-分值计算'!$B$847:$C$848</definedName>
    <definedName name="OR17_D3.8_问责通报完成率" localSheetId="23">'[2]Database-分值计算'!$B$855:$C$858</definedName>
    <definedName name="OR17_D3.8_问责通报完成率" localSheetId="26">'[2]Database-分值计算'!$B$855:$C$858</definedName>
    <definedName name="OR17_D3.8_问责通报完成率情况" localSheetId="23">'[2]Database-分值计算'!$B$853:$C$854</definedName>
    <definedName name="OR17_D3.8_问责通报完成率情况" localSheetId="26">'[2]Database-分值计算'!$B$853:$C$854</definedName>
    <definedName name="OR18_D1.1.1.3_罚款和没收违法所得累计金额" localSheetId="23">'[2]Database-分值计算'!$B$859:$C$862</definedName>
    <definedName name="OR18_D1.1.1.3_罚款和没收违法所得累计金额" localSheetId="26">'[2]Database-分值计算'!$B$859:$C$862</definedName>
    <definedName name="OR18_D1.1.1.4_管理人员受处罚情况" localSheetId="23">'[2]Database-分值计算'!$B$863:$C$865</definedName>
    <definedName name="OR18_D1.1.1.4_管理人员受处罚情况" localSheetId="26">'[2]Database-分值计算'!$B$863:$C$865</definedName>
    <definedName name="OR18_D1.1.2既往行政处罚" localSheetId="23">'[2]Database-分值计算'!$B$866:$C$867</definedName>
    <definedName name="OR18_D1.1.2既往行政处罚" localSheetId="26">'[2]Database-分值计算'!$B$866:$C$867</definedName>
    <definedName name="OR18_D1.2_非保险类行政处罚" localSheetId="23">'[2]Database-分值计算'!$B$868:$C$869</definedName>
    <definedName name="OR18_D1.2_非保险类行政处罚" localSheetId="26">'[2]Database-分值计算'!$B$868:$C$869</definedName>
    <definedName name="OR18_D2.1.1_产险业每家分支机构受罚款金额" localSheetId="23">'[2]Database-分值计算'!$B$873:$C$876</definedName>
    <definedName name="OR18_D2.1.1_产险业每家分支机构受罚款金额" localSheetId="26">'[2]Database-分值计算'!$B$873:$C$876</definedName>
    <definedName name="OR18_D2.1.2_寿险业每家分支机构受罚款金额" localSheetId="23">'[2]Database-分值计算'!$B$877:$C$880</definedName>
    <definedName name="OR18_D2.1.2_寿险业每家分支机构受罚款金额" localSheetId="26">'[2]Database-分值计算'!$B$877:$C$880</definedName>
    <definedName name="OR18_D2.1.3_再保险公司每家分支机构受罚款金额" localSheetId="23">'[2]Database-分值计算'!$B$881:$C$884</definedName>
    <definedName name="OR18_D2.1.3_再保险公司每家分支机构受罚款金额" localSheetId="26">'[2]Database-分值计算'!$B$881:$C$884</definedName>
    <definedName name="OR18_D2.1_每家分支机构受罚款金额_公司类型" localSheetId="23">'[2]Database-分值计算'!$B$870:$C$872</definedName>
    <definedName name="OR18_D2.1_每家分支机构受罚款金额_公司类型" localSheetId="26">'[2]Database-分值计算'!$B$870:$C$872</definedName>
    <definedName name="OR18_D2.2.1_产险业受严重处罚分支机构占比" localSheetId="23">'[2]Database-分值计算'!$B$888:$C$891</definedName>
    <definedName name="OR18_D2.2.1_产险业受严重处罚分支机构占比" localSheetId="26">'[2]Database-分值计算'!$B$888:$C$891</definedName>
    <definedName name="OR18_D2.2.2_寿险业受严重处罚分支机构占比" localSheetId="23">'[2]Database-分值计算'!$B$892:$C$895</definedName>
    <definedName name="OR18_D2.2.2_寿险业受严重处罚分支机构占比" localSheetId="26">'[2]Database-分值计算'!$B$892:$C$895</definedName>
    <definedName name="OR18_D2.2.3_再保险公司受严重处罚分支机构占比" localSheetId="23">'[2]Database-分值计算'!$B$896:$C$899</definedName>
    <definedName name="OR18_D2.2.3_再保险公司受严重处罚分支机构占比" localSheetId="26">'[2]Database-分值计算'!$B$896:$C$899</definedName>
    <definedName name="OR18_D2.2_受严重处罚分支机构占比_公司类型" localSheetId="23">'[2]Database-分值计算'!$B$885:$C$887</definedName>
    <definedName name="OR18_D2.2_受严重处罚分支机构占比_公司类型" localSheetId="26">'[2]Database-分值计算'!$B$885:$C$887</definedName>
    <definedName name="OR18_D3.1_设置合规管理部门" localSheetId="23">'[2]Database-分值计算'!$B$900:$C$901</definedName>
    <definedName name="OR18_D3.1_设置合规管理部门" localSheetId="26">'[2]Database-分值计算'!$B$900:$C$901</definedName>
    <definedName name="OR18_D3.2_合规管理政策" localSheetId="23">'[2]Database-分值计算'!$B$902:$C$903</definedName>
    <definedName name="OR18_D3.2_合规管理政策" localSheetId="26">'[2]Database-分值计算'!$B$902:$C$903</definedName>
    <definedName name="OR18_D3.3_落实合规政策的文件" localSheetId="23">'[2]Database-分值计算'!$B$904:$C$905</definedName>
    <definedName name="OR18_D3.3_落实合规政策的文件" localSheetId="26">'[2]Database-分值计算'!$B$904:$C$905</definedName>
    <definedName name="OR18_D3.4_开展合规培训" localSheetId="23">'[2]Database-分值计算'!$B$906:$C$907</definedName>
    <definedName name="OR18_D3.4_开展合规培训" localSheetId="26">'[2]Database-分值计算'!$B$906:$C$907</definedName>
    <definedName name="OR18_D3.5_提交年度合规报告" localSheetId="23">'[2]Database-分值计算'!$B$908:$C$909</definedName>
    <definedName name="OR18_D3.5_提交年度合规报告" localSheetId="26">'[2]Database-分值计算'!$B$908:$C$909</definedName>
    <definedName name="OR18_D5_特殊评价" localSheetId="23">'[2]Database-分值计算'!$B$910:$C$912</definedName>
    <definedName name="OR18_D5_特殊评价" localSheetId="26">'[2]Database-分值计算'!$B$910:$C$912</definedName>
    <definedName name="OR18_X1.1.1.4_管理人员受处罚情况" localSheetId="23">'[2]Database-下拉框'!$B$311:$B$313</definedName>
    <definedName name="OR18_X1.1.1.4_管理人员受处罚情况" localSheetId="26">'[2]Database-下拉框'!$B$311:$B$313</definedName>
    <definedName name="OR18_X1.2_非保险类行政处罚" localSheetId="23">'[2]Database-下拉框'!$B$316:$B$317</definedName>
    <definedName name="OR18_X1.2_非保险类行政处罚" localSheetId="26">'[2]Database-下拉框'!$B$316:$B$317</definedName>
    <definedName name="OR18_X3.1_设置合规管理部门" localSheetId="23">'[2]Database-下拉框'!$B$318:$B$319</definedName>
    <definedName name="OR18_X3.1_设置合规管理部门" localSheetId="26">'[2]Database-下拉框'!$B$318:$B$319</definedName>
    <definedName name="OR18_X3.2_合规管理政策" localSheetId="23">'[2]Database-下拉框'!$B$320:$B$321</definedName>
    <definedName name="OR18_X3.2_合规管理政策" localSheetId="26">'[2]Database-下拉框'!$B$320:$B$321</definedName>
    <definedName name="OR18_X3.3_落实合规政策的文件" localSheetId="23">'[2]Database-下拉框'!$B$322:$B$323</definedName>
    <definedName name="OR18_X3.3_落实合规政策的文件" localSheetId="26">'[2]Database-下拉框'!$B$322:$B$323</definedName>
    <definedName name="OR18_X3.4_开展合规培训" localSheetId="23">'[2]Database-下拉框'!$B$324:$B$325</definedName>
    <definedName name="OR18_X3.4_开展合规培训" localSheetId="26">'[2]Database-下拉框'!$B$324:$B$325</definedName>
    <definedName name="OR18_X3.5_提交年度合规报告" localSheetId="23">'[2]Database-下拉框'!$B$326:$B$327</definedName>
    <definedName name="OR18_X3.5_提交年度合规报告" localSheetId="26">'[2]Database-下拉框'!$B$326:$B$327</definedName>
    <definedName name="OR18_X5_特殊评价" localSheetId="23">'[2]Database-下拉框'!$B$328:$B$330</definedName>
    <definedName name="OR18_X5_特殊评价" localSheetId="26">'[2]Database-下拉框'!$B$328:$B$330</definedName>
    <definedName name="_xlnm.Print_Area" localSheetId="23">案件管理!$F$1:$G$20</definedName>
    <definedName name="_xlnm.Print_Titles" localSheetId="23">案件管理!$2:$2</definedName>
    <definedName name="RR01_X1.3_外部因素" localSheetId="23">'[2]Database-下拉框'!#REF!</definedName>
    <definedName name="RR01_X1.3_外部因素" localSheetId="26">'[2]Database-下拉框'!#REF!</definedName>
    <definedName name="公司类别" localSheetId="23">[2]封面!#REF!</definedName>
    <definedName name="公司类别" localSheetId="26">[2]封面!#REF!</definedName>
    <definedName name="公司类型" localSheetId="23">[2]封面!$B$4</definedName>
    <definedName name="公司类型" localSheetId="26">[2]封面!$B$4</definedName>
    <definedName name="隶属保监局" localSheetId="9">[3]分支机构封面页!$H$1:$H$36</definedName>
    <definedName name="是否经营农险" localSheetId="23">[2]封面!$B$25</definedName>
    <definedName name="是否经营农险" localSheetId="26">[2]封面!$B$25</definedName>
  </definedNames>
  <calcPr calcId="152511"/>
  <pivotCaches>
    <pivotCache cacheId="0" r:id="rId32"/>
    <pivotCache cacheId="1" r:id="rId33"/>
    <pivotCache cacheId="2" r:id="rId34"/>
    <pivotCache cacheId="3" r:id="rId35"/>
    <pivotCache cacheId="4" r:id="rId36"/>
  </pivotCaches>
</workbook>
</file>

<file path=xl/calcChain.xml><?xml version="1.0" encoding="utf-8"?>
<calcChain xmlns="http://schemas.openxmlformats.org/spreadsheetml/2006/main">
  <c r="E3" i="27" l="1"/>
  <c r="H3" i="33" l="1"/>
  <c r="H4" i="33"/>
  <c r="H5" i="33"/>
  <c r="H6" i="33"/>
  <c r="H7" i="33"/>
  <c r="H8" i="33"/>
  <c r="H9" i="33"/>
  <c r="H10" i="33"/>
  <c r="H11" i="33"/>
  <c r="H12" i="33"/>
  <c r="H13" i="33"/>
  <c r="H14" i="33"/>
  <c r="H15" i="33"/>
  <c r="H16" i="33"/>
  <c r="H17" i="33"/>
  <c r="H18" i="33"/>
  <c r="H19" i="33"/>
  <c r="H20" i="33"/>
  <c r="H21" i="33"/>
  <c r="H22" i="33"/>
  <c r="H23" i="33"/>
  <c r="H24" i="33"/>
  <c r="H25" i="33"/>
  <c r="H26" i="33"/>
  <c r="H27" i="33"/>
  <c r="H28" i="33"/>
  <c r="H29" i="33"/>
  <c r="H30" i="33"/>
  <c r="H31" i="33"/>
  <c r="H32" i="33"/>
  <c r="H33" i="33"/>
  <c r="H34" i="33"/>
  <c r="H35" i="33"/>
  <c r="H36" i="33"/>
  <c r="H37" i="33"/>
  <c r="H38" i="33"/>
  <c r="H39" i="33"/>
  <c r="H40" i="33"/>
  <c r="H41" i="33"/>
  <c r="H42" i="33"/>
  <c r="H43" i="33"/>
  <c r="H44" i="33"/>
  <c r="H45" i="33"/>
  <c r="H46" i="33"/>
  <c r="H47" i="33"/>
  <c r="H48" i="33"/>
  <c r="H49" i="33"/>
  <c r="H50" i="33"/>
  <c r="G3" i="33"/>
  <c r="G4" i="33"/>
  <c r="G5" i="33"/>
  <c r="G6" i="33"/>
  <c r="G7" i="33"/>
  <c r="G8" i="33"/>
  <c r="G9" i="33"/>
  <c r="G10" i="33"/>
  <c r="G11" i="33"/>
  <c r="G12" i="33"/>
  <c r="G13" i="33"/>
  <c r="G14" i="33"/>
  <c r="G15" i="33"/>
  <c r="G16" i="33"/>
  <c r="G17" i="33"/>
  <c r="G18" i="33"/>
  <c r="G19" i="33"/>
  <c r="G20" i="33"/>
  <c r="G21" i="33"/>
  <c r="G22" i="33"/>
  <c r="G23" i="33"/>
  <c r="G24" i="33"/>
  <c r="G25" i="33"/>
  <c r="G26" i="33"/>
  <c r="G27" i="33"/>
  <c r="G28" i="33"/>
  <c r="G29" i="33"/>
  <c r="G30" i="33"/>
  <c r="G31" i="33"/>
  <c r="G32" i="33"/>
  <c r="G33" i="33"/>
  <c r="G34" i="33"/>
  <c r="G35" i="33"/>
  <c r="G36" i="33"/>
  <c r="G37" i="33"/>
  <c r="G38" i="33"/>
  <c r="G39" i="33"/>
  <c r="G40" i="33"/>
  <c r="G41" i="33"/>
  <c r="G42" i="33"/>
  <c r="G43" i="33"/>
  <c r="G44" i="33"/>
  <c r="G45" i="33"/>
  <c r="G46" i="33"/>
  <c r="G47" i="33"/>
  <c r="G48" i="33"/>
  <c r="G49" i="33"/>
  <c r="G50" i="33"/>
  <c r="F38" i="29"/>
  <c r="E38" i="29"/>
  <c r="G3" i="32"/>
  <c r="G4" i="32"/>
  <c r="G5" i="32"/>
  <c r="G6" i="32"/>
  <c r="G7" i="32"/>
  <c r="G8" i="32"/>
  <c r="G9" i="32"/>
  <c r="G10" i="32"/>
  <c r="G11" i="32"/>
  <c r="G12" i="32"/>
  <c r="G14" i="32"/>
  <c r="G15" i="32"/>
  <c r="G16" i="32"/>
  <c r="G17" i="32"/>
  <c r="G18" i="32"/>
  <c r="G19" i="32"/>
  <c r="G20" i="32"/>
  <c r="G21" i="32"/>
  <c r="G22" i="32"/>
  <c r="G23" i="32"/>
  <c r="G24" i="32"/>
  <c r="G25" i="32"/>
  <c r="G26" i="32"/>
  <c r="G27" i="32"/>
  <c r="G28" i="32"/>
  <c r="G29" i="32"/>
  <c r="G30" i="32"/>
  <c r="G31" i="32"/>
  <c r="G32" i="32"/>
  <c r="G33" i="32"/>
  <c r="G34" i="32"/>
  <c r="G35" i="32"/>
  <c r="G36" i="32"/>
  <c r="G38" i="32"/>
  <c r="G39" i="32"/>
  <c r="G40" i="32"/>
  <c r="G41" i="32"/>
  <c r="G42" i="32"/>
  <c r="G43" i="32"/>
  <c r="G44" i="32"/>
  <c r="G45" i="32"/>
  <c r="G46" i="32"/>
  <c r="G47" i="32"/>
  <c r="G48" i="32"/>
  <c r="G49" i="32"/>
  <c r="G51" i="32"/>
  <c r="G52" i="32"/>
  <c r="G53" i="32"/>
  <c r="G54" i="32"/>
  <c r="G55" i="32"/>
  <c r="G56" i="32"/>
  <c r="G57" i="32"/>
  <c r="G58" i="32"/>
  <c r="G59" i="32"/>
  <c r="G60" i="32"/>
  <c r="G61" i="32"/>
  <c r="G62" i="32"/>
  <c r="G63" i="32"/>
  <c r="G64" i="32"/>
  <c r="G65" i="32"/>
  <c r="G66" i="32"/>
  <c r="G67" i="32"/>
  <c r="G68" i="32"/>
  <c r="G69" i="32"/>
  <c r="G70" i="32"/>
  <c r="G71" i="32"/>
  <c r="G72" i="32"/>
  <c r="G73" i="32"/>
  <c r="G75" i="32"/>
  <c r="G76" i="32"/>
  <c r="G77" i="32"/>
  <c r="G78" i="32"/>
  <c r="G79" i="32"/>
  <c r="G80" i="32"/>
  <c r="G81" i="32"/>
  <c r="G82" i="32"/>
  <c r="G83" i="32"/>
  <c r="G84" i="32"/>
  <c r="G85" i="32"/>
  <c r="G86" i="32"/>
  <c r="G87" i="32"/>
  <c r="G88" i="32"/>
  <c r="G89" i="32"/>
  <c r="G90" i="32"/>
  <c r="G91" i="32"/>
  <c r="G92"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8" i="32"/>
  <c r="G119" i="32"/>
  <c r="G120" i="32"/>
  <c r="G121" i="32"/>
  <c r="F3" i="32"/>
  <c r="F4" i="32"/>
  <c r="F5" i="32"/>
  <c r="F6" i="32"/>
  <c r="F7" i="32"/>
  <c r="F8" i="32"/>
  <c r="F9" i="32"/>
  <c r="F10" i="32"/>
  <c r="F11" i="32"/>
  <c r="F12" i="32"/>
  <c r="F14" i="32"/>
  <c r="F15" i="32"/>
  <c r="F16" i="32"/>
  <c r="F17" i="32"/>
  <c r="F18" i="32"/>
  <c r="F19" i="32"/>
  <c r="F20" i="32"/>
  <c r="F21" i="32"/>
  <c r="F22" i="32"/>
  <c r="F23" i="32"/>
  <c r="F24" i="32"/>
  <c r="F25" i="32"/>
  <c r="F26" i="32"/>
  <c r="F27" i="32"/>
  <c r="F28" i="32"/>
  <c r="F29" i="32"/>
  <c r="F30" i="32"/>
  <c r="F31" i="32"/>
  <c r="F32" i="32"/>
  <c r="F33" i="32"/>
  <c r="F34" i="32"/>
  <c r="F35" i="32"/>
  <c r="F36" i="32"/>
  <c r="F38" i="32"/>
  <c r="F39" i="32"/>
  <c r="F40" i="32"/>
  <c r="F41" i="32"/>
  <c r="F42" i="32"/>
  <c r="F43" i="32"/>
  <c r="F44" i="32"/>
  <c r="F45" i="32"/>
  <c r="F46" i="32"/>
  <c r="F47" i="32"/>
  <c r="F48" i="32"/>
  <c r="F49" i="32"/>
  <c r="F51" i="32"/>
  <c r="F52" i="32"/>
  <c r="F53" i="32"/>
  <c r="F54" i="32"/>
  <c r="F55" i="32"/>
  <c r="F56" i="32"/>
  <c r="F57" i="32"/>
  <c r="F58" i="32"/>
  <c r="F59" i="32"/>
  <c r="F60" i="32"/>
  <c r="F61" i="32"/>
  <c r="F62" i="32"/>
  <c r="F63" i="32"/>
  <c r="F64" i="32"/>
  <c r="F65" i="32"/>
  <c r="F66" i="32"/>
  <c r="F67" i="32"/>
  <c r="F68" i="32"/>
  <c r="F69" i="32"/>
  <c r="F70" i="32"/>
  <c r="F71" i="32"/>
  <c r="F72" i="32"/>
  <c r="F73" i="32"/>
  <c r="F75" i="32"/>
  <c r="F76" i="32"/>
  <c r="F77" i="32"/>
  <c r="F78" i="32"/>
  <c r="F79" i="32"/>
  <c r="F80" i="32"/>
  <c r="F81" i="32"/>
  <c r="F82" i="32"/>
  <c r="F83" i="32"/>
  <c r="F84" i="32"/>
  <c r="F85" i="32"/>
  <c r="F86" i="32"/>
  <c r="F87" i="32"/>
  <c r="F88" i="32"/>
  <c r="F89" i="32"/>
  <c r="F90" i="32"/>
  <c r="F91" i="32"/>
  <c r="F92" i="32"/>
  <c r="F94" i="32"/>
  <c r="F95" i="32"/>
  <c r="F96" i="32"/>
  <c r="F97" i="32"/>
  <c r="F98" i="32"/>
  <c r="F99" i="32"/>
  <c r="F100" i="32"/>
  <c r="F101" i="32"/>
  <c r="F102" i="32"/>
  <c r="F103" i="32"/>
  <c r="F104" i="32"/>
  <c r="F105" i="32"/>
  <c r="F106" i="32"/>
  <c r="F107" i="32"/>
  <c r="F108" i="32"/>
  <c r="F109" i="32"/>
  <c r="F110" i="32"/>
  <c r="F111" i="32"/>
  <c r="F112" i="32"/>
  <c r="F113" i="32"/>
  <c r="F114" i="32"/>
  <c r="F115" i="32"/>
  <c r="F116" i="32"/>
  <c r="F118" i="32"/>
  <c r="F119" i="32"/>
  <c r="F120" i="32"/>
  <c r="F121" i="32"/>
  <c r="J30" i="27"/>
  <c r="E57" i="27" l="1"/>
  <c r="J6" i="27"/>
  <c r="I6" i="27"/>
  <c r="H6" i="27"/>
  <c r="G6" i="27"/>
  <c r="F6" i="27"/>
  <c r="F54" i="28" l="1"/>
  <c r="H11" i="25" l="1"/>
  <c r="H13" i="25"/>
  <c r="H17" i="25"/>
  <c r="F63" i="25"/>
  <c r="P8" i="24" l="1"/>
  <c r="N25" i="5" l="1"/>
  <c r="BR12" i="20" l="1"/>
  <c r="AZ4" i="19" l="1"/>
  <c r="AZ7" i="19"/>
  <c r="AZ13" i="19"/>
  <c r="AZ16" i="19"/>
  <c r="AZ19" i="19"/>
  <c r="AZ22" i="19"/>
  <c r="M12" i="16" l="1"/>
  <c r="M14" i="16"/>
  <c r="M13" i="16"/>
  <c r="M15" i="16"/>
  <c r="M19" i="3" l="1"/>
  <c r="G3" i="27" l="1"/>
  <c r="F5" i="27"/>
  <c r="E44" i="27"/>
  <c r="E47" i="27"/>
  <c r="E45" i="27"/>
  <c r="E46" i="27"/>
  <c r="E35" i="29"/>
  <c r="F35" i="29" s="1"/>
  <c r="E32" i="29"/>
  <c r="F32" i="29" s="1"/>
  <c r="F2" i="28"/>
  <c r="G2" i="28" s="1"/>
  <c r="F42" i="28"/>
  <c r="G42" i="28" s="1"/>
  <c r="F32" i="28"/>
  <c r="G32" i="28" s="1"/>
  <c r="F33" i="28"/>
  <c r="G33" i="28" s="1"/>
  <c r="F34" i="28"/>
  <c r="G34" i="28" s="1"/>
  <c r="F35" i="28"/>
  <c r="G35" i="28" s="1"/>
  <c r="F36" i="28"/>
  <c r="G36" i="28" s="1"/>
  <c r="F37" i="28"/>
  <c r="G37" i="28" s="1"/>
  <c r="V7" i="18"/>
  <c r="W7" i="18" s="1"/>
  <c r="H10" i="10"/>
  <c r="I10" i="10"/>
  <c r="D15" i="24"/>
  <c r="F15" i="24" s="1"/>
  <c r="G15" i="24" s="1"/>
  <c r="O12" i="24" s="1"/>
  <c r="S12" i="24" s="1"/>
  <c r="BR22" i="18"/>
  <c r="BS22" i="18" s="1"/>
  <c r="M9" i="25" s="1"/>
  <c r="BH18" i="18"/>
  <c r="AO28" i="18"/>
  <c r="Q18" i="3"/>
  <c r="R18" i="3" s="1"/>
  <c r="S18" i="3" s="1"/>
  <c r="T18" i="3" s="1"/>
  <c r="P24" i="3"/>
  <c r="L24" i="3" s="1"/>
  <c r="U41" i="2"/>
  <c r="V41" i="2" s="1"/>
  <c r="W41" i="2" s="1"/>
  <c r="X41" i="2" s="1"/>
  <c r="E66" i="24"/>
  <c r="P25" i="3"/>
  <c r="Q25" i="3" s="1"/>
  <c r="R25" i="3" s="1"/>
  <c r="S25" i="3" s="1"/>
  <c r="M27" i="3"/>
  <c r="E86" i="24" s="1"/>
  <c r="E30" i="24"/>
  <c r="D30" i="24" s="1"/>
  <c r="D9" i="24" s="1"/>
  <c r="F9" i="24" s="1"/>
  <c r="G9" i="24" s="1"/>
  <c r="O13" i="24" s="1"/>
  <c r="J82" i="11"/>
  <c r="J83" i="11" s="1"/>
  <c r="J84" i="11" s="1"/>
  <c r="K9" i="4"/>
  <c r="O9" i="4" s="1"/>
  <c r="F2" i="32"/>
  <c r="G2" i="32" s="1"/>
  <c r="F44" i="28"/>
  <c r="G44" i="28" s="1"/>
  <c r="BY46" i="19"/>
  <c r="BY47" i="19" s="1"/>
  <c r="R86" i="24" s="1"/>
  <c r="BS46" i="19"/>
  <c r="BS47" i="19" s="1"/>
  <c r="Q86" i="24" s="1"/>
  <c r="BM46" i="19"/>
  <c r="BM47" i="19" s="1"/>
  <c r="P86" i="24" s="1"/>
  <c r="BG46" i="19"/>
  <c r="BG47" i="19" s="1"/>
  <c r="BA46" i="19"/>
  <c r="BA47" i="19" s="1"/>
  <c r="O86" i="24" s="1"/>
  <c r="AU46" i="19"/>
  <c r="M66" i="24" s="1"/>
  <c r="AO46" i="19"/>
  <c r="AO47" i="19" s="1"/>
  <c r="L86" i="24" s="1"/>
  <c r="AI46" i="19"/>
  <c r="AI47" i="19" s="1"/>
  <c r="K86" i="24" s="1"/>
  <c r="AC46" i="19"/>
  <c r="AC47" i="19" s="1"/>
  <c r="W46" i="19"/>
  <c r="W47" i="19" s="1"/>
  <c r="I86" i="24" s="1"/>
  <c r="AB48" i="18"/>
  <c r="AC48" i="18" s="1"/>
  <c r="F30" i="25" s="1"/>
  <c r="M11" i="16"/>
  <c r="M8" i="16"/>
  <c r="M9" i="16"/>
  <c r="M10" i="16"/>
  <c r="M16" i="16"/>
  <c r="M17" i="16"/>
  <c r="M18" i="16"/>
  <c r="M19" i="16"/>
  <c r="M20" i="16"/>
  <c r="M7" i="16"/>
  <c r="R41" i="5"/>
  <c r="BX57" i="18"/>
  <c r="BZ57" i="18" s="1"/>
  <c r="AN4" i="18"/>
  <c r="AO4" i="18" s="1"/>
  <c r="AB45" i="18"/>
  <c r="AC45" i="18" s="1"/>
  <c r="F29" i="25" s="1"/>
  <c r="X24" i="19"/>
  <c r="O4" i="24"/>
  <c r="AD30" i="18"/>
  <c r="AV69" i="18"/>
  <c r="V16" i="18"/>
  <c r="X16" i="18" s="1"/>
  <c r="N27" i="3"/>
  <c r="U31" i="2"/>
  <c r="V31" i="2" s="1"/>
  <c r="W31" i="2" s="1"/>
  <c r="X31" i="2" s="1"/>
  <c r="U33" i="2"/>
  <c r="V33" i="2" s="1"/>
  <c r="W33" i="2" s="1"/>
  <c r="X33" i="2" s="1"/>
  <c r="P14" i="24"/>
  <c r="P15" i="24"/>
  <c r="R4" i="2"/>
  <c r="K8" i="2"/>
  <c r="R8" i="2" s="1"/>
  <c r="R11" i="2"/>
  <c r="K16" i="2"/>
  <c r="R16" i="2" s="1"/>
  <c r="R19" i="2"/>
  <c r="R22" i="2"/>
  <c r="U22" i="2" s="1"/>
  <c r="R23" i="2"/>
  <c r="U23" i="2" s="1"/>
  <c r="V23" i="2" s="1"/>
  <c r="W23" i="2" s="1"/>
  <c r="X23" i="2" s="1"/>
  <c r="R27" i="2"/>
  <c r="U27" i="2" s="1"/>
  <c r="V27" i="2" s="1"/>
  <c r="W27" i="2" s="1"/>
  <c r="X27" i="2" s="1"/>
  <c r="R28" i="2"/>
  <c r="U28" i="2" s="1"/>
  <c r="V28" i="2" s="1"/>
  <c r="W28" i="2" s="1"/>
  <c r="X28" i="2" s="1"/>
  <c r="R29" i="2"/>
  <c r="U29" i="2" s="1"/>
  <c r="V29" i="2" s="1"/>
  <c r="W29" i="2" s="1"/>
  <c r="X29" i="2" s="1"/>
  <c r="R30" i="2"/>
  <c r="U30" i="2" s="1"/>
  <c r="V30" i="2" s="1"/>
  <c r="W30" i="2" s="1"/>
  <c r="X30" i="2" s="1"/>
  <c r="R35" i="2"/>
  <c r="U35" i="2" s="1"/>
  <c r="V35" i="2" s="1"/>
  <c r="W35" i="2" s="1"/>
  <c r="X35" i="2" s="1"/>
  <c r="R36" i="2"/>
  <c r="V4" i="18"/>
  <c r="W4" i="18" s="1"/>
  <c r="V10" i="18"/>
  <c r="W10" i="18" s="1"/>
  <c r="E4" i="25" s="1"/>
  <c r="V19" i="18"/>
  <c r="W19" i="18" s="1"/>
  <c r="E8" i="25" s="1"/>
  <c r="V22" i="18"/>
  <c r="W22" i="18" s="1"/>
  <c r="E9" i="25" s="1"/>
  <c r="V25" i="18"/>
  <c r="W25" i="18" s="1"/>
  <c r="E10" i="25" s="1"/>
  <c r="W28" i="18"/>
  <c r="E13" i="25" s="1"/>
  <c r="W30" i="18"/>
  <c r="E16" i="25" s="1"/>
  <c r="W32" i="18"/>
  <c r="E19" i="25" s="1"/>
  <c r="W34" i="18"/>
  <c r="E20" i="25" s="1"/>
  <c r="V35" i="18"/>
  <c r="W35" i="18" s="1"/>
  <c r="E21" i="25" s="1"/>
  <c r="V38" i="18"/>
  <c r="W38" i="18" s="1"/>
  <c r="E22" i="25" s="1"/>
  <c r="W41" i="18"/>
  <c r="E25" i="25" s="1"/>
  <c r="W43" i="18"/>
  <c r="E28" i="25" s="1"/>
  <c r="V45" i="18"/>
  <c r="W45" i="18" s="1"/>
  <c r="E29" i="25" s="1"/>
  <c r="V48" i="18"/>
  <c r="W48" i="18" s="1"/>
  <c r="E30" i="25" s="1"/>
  <c r="V52" i="18"/>
  <c r="W52" i="18" s="1"/>
  <c r="E31" i="25" s="1"/>
  <c r="V57" i="18"/>
  <c r="W57" i="18" s="1"/>
  <c r="E32" i="25" s="1"/>
  <c r="V63" i="18"/>
  <c r="W63" i="18" s="1"/>
  <c r="E33" i="25" s="1"/>
  <c r="W67" i="18"/>
  <c r="E37" i="25" s="1"/>
  <c r="W70" i="18"/>
  <c r="E39" i="25" s="1"/>
  <c r="W73" i="18"/>
  <c r="W81" i="18" s="1"/>
  <c r="W82" i="18" s="1"/>
  <c r="I85" i="24" s="1"/>
  <c r="AB4" i="18"/>
  <c r="AC4" i="18" s="1"/>
  <c r="AB7" i="18"/>
  <c r="AC7" i="18" s="1"/>
  <c r="AB10" i="18"/>
  <c r="AC10" i="18" s="1"/>
  <c r="F4" i="25" s="1"/>
  <c r="AB16" i="18"/>
  <c r="AC16" i="18" s="1"/>
  <c r="F7" i="25" s="1"/>
  <c r="AB19" i="18"/>
  <c r="AD19" i="18" s="1"/>
  <c r="AB22" i="18"/>
  <c r="AC22" i="18" s="1"/>
  <c r="F9" i="25" s="1"/>
  <c r="AB25" i="18"/>
  <c r="AC25" i="18" s="1"/>
  <c r="AC28" i="18"/>
  <c r="F13" i="25" s="1"/>
  <c r="AC30" i="18"/>
  <c r="F16" i="25" s="1"/>
  <c r="AC32" i="18"/>
  <c r="F19" i="25" s="1"/>
  <c r="AC34" i="18"/>
  <c r="F20" i="25" s="1"/>
  <c r="AB35" i="18"/>
  <c r="AC35" i="18" s="1"/>
  <c r="F21" i="25" s="1"/>
  <c r="AB38" i="18"/>
  <c r="AC38" i="18" s="1"/>
  <c r="F22" i="25" s="1"/>
  <c r="AC41" i="18"/>
  <c r="F25" i="25" s="1"/>
  <c r="AC43" i="18"/>
  <c r="F28" i="25" s="1"/>
  <c r="AB52" i="18"/>
  <c r="AC52" i="18" s="1"/>
  <c r="F31" i="25" s="1"/>
  <c r="AB57" i="18"/>
  <c r="AC57" i="18" s="1"/>
  <c r="F32" i="25" s="1"/>
  <c r="AB63" i="18"/>
  <c r="AC63" i="18" s="1"/>
  <c r="F33" i="25" s="1"/>
  <c r="AC67" i="18"/>
  <c r="F37" i="25" s="1"/>
  <c r="AC70" i="18"/>
  <c r="F39" i="25" s="1"/>
  <c r="AC73" i="18"/>
  <c r="AC81" i="18" s="1"/>
  <c r="AC82" i="18" s="1"/>
  <c r="J85" i="24" s="1"/>
  <c r="AH4" i="18"/>
  <c r="AI4" i="18" s="1"/>
  <c r="AH7" i="18"/>
  <c r="AI7" i="18" s="1"/>
  <c r="AH10" i="18"/>
  <c r="AI10" i="18" s="1"/>
  <c r="G4" i="25" s="1"/>
  <c r="AH16" i="18"/>
  <c r="AI16" i="18" s="1"/>
  <c r="G7" i="25" s="1"/>
  <c r="AH19" i="18"/>
  <c r="AI19" i="18" s="1"/>
  <c r="G8" i="25" s="1"/>
  <c r="AH22" i="18"/>
  <c r="AI22" i="18" s="1"/>
  <c r="G9" i="25" s="1"/>
  <c r="AH25" i="18"/>
  <c r="AI25" i="18" s="1"/>
  <c r="G10" i="25" s="1"/>
  <c r="AI28" i="18"/>
  <c r="G13" i="25" s="1"/>
  <c r="AI30" i="18"/>
  <c r="G16" i="25" s="1"/>
  <c r="AI32" i="18"/>
  <c r="G19" i="25" s="1"/>
  <c r="AI34" i="18"/>
  <c r="G20" i="25" s="1"/>
  <c r="AH35" i="18"/>
  <c r="AH38" i="18"/>
  <c r="AI38" i="18" s="1"/>
  <c r="G22" i="25" s="1"/>
  <c r="AI41" i="18"/>
  <c r="G25" i="25" s="1"/>
  <c r="AI43" i="18"/>
  <c r="G28" i="25" s="1"/>
  <c r="AH45" i="18"/>
  <c r="AI45" i="18" s="1"/>
  <c r="G29" i="25" s="1"/>
  <c r="AH48" i="18"/>
  <c r="AI48" i="18" s="1"/>
  <c r="G30" i="25" s="1"/>
  <c r="AH52" i="18"/>
  <c r="AI52" i="18" s="1"/>
  <c r="G31" i="25" s="1"/>
  <c r="AH57" i="18"/>
  <c r="AI57" i="18" s="1"/>
  <c r="G32" i="25" s="1"/>
  <c r="AH63" i="18"/>
  <c r="AI63" i="18" s="1"/>
  <c r="G33" i="25" s="1"/>
  <c r="AI67" i="18"/>
  <c r="G37" i="25" s="1"/>
  <c r="AI70" i="18"/>
  <c r="G39" i="25" s="1"/>
  <c r="AI73" i="18"/>
  <c r="AI81" i="18" s="1"/>
  <c r="AN7" i="18"/>
  <c r="AO7" i="18" s="1"/>
  <c r="AN10" i="18"/>
  <c r="AO10" i="18" s="1"/>
  <c r="H4" i="25" s="1"/>
  <c r="AN16" i="18"/>
  <c r="AO16" i="18" s="1"/>
  <c r="H7" i="25" s="1"/>
  <c r="AO19" i="18"/>
  <c r="AN22" i="18"/>
  <c r="AO22" i="18" s="1"/>
  <c r="H8" i="25" s="1"/>
  <c r="AN25" i="18"/>
  <c r="AP25" i="18" s="1"/>
  <c r="AO30" i="18"/>
  <c r="H16" i="25" s="1"/>
  <c r="AO32" i="18"/>
  <c r="H19" i="25" s="1"/>
  <c r="AO34" i="18"/>
  <c r="H20" i="25" s="1"/>
  <c r="AN35" i="18"/>
  <c r="AO35" i="18" s="1"/>
  <c r="H21" i="25" s="1"/>
  <c r="AN38" i="18"/>
  <c r="AO38" i="18" s="1"/>
  <c r="H22" i="25" s="1"/>
  <c r="AO41" i="18"/>
  <c r="H25" i="25" s="1"/>
  <c r="AO43" i="18"/>
  <c r="AN45" i="18"/>
  <c r="AO45" i="18" s="1"/>
  <c r="H29" i="25" s="1"/>
  <c r="AN48" i="18"/>
  <c r="AO48" i="18" s="1"/>
  <c r="H30" i="25" s="1"/>
  <c r="AN52" i="18"/>
  <c r="AP52" i="18" s="1"/>
  <c r="AN57" i="18"/>
  <c r="AO57" i="18" s="1"/>
  <c r="H32" i="25" s="1"/>
  <c r="AN63" i="18"/>
  <c r="AO63" i="18" s="1"/>
  <c r="H33" i="25" s="1"/>
  <c r="AO67" i="18"/>
  <c r="H37" i="25" s="1"/>
  <c r="AO70" i="18"/>
  <c r="H39" i="25" s="1"/>
  <c r="AO73" i="18"/>
  <c r="AO81" i="18" s="1"/>
  <c r="L65" i="24" s="1"/>
  <c r="AT4" i="18"/>
  <c r="AU4" i="18" s="1"/>
  <c r="AT7" i="18"/>
  <c r="AU7" i="18" s="1"/>
  <c r="AT10" i="18"/>
  <c r="AU10" i="18" s="1"/>
  <c r="I4" i="25" s="1"/>
  <c r="AT16" i="18"/>
  <c r="AU16" i="18" s="1"/>
  <c r="I7" i="25" s="1"/>
  <c r="AT19" i="18"/>
  <c r="AU19" i="18" s="1"/>
  <c r="I8" i="25" s="1"/>
  <c r="AT22" i="18"/>
  <c r="AU22" i="18" s="1"/>
  <c r="I9" i="25" s="1"/>
  <c r="AT25" i="18"/>
  <c r="AU25" i="18" s="1"/>
  <c r="I10" i="25" s="1"/>
  <c r="AU28" i="18"/>
  <c r="I13" i="25" s="1"/>
  <c r="AU30" i="18"/>
  <c r="I16" i="25" s="1"/>
  <c r="AU32" i="18"/>
  <c r="I19" i="25" s="1"/>
  <c r="AU34" i="18"/>
  <c r="I20" i="25" s="1"/>
  <c r="AT35" i="18"/>
  <c r="AT38" i="18"/>
  <c r="AU41" i="18"/>
  <c r="I25" i="25" s="1"/>
  <c r="AU43" i="18"/>
  <c r="I28" i="25" s="1"/>
  <c r="AT45" i="18"/>
  <c r="AU45" i="18" s="1"/>
  <c r="I29" i="25" s="1"/>
  <c r="AT48" i="18"/>
  <c r="AU48" i="18" s="1"/>
  <c r="I30" i="25" s="1"/>
  <c r="AT52" i="18"/>
  <c r="AT57" i="18"/>
  <c r="AU57" i="18" s="1"/>
  <c r="I32" i="25" s="1"/>
  <c r="AT63" i="18"/>
  <c r="AU63" i="18" s="1"/>
  <c r="I33" i="25" s="1"/>
  <c r="AU67" i="18"/>
  <c r="I37" i="25" s="1"/>
  <c r="AU70" i="18"/>
  <c r="I39" i="25" s="1"/>
  <c r="AU73" i="18"/>
  <c r="AU81" i="18" s="1"/>
  <c r="AZ4" i="18"/>
  <c r="BA4" i="18" s="1"/>
  <c r="AZ7" i="18"/>
  <c r="BA7" i="18" s="1"/>
  <c r="AZ10" i="18"/>
  <c r="AZ16" i="18"/>
  <c r="BA16" i="18" s="1"/>
  <c r="J7" i="25" s="1"/>
  <c r="AZ19" i="18"/>
  <c r="AZ22" i="18"/>
  <c r="BA22" i="18" s="1"/>
  <c r="J9" i="25" s="1"/>
  <c r="AZ25" i="18"/>
  <c r="BA25" i="18" s="1"/>
  <c r="J10" i="25" s="1"/>
  <c r="BA28" i="18"/>
  <c r="J13" i="25" s="1"/>
  <c r="BA30" i="18"/>
  <c r="J16" i="25" s="1"/>
  <c r="BA32" i="18"/>
  <c r="J19" i="25" s="1"/>
  <c r="BA34" i="18"/>
  <c r="J20" i="25" s="1"/>
  <c r="AZ35" i="18"/>
  <c r="BB35" i="18" s="1"/>
  <c r="AZ38" i="18"/>
  <c r="BA38" i="18" s="1"/>
  <c r="J22" i="25" s="1"/>
  <c r="BA41" i="18"/>
  <c r="J25" i="25" s="1"/>
  <c r="BA43" i="18"/>
  <c r="J28" i="25" s="1"/>
  <c r="AZ45" i="18"/>
  <c r="AZ48" i="18"/>
  <c r="BA48" i="18" s="1"/>
  <c r="J30" i="25" s="1"/>
  <c r="AZ52" i="18"/>
  <c r="BA52" i="18" s="1"/>
  <c r="J31" i="25" s="1"/>
  <c r="AZ57" i="18"/>
  <c r="BA57" i="18" s="1"/>
  <c r="J32" i="25" s="1"/>
  <c r="AZ63" i="18"/>
  <c r="BA63" i="18" s="1"/>
  <c r="J33" i="25" s="1"/>
  <c r="BA67" i="18"/>
  <c r="J37" i="25" s="1"/>
  <c r="BA70" i="18"/>
  <c r="J39" i="25" s="1"/>
  <c r="BA73" i="18"/>
  <c r="BA81" i="18" s="1"/>
  <c r="BA82" i="18" s="1"/>
  <c r="N85" i="24" s="1"/>
  <c r="BF4" i="18"/>
  <c r="BG4" i="18" s="1"/>
  <c r="BF7" i="18"/>
  <c r="BG7" i="18" s="1"/>
  <c r="BF10" i="18"/>
  <c r="BG10" i="18" s="1"/>
  <c r="K4" i="25" s="1"/>
  <c r="BF16" i="18"/>
  <c r="BG16" i="18" s="1"/>
  <c r="K7" i="25" s="1"/>
  <c r="BF19" i="18"/>
  <c r="BG19" i="18" s="1"/>
  <c r="K8" i="25" s="1"/>
  <c r="BF22" i="18"/>
  <c r="BG22" i="18" s="1"/>
  <c r="K9" i="25" s="1"/>
  <c r="BF25" i="18"/>
  <c r="BG25" i="18" s="1"/>
  <c r="K10" i="25" s="1"/>
  <c r="BG28" i="18"/>
  <c r="K13" i="25" s="1"/>
  <c r="BG30" i="18"/>
  <c r="K16" i="25" s="1"/>
  <c r="BG32" i="18"/>
  <c r="K19" i="25" s="1"/>
  <c r="BG34" i="18"/>
  <c r="K20" i="25" s="1"/>
  <c r="BF35" i="18"/>
  <c r="BF38" i="18"/>
  <c r="BG38" i="18" s="1"/>
  <c r="K22" i="25" s="1"/>
  <c r="BG41" i="18"/>
  <c r="K25" i="25" s="1"/>
  <c r="BG43" i="18"/>
  <c r="K28" i="25" s="1"/>
  <c r="BF45" i="18"/>
  <c r="BG45" i="18" s="1"/>
  <c r="K29" i="25" s="1"/>
  <c r="BF48" i="18"/>
  <c r="BG48" i="18" s="1"/>
  <c r="K30" i="25" s="1"/>
  <c r="BF52" i="18"/>
  <c r="BG52" i="18" s="1"/>
  <c r="K31" i="25" s="1"/>
  <c r="BF57" i="18"/>
  <c r="BG57" i="18" s="1"/>
  <c r="K32" i="25" s="1"/>
  <c r="BF63" i="18"/>
  <c r="BG63" i="18" s="1"/>
  <c r="K33" i="25" s="1"/>
  <c r="BG67" i="18"/>
  <c r="K37" i="25" s="1"/>
  <c r="BG70" i="18"/>
  <c r="K39" i="25" s="1"/>
  <c r="BG73" i="18"/>
  <c r="BG81" i="18" s="1"/>
  <c r="BL4" i="18"/>
  <c r="BM4" i="18" s="1"/>
  <c r="BL7" i="18"/>
  <c r="BL10" i="18"/>
  <c r="BM10" i="18" s="1"/>
  <c r="L4" i="25" s="1"/>
  <c r="BL16" i="18"/>
  <c r="BM16" i="18" s="1"/>
  <c r="L7" i="25" s="1"/>
  <c r="BL19" i="18"/>
  <c r="BL22" i="18"/>
  <c r="BM22" i="18" s="1"/>
  <c r="L9" i="25" s="1"/>
  <c r="BL25" i="18"/>
  <c r="BN25" i="18" s="1"/>
  <c r="BM28" i="18"/>
  <c r="L13" i="25" s="1"/>
  <c r="BM30" i="18"/>
  <c r="L16" i="25" s="1"/>
  <c r="BM32" i="18"/>
  <c r="L19" i="25" s="1"/>
  <c r="BM34" i="18"/>
  <c r="BL35" i="18"/>
  <c r="BM35" i="18" s="1"/>
  <c r="L21" i="25" s="1"/>
  <c r="BL38" i="18"/>
  <c r="BM38" i="18" s="1"/>
  <c r="L22" i="25" s="1"/>
  <c r="BM41" i="18"/>
  <c r="BM43" i="18"/>
  <c r="L28" i="25" s="1"/>
  <c r="BL45" i="18"/>
  <c r="BM45" i="18" s="1"/>
  <c r="L29" i="25" s="1"/>
  <c r="BL48" i="18"/>
  <c r="BL52" i="18"/>
  <c r="BM52" i="18" s="1"/>
  <c r="L31" i="25" s="1"/>
  <c r="BL57" i="18"/>
  <c r="BM57" i="18" s="1"/>
  <c r="L32" i="25" s="1"/>
  <c r="BL63" i="18"/>
  <c r="BN63" i="18" s="1"/>
  <c r="BM67" i="18"/>
  <c r="L37" i="25" s="1"/>
  <c r="BM70" i="18"/>
  <c r="L39" i="25" s="1"/>
  <c r="BM73" i="18"/>
  <c r="BM81" i="18" s="1"/>
  <c r="BR4" i="18"/>
  <c r="BS4" i="18" s="1"/>
  <c r="BR7" i="18"/>
  <c r="BS7" i="18" s="1"/>
  <c r="BR10" i="18"/>
  <c r="BS10" i="18" s="1"/>
  <c r="M4" i="25" s="1"/>
  <c r="BR16" i="18"/>
  <c r="BS16" i="18" s="1"/>
  <c r="M7" i="25" s="1"/>
  <c r="BR19" i="18"/>
  <c r="BT19" i="18" s="1"/>
  <c r="BR25" i="18"/>
  <c r="BS25" i="18" s="1"/>
  <c r="M10" i="25" s="1"/>
  <c r="BS28" i="18"/>
  <c r="M13" i="25" s="1"/>
  <c r="BS30" i="18"/>
  <c r="M16" i="25" s="1"/>
  <c r="BS32" i="18"/>
  <c r="M19" i="25" s="1"/>
  <c r="BS34" i="18"/>
  <c r="M20" i="25" s="1"/>
  <c r="BR35" i="18"/>
  <c r="BS35" i="18" s="1"/>
  <c r="M21" i="25" s="1"/>
  <c r="BR38" i="18"/>
  <c r="BS41" i="18"/>
  <c r="M25" i="25" s="1"/>
  <c r="BS43" i="18"/>
  <c r="M28" i="25" s="1"/>
  <c r="BR45" i="18"/>
  <c r="BR48" i="18"/>
  <c r="BS48" i="18" s="1"/>
  <c r="M30" i="25" s="1"/>
  <c r="BR52" i="18"/>
  <c r="BS52" i="18" s="1"/>
  <c r="M31" i="25" s="1"/>
  <c r="BR57" i="18"/>
  <c r="BT57" i="18" s="1"/>
  <c r="BR63" i="18"/>
  <c r="BS63" i="18" s="1"/>
  <c r="M33" i="25" s="1"/>
  <c r="BS67" i="18"/>
  <c r="M37" i="25" s="1"/>
  <c r="BS70" i="18"/>
  <c r="M39" i="25" s="1"/>
  <c r="BS73" i="18"/>
  <c r="BS81" i="18" s="1"/>
  <c r="BS82" i="18" s="1"/>
  <c r="Q85" i="24" s="1"/>
  <c r="BX4" i="18"/>
  <c r="BX7" i="18"/>
  <c r="BY7" i="18" s="1"/>
  <c r="BX10" i="18"/>
  <c r="BZ10" i="18" s="1"/>
  <c r="BX16" i="18"/>
  <c r="BZ16" i="18" s="1"/>
  <c r="BX19" i="18"/>
  <c r="BY19" i="18" s="1"/>
  <c r="N8" i="25" s="1"/>
  <c r="BX22" i="18"/>
  <c r="BZ22" i="18" s="1"/>
  <c r="BX25" i="18"/>
  <c r="BY25" i="18" s="1"/>
  <c r="BY28" i="18"/>
  <c r="N13" i="25" s="1"/>
  <c r="BY30" i="18"/>
  <c r="BY32" i="18"/>
  <c r="N19" i="25" s="1"/>
  <c r="BY34" i="18"/>
  <c r="N20" i="25" s="1"/>
  <c r="BX35" i="18"/>
  <c r="BY35" i="18" s="1"/>
  <c r="N21" i="25" s="1"/>
  <c r="BX38" i="18"/>
  <c r="BY38" i="18" s="1"/>
  <c r="N22" i="25" s="1"/>
  <c r="BY41" i="18"/>
  <c r="N25" i="25" s="1"/>
  <c r="BY43" i="18"/>
  <c r="N28" i="25" s="1"/>
  <c r="BX45" i="18"/>
  <c r="BX48" i="18"/>
  <c r="BZ48" i="18" s="1"/>
  <c r="BX52" i="18"/>
  <c r="BY52" i="18" s="1"/>
  <c r="N31" i="25" s="1"/>
  <c r="BX63" i="18"/>
  <c r="BY67" i="18"/>
  <c r="N37" i="25" s="1"/>
  <c r="BY70" i="18"/>
  <c r="N39" i="25" s="1"/>
  <c r="BY73" i="18"/>
  <c r="BY81" i="18" s="1"/>
  <c r="E32" i="15"/>
  <c r="E35" i="15" s="1"/>
  <c r="G32" i="15"/>
  <c r="D35" i="24" s="1"/>
  <c r="D14" i="24" s="1"/>
  <c r="F14" i="24" s="1"/>
  <c r="G14" i="24" s="1"/>
  <c r="O14" i="24" s="1"/>
  <c r="W38" i="19"/>
  <c r="N36" i="5"/>
  <c r="P36" i="5" s="1"/>
  <c r="H121" i="26" s="1"/>
  <c r="I121" i="26" s="1"/>
  <c r="F16" i="28"/>
  <c r="G16" i="28" s="1"/>
  <c r="F52" i="28"/>
  <c r="G52" i="28" s="1"/>
  <c r="K7" i="3"/>
  <c r="E43" i="27" s="1"/>
  <c r="E23" i="30"/>
  <c r="F23" i="30" s="1"/>
  <c r="E23" i="29"/>
  <c r="F23" i="29" s="1"/>
  <c r="E12" i="29"/>
  <c r="F12" i="29" s="1"/>
  <c r="E2" i="29"/>
  <c r="F2" i="29" s="1"/>
  <c r="F4" i="15"/>
  <c r="H4" i="10"/>
  <c r="I4" i="10"/>
  <c r="H26" i="10"/>
  <c r="H22" i="10"/>
  <c r="H21" i="10"/>
  <c r="H20" i="10"/>
  <c r="H19" i="10"/>
  <c r="H18" i="10"/>
  <c r="H17" i="10"/>
  <c r="H16" i="10"/>
  <c r="H15" i="10"/>
  <c r="H14" i="10"/>
  <c r="H13" i="10"/>
  <c r="H12" i="10"/>
  <c r="H11" i="10"/>
  <c r="H9" i="10"/>
  <c r="H8" i="10"/>
  <c r="H7" i="10"/>
  <c r="H6" i="10"/>
  <c r="H5" i="10"/>
  <c r="H3" i="10"/>
  <c r="D69" i="24"/>
  <c r="R14" i="2"/>
  <c r="R42" i="2"/>
  <c r="E73" i="24"/>
  <c r="D73" i="24" s="1"/>
  <c r="D72" i="24"/>
  <c r="E71" i="24"/>
  <c r="D71" i="24" s="1"/>
  <c r="D70" i="24"/>
  <c r="D68" i="24"/>
  <c r="E50" i="24"/>
  <c r="D50" i="24" s="1"/>
  <c r="D18" i="24"/>
  <c r="P17" i="24"/>
  <c r="P12" i="24"/>
  <c r="P10" i="24"/>
  <c r="P18" i="24"/>
  <c r="P9" i="24"/>
  <c r="F8" i="24"/>
  <c r="G8" i="24" s="1"/>
  <c r="O15" i="24" s="1"/>
  <c r="P7" i="24"/>
  <c r="P6" i="24"/>
  <c r="P5" i="24"/>
  <c r="P4" i="24"/>
  <c r="C2" i="21"/>
  <c r="D2" i="21" s="1"/>
  <c r="E2" i="21" s="1"/>
  <c r="F2" i="21" s="1"/>
  <c r="G2" i="21" s="1"/>
  <c r="H2" i="21" s="1"/>
  <c r="I2" i="21" s="1"/>
  <c r="J2" i="21" s="1"/>
  <c r="K2" i="21" s="1"/>
  <c r="A12" i="9"/>
  <c r="A11" i="9"/>
  <c r="A10" i="9"/>
  <c r="A9" i="9"/>
  <c r="A8" i="9"/>
  <c r="A7" i="9"/>
  <c r="A6" i="9"/>
  <c r="A5" i="9"/>
  <c r="A4" i="9"/>
  <c r="A3" i="9"/>
  <c r="H5" i="25"/>
  <c r="H6" i="25"/>
  <c r="H12" i="25"/>
  <c r="H14" i="25"/>
  <c r="H15" i="25"/>
  <c r="H18" i="25"/>
  <c r="H23" i="25"/>
  <c r="H24" i="25"/>
  <c r="H26" i="25"/>
  <c r="H27" i="25"/>
  <c r="H34" i="25"/>
  <c r="H35" i="25"/>
  <c r="H36" i="25"/>
  <c r="H40" i="25"/>
  <c r="K5" i="25"/>
  <c r="K6" i="25"/>
  <c r="K11" i="25"/>
  <c r="K12" i="25"/>
  <c r="K14" i="25"/>
  <c r="K15" i="25"/>
  <c r="K17" i="25"/>
  <c r="K18" i="25"/>
  <c r="K23" i="25"/>
  <c r="K24" i="25"/>
  <c r="K26" i="25"/>
  <c r="K27" i="25"/>
  <c r="K34" i="25"/>
  <c r="K35" i="25"/>
  <c r="K36" i="25"/>
  <c r="K40" i="25"/>
  <c r="J5" i="25"/>
  <c r="J6" i="25"/>
  <c r="J11" i="25"/>
  <c r="J12" i="25"/>
  <c r="J14" i="25"/>
  <c r="J15" i="25"/>
  <c r="J17" i="25"/>
  <c r="J18" i="25"/>
  <c r="J23" i="25"/>
  <c r="J24" i="25"/>
  <c r="J26" i="25"/>
  <c r="J27" i="25"/>
  <c r="J34" i="25"/>
  <c r="J35" i="25"/>
  <c r="J36" i="25"/>
  <c r="J40" i="25"/>
  <c r="F5" i="25"/>
  <c r="F6" i="25"/>
  <c r="F11" i="25"/>
  <c r="F12" i="25"/>
  <c r="F14" i="25"/>
  <c r="F15" i="25"/>
  <c r="F17" i="25"/>
  <c r="F18" i="25"/>
  <c r="F23" i="25"/>
  <c r="F24" i="25"/>
  <c r="F26" i="25"/>
  <c r="F27" i="25"/>
  <c r="F34" i="25"/>
  <c r="F35" i="25"/>
  <c r="F36" i="25"/>
  <c r="F40" i="25"/>
  <c r="I5" i="25"/>
  <c r="I6" i="25"/>
  <c r="I11" i="25"/>
  <c r="I12" i="25"/>
  <c r="I14" i="25"/>
  <c r="I15" i="25"/>
  <c r="I17" i="25"/>
  <c r="I18" i="25"/>
  <c r="I23" i="25"/>
  <c r="I24" i="25"/>
  <c r="I26" i="25"/>
  <c r="I27" i="25"/>
  <c r="I34" i="25"/>
  <c r="I35" i="25"/>
  <c r="I36" i="25"/>
  <c r="I40" i="25"/>
  <c r="G5" i="25"/>
  <c r="G6" i="25"/>
  <c r="G11" i="25"/>
  <c r="G12" i="25"/>
  <c r="G14" i="25"/>
  <c r="G15" i="25"/>
  <c r="G17" i="25"/>
  <c r="G18" i="25"/>
  <c r="G23" i="25"/>
  <c r="G24" i="25"/>
  <c r="G26" i="25"/>
  <c r="G27" i="25"/>
  <c r="G34" i="25"/>
  <c r="G35" i="25"/>
  <c r="G36" i="25"/>
  <c r="G40" i="25"/>
  <c r="E5" i="25"/>
  <c r="E6" i="25"/>
  <c r="E11" i="25"/>
  <c r="E12" i="25"/>
  <c r="E14" i="25"/>
  <c r="E15" i="25"/>
  <c r="E17" i="25"/>
  <c r="E18" i="25"/>
  <c r="E23" i="25"/>
  <c r="E24" i="25"/>
  <c r="E26" i="25"/>
  <c r="E27" i="25"/>
  <c r="E34" i="25"/>
  <c r="E35" i="25"/>
  <c r="E36" i="25"/>
  <c r="E40" i="25"/>
  <c r="L5" i="25"/>
  <c r="L6" i="25"/>
  <c r="L11" i="25"/>
  <c r="L12" i="25"/>
  <c r="L14" i="25"/>
  <c r="L15" i="25"/>
  <c r="L17" i="25"/>
  <c r="L18" i="25"/>
  <c r="L23" i="25"/>
  <c r="L24" i="25"/>
  <c r="L26" i="25"/>
  <c r="L27" i="25"/>
  <c r="L34" i="25"/>
  <c r="L35" i="25"/>
  <c r="L36" i="25"/>
  <c r="L40" i="25"/>
  <c r="N5" i="25"/>
  <c r="N6" i="25"/>
  <c r="N11" i="25"/>
  <c r="N12" i="25"/>
  <c r="N14" i="25"/>
  <c r="N15" i="25"/>
  <c r="N17" i="25"/>
  <c r="N18" i="25"/>
  <c r="N23" i="25"/>
  <c r="N24" i="25"/>
  <c r="N26" i="25"/>
  <c r="N27" i="25"/>
  <c r="N34" i="25"/>
  <c r="N35" i="25"/>
  <c r="N36" i="25"/>
  <c r="N40" i="25"/>
  <c r="M5" i="25"/>
  <c r="M6" i="25"/>
  <c r="M11" i="25"/>
  <c r="M12" i="25"/>
  <c r="M14" i="25"/>
  <c r="M15" i="25"/>
  <c r="M17" i="25"/>
  <c r="M18" i="25"/>
  <c r="M23" i="25"/>
  <c r="M24" i="25"/>
  <c r="M26" i="25"/>
  <c r="M27" i="25"/>
  <c r="M34" i="25"/>
  <c r="M35" i="25"/>
  <c r="M36" i="25"/>
  <c r="M40" i="25"/>
  <c r="H75" i="25"/>
  <c r="I2" i="26"/>
  <c r="I4" i="26"/>
  <c r="I6" i="26"/>
  <c r="L4" i="2"/>
  <c r="F2" i="27" s="1"/>
  <c r="D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3" i="15"/>
  <c r="H82" i="11"/>
  <c r="H83" i="11" s="1"/>
  <c r="H84" i="11" s="1"/>
  <c r="D81" i="11"/>
  <c r="F80" i="11"/>
  <c r="F79" i="11"/>
  <c r="F78" i="11"/>
  <c r="F77" i="11"/>
  <c r="F76" i="11"/>
  <c r="F75" i="11"/>
  <c r="F74" i="11"/>
  <c r="F73" i="11"/>
  <c r="F72" i="11"/>
  <c r="F71" i="11"/>
  <c r="F70" i="11"/>
  <c r="F67" i="11"/>
  <c r="F65" i="11"/>
  <c r="F64" i="11"/>
  <c r="F63" i="11"/>
  <c r="F62" i="11"/>
  <c r="F61" i="11"/>
  <c r="F60" i="11"/>
  <c r="F59" i="11"/>
  <c r="F58" i="11"/>
  <c r="F57" i="11"/>
  <c r="F56" i="11"/>
  <c r="F55" i="11"/>
  <c r="F54" i="11"/>
  <c r="F53" i="11"/>
  <c r="F52" i="11"/>
  <c r="F51" i="11"/>
  <c r="F50" i="11"/>
  <c r="F49" i="11"/>
  <c r="F48" i="11"/>
  <c r="F47" i="11"/>
  <c r="F46" i="11"/>
  <c r="F45" i="11"/>
  <c r="F44" i="11"/>
  <c r="F43" i="11"/>
  <c r="F37" i="11"/>
  <c r="F36" i="11"/>
  <c r="F35" i="11"/>
  <c r="F34" i="11"/>
  <c r="F33" i="11"/>
  <c r="F32" i="11"/>
  <c r="F31" i="11"/>
  <c r="F30" i="11"/>
  <c r="F29" i="11"/>
  <c r="F28" i="11"/>
  <c r="F27" i="11"/>
  <c r="F26" i="11"/>
  <c r="F25" i="11"/>
  <c r="F24" i="11"/>
  <c r="F23" i="11"/>
  <c r="F22" i="11"/>
  <c r="F21" i="11"/>
  <c r="F20" i="11"/>
  <c r="F19" i="11"/>
  <c r="F17" i="11"/>
  <c r="F16" i="11"/>
  <c r="F14" i="11"/>
  <c r="F13" i="11"/>
  <c r="F12" i="11"/>
  <c r="F11" i="11"/>
  <c r="F10" i="11"/>
  <c r="F9" i="11"/>
  <c r="F8" i="11"/>
  <c r="F7" i="11"/>
  <c r="F6" i="11"/>
  <c r="F5" i="11"/>
  <c r="F4" i="11"/>
  <c r="K26" i="10"/>
  <c r="J26" i="10"/>
  <c r="I26" i="10"/>
  <c r="K23" i="10"/>
  <c r="J23" i="10"/>
  <c r="K22" i="10"/>
  <c r="J22" i="10"/>
  <c r="I22" i="10"/>
  <c r="K21" i="10"/>
  <c r="J21" i="10"/>
  <c r="I21" i="10"/>
  <c r="K20" i="10"/>
  <c r="J20" i="10"/>
  <c r="I20" i="10"/>
  <c r="K19" i="10"/>
  <c r="J19" i="10"/>
  <c r="I19" i="10"/>
  <c r="K18" i="10"/>
  <c r="J18" i="10"/>
  <c r="I18" i="10"/>
  <c r="K17" i="10"/>
  <c r="J17" i="10"/>
  <c r="I17" i="10"/>
  <c r="K16" i="10"/>
  <c r="J16" i="10"/>
  <c r="I16" i="10"/>
  <c r="K15" i="10"/>
  <c r="J15" i="10"/>
  <c r="I15" i="10"/>
  <c r="K14" i="10"/>
  <c r="J14" i="10"/>
  <c r="I14" i="10"/>
  <c r="K13" i="10"/>
  <c r="J13" i="10"/>
  <c r="I13" i="10"/>
  <c r="K12" i="10"/>
  <c r="J12" i="10"/>
  <c r="I12" i="10"/>
  <c r="K11" i="10"/>
  <c r="J11" i="10"/>
  <c r="I11" i="10"/>
  <c r="K10" i="10"/>
  <c r="J10" i="10"/>
  <c r="K9" i="10"/>
  <c r="J9" i="10"/>
  <c r="I9" i="10"/>
  <c r="K8" i="10"/>
  <c r="J8" i="10"/>
  <c r="I8" i="10"/>
  <c r="K7" i="10"/>
  <c r="J7" i="10"/>
  <c r="I7" i="10"/>
  <c r="K6" i="10"/>
  <c r="J6" i="10"/>
  <c r="I6" i="10"/>
  <c r="K5" i="10"/>
  <c r="J5" i="10"/>
  <c r="I5" i="10"/>
  <c r="K4" i="10"/>
  <c r="J4" i="10"/>
  <c r="K3" i="10"/>
  <c r="J3" i="10"/>
  <c r="I3" i="10"/>
  <c r="K28" i="16"/>
  <c r="K23" i="16"/>
  <c r="J23" i="16"/>
  <c r="J24" i="16" s="1"/>
  <c r="K21" i="16"/>
  <c r="J21" i="16"/>
  <c r="E33" i="24" s="1"/>
  <c r="D33" i="24" s="1"/>
  <c r="D12" i="24" s="1"/>
  <c r="F12" i="24" s="1"/>
  <c r="G12" i="24" s="1"/>
  <c r="O18" i="24" s="1"/>
  <c r="R18" i="24" s="1"/>
  <c r="I21" i="16"/>
  <c r="M5" i="16"/>
  <c r="M4" i="16"/>
  <c r="M3" i="16"/>
  <c r="K141" i="12"/>
  <c r="C5" i="23" s="1"/>
  <c r="H141" i="12"/>
  <c r="M131" i="12"/>
  <c r="L131" i="12"/>
  <c r="K131" i="12"/>
  <c r="J131" i="12"/>
  <c r="H131" i="12"/>
  <c r="G131" i="12"/>
  <c r="M130" i="12"/>
  <c r="L130" i="12"/>
  <c r="J130" i="12"/>
  <c r="G130" i="12"/>
  <c r="M129" i="12"/>
  <c r="L129" i="12"/>
  <c r="J129" i="12"/>
  <c r="G129" i="12"/>
  <c r="M128" i="12"/>
  <c r="L128" i="12"/>
  <c r="J128" i="12"/>
  <c r="G128" i="12"/>
  <c r="M127" i="12"/>
  <c r="L127" i="12"/>
  <c r="J127" i="12"/>
  <c r="G127" i="12"/>
  <c r="M126" i="12"/>
  <c r="L126" i="12"/>
  <c r="J126" i="12"/>
  <c r="G126" i="12"/>
  <c r="M125" i="12"/>
  <c r="L125" i="12"/>
  <c r="J125" i="12"/>
  <c r="G125" i="12"/>
  <c r="M124" i="12"/>
  <c r="L124" i="12"/>
  <c r="J124" i="12"/>
  <c r="G124" i="12"/>
  <c r="M123" i="12"/>
  <c r="L123" i="12"/>
  <c r="J123" i="12"/>
  <c r="G123" i="12"/>
  <c r="M122" i="12"/>
  <c r="L122" i="12"/>
  <c r="J122" i="12"/>
  <c r="G122" i="12"/>
  <c r="M121" i="12"/>
  <c r="L121" i="12"/>
  <c r="J121" i="12"/>
  <c r="G121" i="12"/>
  <c r="M120" i="12"/>
  <c r="L120" i="12"/>
  <c r="J120" i="12"/>
  <c r="G120" i="12"/>
  <c r="M119" i="12"/>
  <c r="L119" i="12"/>
  <c r="J119" i="12"/>
  <c r="G119" i="12"/>
  <c r="M118" i="12"/>
  <c r="L118" i="12"/>
  <c r="K118" i="12"/>
  <c r="J118" i="12"/>
  <c r="H118" i="12"/>
  <c r="G118" i="12"/>
  <c r="M117" i="12"/>
  <c r="L117" i="12"/>
  <c r="J117" i="12"/>
  <c r="G117" i="12"/>
  <c r="M116" i="12"/>
  <c r="L116" i="12"/>
  <c r="J116" i="12"/>
  <c r="G116" i="12"/>
  <c r="L115" i="12"/>
  <c r="J115" i="12"/>
  <c r="G115" i="12"/>
  <c r="M114" i="12"/>
  <c r="L114" i="12"/>
  <c r="J114" i="12"/>
  <c r="G114" i="12"/>
  <c r="M113" i="12"/>
  <c r="L113" i="12"/>
  <c r="J113" i="12"/>
  <c r="G113" i="12"/>
  <c r="M112" i="12"/>
  <c r="L112" i="12"/>
  <c r="J112" i="12"/>
  <c r="G112" i="12"/>
  <c r="M111" i="12"/>
  <c r="L111" i="12"/>
  <c r="J111" i="12"/>
  <c r="G111" i="12"/>
  <c r="M110" i="12"/>
  <c r="L110" i="12"/>
  <c r="J110" i="12"/>
  <c r="G110" i="12"/>
  <c r="M109" i="12"/>
  <c r="L109" i="12"/>
  <c r="J109" i="12"/>
  <c r="G109" i="12"/>
  <c r="M108" i="12"/>
  <c r="L108" i="12"/>
  <c r="J108" i="12"/>
  <c r="G108" i="12"/>
  <c r="M107" i="12"/>
  <c r="L107" i="12"/>
  <c r="J107" i="12"/>
  <c r="G107" i="12"/>
  <c r="M106" i="12"/>
  <c r="L106" i="12"/>
  <c r="J106" i="12"/>
  <c r="G106" i="12"/>
  <c r="M105" i="12"/>
  <c r="L105" i="12"/>
  <c r="J105" i="12"/>
  <c r="G105" i="12"/>
  <c r="M104" i="12"/>
  <c r="L104" i="12"/>
  <c r="K104" i="12"/>
  <c r="J104" i="12"/>
  <c r="H104" i="12"/>
  <c r="G104" i="12"/>
  <c r="M103" i="12"/>
  <c r="L103" i="12"/>
  <c r="J103" i="12"/>
  <c r="G103" i="12"/>
  <c r="M102" i="12"/>
  <c r="L102" i="12"/>
  <c r="J102" i="12"/>
  <c r="G102" i="12"/>
  <c r="M101" i="12"/>
  <c r="L101" i="12"/>
  <c r="J101" i="12"/>
  <c r="G101" i="12"/>
  <c r="M100" i="12"/>
  <c r="L100" i="12"/>
  <c r="J100" i="12"/>
  <c r="G100" i="12"/>
  <c r="M99" i="12"/>
  <c r="L99" i="12"/>
  <c r="J99" i="12"/>
  <c r="G99" i="12"/>
  <c r="M98" i="12"/>
  <c r="L98" i="12"/>
  <c r="J98" i="12"/>
  <c r="G98" i="12"/>
  <c r="M97" i="12"/>
  <c r="L97" i="12"/>
  <c r="J97" i="12"/>
  <c r="G97" i="12"/>
  <c r="M96" i="12"/>
  <c r="L96" i="12"/>
  <c r="J96" i="12"/>
  <c r="G96" i="12"/>
  <c r="M95" i="12"/>
  <c r="L95" i="12"/>
  <c r="K95" i="12"/>
  <c r="J95" i="12"/>
  <c r="H95" i="12"/>
  <c r="G95" i="12"/>
  <c r="M94" i="12"/>
  <c r="L94" i="12"/>
  <c r="J94" i="12"/>
  <c r="G94" i="12"/>
  <c r="M93" i="12"/>
  <c r="L93" i="12"/>
  <c r="J93" i="12"/>
  <c r="G93" i="12"/>
  <c r="M92" i="12"/>
  <c r="L92" i="12"/>
  <c r="J92" i="12"/>
  <c r="G92" i="12"/>
  <c r="M91" i="12"/>
  <c r="L91" i="12"/>
  <c r="J91" i="12"/>
  <c r="G91" i="12"/>
  <c r="M90" i="12"/>
  <c r="L90" i="12"/>
  <c r="J90" i="12"/>
  <c r="G90" i="12"/>
  <c r="M89" i="12"/>
  <c r="L89" i="12"/>
  <c r="J89" i="12"/>
  <c r="G89" i="12"/>
  <c r="M88" i="12"/>
  <c r="L88" i="12"/>
  <c r="J88" i="12"/>
  <c r="G88" i="12"/>
  <c r="M87" i="12"/>
  <c r="L87" i="12"/>
  <c r="J87" i="12"/>
  <c r="G87" i="12"/>
  <c r="M86" i="12"/>
  <c r="L86" i="12"/>
  <c r="J86" i="12"/>
  <c r="G86" i="12"/>
  <c r="M85" i="12"/>
  <c r="L85" i="12"/>
  <c r="J85" i="12"/>
  <c r="G85" i="12"/>
  <c r="M84" i="12"/>
  <c r="L84" i="12"/>
  <c r="J84" i="12"/>
  <c r="G84" i="12"/>
  <c r="M83" i="12"/>
  <c r="L83" i="12"/>
  <c r="J83" i="12"/>
  <c r="G83" i="12"/>
  <c r="M82" i="12"/>
  <c r="L82" i="12"/>
  <c r="J82" i="12"/>
  <c r="G82" i="12"/>
  <c r="M81" i="12"/>
  <c r="L81" i="12"/>
  <c r="J81" i="12"/>
  <c r="G81" i="12"/>
  <c r="M80" i="12"/>
  <c r="L80" i="12"/>
  <c r="J80" i="12"/>
  <c r="G80" i="12"/>
  <c r="M79" i="12"/>
  <c r="L79" i="12"/>
  <c r="J79" i="12"/>
  <c r="G79" i="12"/>
  <c r="M78" i="12"/>
  <c r="L78" i="12"/>
  <c r="J78" i="12"/>
  <c r="G78" i="12"/>
  <c r="M77" i="12"/>
  <c r="L77" i="12"/>
  <c r="J77" i="12"/>
  <c r="G77" i="12"/>
  <c r="M76" i="12"/>
  <c r="L76" i="12"/>
  <c r="J76" i="12"/>
  <c r="G76" i="12"/>
  <c r="M75" i="12"/>
  <c r="L75" i="12"/>
  <c r="K75" i="12"/>
  <c r="J75" i="12"/>
  <c r="H75" i="12"/>
  <c r="G75" i="12"/>
  <c r="M74" i="12"/>
  <c r="L74" i="12"/>
  <c r="J74" i="12"/>
  <c r="G74" i="12"/>
  <c r="M73" i="12"/>
  <c r="L73" i="12"/>
  <c r="J73" i="12"/>
  <c r="G73" i="12"/>
  <c r="M72" i="12"/>
  <c r="L72" i="12"/>
  <c r="J72" i="12"/>
  <c r="G72" i="12"/>
  <c r="M71" i="12"/>
  <c r="L71" i="12"/>
  <c r="J71" i="12"/>
  <c r="G71" i="12"/>
  <c r="M70" i="12"/>
  <c r="L70" i="12"/>
  <c r="J70" i="12"/>
  <c r="G70" i="12"/>
  <c r="M69" i="12"/>
  <c r="L69" i="12"/>
  <c r="J69" i="12"/>
  <c r="G69" i="12"/>
  <c r="M68" i="12"/>
  <c r="L68" i="12"/>
  <c r="J68" i="12"/>
  <c r="G68" i="12"/>
  <c r="M67" i="12"/>
  <c r="L67" i="12"/>
  <c r="J67" i="12"/>
  <c r="G67" i="12"/>
  <c r="M66" i="12"/>
  <c r="L66" i="12"/>
  <c r="J66" i="12"/>
  <c r="G66" i="12"/>
  <c r="M65" i="12"/>
  <c r="L65" i="12"/>
  <c r="J65" i="12"/>
  <c r="G65" i="12"/>
  <c r="M64" i="12"/>
  <c r="L64" i="12"/>
  <c r="J64" i="12"/>
  <c r="G64" i="12"/>
  <c r="M63" i="12"/>
  <c r="L63" i="12"/>
  <c r="J63" i="12"/>
  <c r="G63" i="12"/>
  <c r="M62" i="12"/>
  <c r="L62" i="12"/>
  <c r="J62" i="12"/>
  <c r="G62" i="12"/>
  <c r="M61" i="12"/>
  <c r="L61" i="12"/>
  <c r="J61" i="12"/>
  <c r="G61" i="12"/>
  <c r="M60" i="12"/>
  <c r="L60" i="12"/>
  <c r="K60" i="12"/>
  <c r="J60" i="12"/>
  <c r="H60" i="12"/>
  <c r="G60" i="12"/>
  <c r="M59" i="12"/>
  <c r="L59" i="12"/>
  <c r="J59" i="12"/>
  <c r="G59" i="12"/>
  <c r="M58" i="12"/>
  <c r="L58" i="12"/>
  <c r="J58" i="12"/>
  <c r="G58" i="12"/>
  <c r="M57" i="12"/>
  <c r="L57" i="12"/>
  <c r="J57" i="12"/>
  <c r="G57" i="12"/>
  <c r="M56" i="12"/>
  <c r="L56" i="12"/>
  <c r="J56" i="12"/>
  <c r="G56" i="12"/>
  <c r="M55" i="12"/>
  <c r="L55" i="12"/>
  <c r="J55" i="12"/>
  <c r="G55" i="12"/>
  <c r="M54" i="12"/>
  <c r="L54" i="12"/>
  <c r="J54" i="12"/>
  <c r="G54" i="12"/>
  <c r="M53" i="12"/>
  <c r="L53" i="12"/>
  <c r="J53" i="12"/>
  <c r="G53" i="12"/>
  <c r="M52" i="12"/>
  <c r="L52" i="12"/>
  <c r="J52" i="12"/>
  <c r="G52" i="12"/>
  <c r="M51" i="12"/>
  <c r="L51" i="12"/>
  <c r="J51" i="12"/>
  <c r="G51" i="12"/>
  <c r="M50" i="12"/>
  <c r="L50" i="12"/>
  <c r="J50" i="12"/>
  <c r="G50" i="12"/>
  <c r="M49" i="12"/>
  <c r="L49" i="12"/>
  <c r="J49" i="12"/>
  <c r="G49" i="12"/>
  <c r="M48" i="12"/>
  <c r="L48" i="12"/>
  <c r="J48" i="12"/>
  <c r="G48" i="12"/>
  <c r="M47" i="12"/>
  <c r="L47" i="12"/>
  <c r="J47" i="12"/>
  <c r="G47" i="12"/>
  <c r="M46" i="12"/>
  <c r="L46" i="12"/>
  <c r="J46" i="12"/>
  <c r="G46" i="12"/>
  <c r="M45" i="12"/>
  <c r="L45" i="12"/>
  <c r="J45" i="12"/>
  <c r="G45" i="12"/>
  <c r="M44" i="12"/>
  <c r="L44" i="12"/>
  <c r="J44" i="12"/>
  <c r="G44" i="12"/>
  <c r="M43" i="12"/>
  <c r="L43" i="12"/>
  <c r="K43" i="12"/>
  <c r="J43" i="12"/>
  <c r="H43" i="12"/>
  <c r="G43" i="12"/>
  <c r="M42" i="12"/>
  <c r="L42" i="12"/>
  <c r="J42" i="12"/>
  <c r="G42" i="12"/>
  <c r="M41" i="12"/>
  <c r="L41" i="12"/>
  <c r="J41" i="12"/>
  <c r="G41" i="12"/>
  <c r="M40" i="12"/>
  <c r="L40" i="12"/>
  <c r="J40" i="12"/>
  <c r="G40" i="12"/>
  <c r="M39" i="12"/>
  <c r="L39" i="12"/>
  <c r="J39" i="12"/>
  <c r="G39" i="12"/>
  <c r="M38" i="12"/>
  <c r="L38" i="12"/>
  <c r="J38" i="12"/>
  <c r="G38" i="12"/>
  <c r="M37" i="12"/>
  <c r="L37" i="12"/>
  <c r="J37" i="12"/>
  <c r="G37" i="12"/>
  <c r="M36" i="12"/>
  <c r="L36" i="12"/>
  <c r="J36" i="12"/>
  <c r="G36" i="12"/>
  <c r="M35" i="12"/>
  <c r="L35" i="12"/>
  <c r="J35" i="12"/>
  <c r="G35" i="12"/>
  <c r="M34" i="12"/>
  <c r="L34" i="12"/>
  <c r="J34" i="12"/>
  <c r="G34" i="12"/>
  <c r="M33" i="12"/>
  <c r="L33" i="12"/>
  <c r="J33" i="12"/>
  <c r="G33" i="12"/>
  <c r="M32" i="12"/>
  <c r="L32" i="12"/>
  <c r="J32" i="12"/>
  <c r="G32" i="12"/>
  <c r="M31" i="12"/>
  <c r="L31" i="12"/>
  <c r="J31" i="12"/>
  <c r="G31" i="12"/>
  <c r="M30" i="12"/>
  <c r="L30" i="12"/>
  <c r="J30" i="12"/>
  <c r="G30" i="12"/>
  <c r="M29" i="12"/>
  <c r="L29" i="12"/>
  <c r="J29" i="12"/>
  <c r="G29" i="12"/>
  <c r="M28" i="12"/>
  <c r="L28" i="12"/>
  <c r="J28" i="12"/>
  <c r="G28" i="12"/>
  <c r="M27" i="12"/>
  <c r="L27" i="12"/>
  <c r="J27" i="12"/>
  <c r="G27" i="12"/>
  <c r="M26" i="12"/>
  <c r="L26" i="12"/>
  <c r="J26" i="12"/>
  <c r="G26" i="12"/>
  <c r="M25" i="12"/>
  <c r="L25" i="12"/>
  <c r="K25" i="12"/>
  <c r="J25" i="12"/>
  <c r="H25" i="12"/>
  <c r="G25" i="12"/>
  <c r="M24" i="12"/>
  <c r="L24" i="12"/>
  <c r="J24" i="12"/>
  <c r="G24" i="12"/>
  <c r="M23" i="12"/>
  <c r="L23" i="12"/>
  <c r="J23" i="12"/>
  <c r="G23" i="12"/>
  <c r="M22" i="12"/>
  <c r="L22" i="12"/>
  <c r="J22" i="12"/>
  <c r="G22" i="12"/>
  <c r="M21" i="12"/>
  <c r="L21" i="12"/>
  <c r="J21" i="12"/>
  <c r="G21" i="12"/>
  <c r="M20" i="12"/>
  <c r="L20" i="12"/>
  <c r="J20" i="12"/>
  <c r="G20" i="12"/>
  <c r="M19" i="12"/>
  <c r="L19" i="12"/>
  <c r="J19" i="12"/>
  <c r="G19" i="12"/>
  <c r="M18" i="12"/>
  <c r="L18" i="12"/>
  <c r="J18" i="12"/>
  <c r="G18" i="12"/>
  <c r="M17" i="12"/>
  <c r="L17" i="12"/>
  <c r="J17" i="12"/>
  <c r="G17" i="12"/>
  <c r="M16" i="12"/>
  <c r="L16" i="12"/>
  <c r="J16" i="12"/>
  <c r="G16" i="12"/>
  <c r="M15" i="12"/>
  <c r="L15" i="12"/>
  <c r="J15" i="12"/>
  <c r="G15" i="12"/>
  <c r="M14" i="12"/>
  <c r="L14" i="12"/>
  <c r="K14" i="12"/>
  <c r="J14" i="12"/>
  <c r="H14" i="12"/>
  <c r="G14" i="12"/>
  <c r="M13" i="12"/>
  <c r="L13" i="12"/>
  <c r="J13" i="12"/>
  <c r="G13" i="12"/>
  <c r="M12" i="12"/>
  <c r="L12" i="12"/>
  <c r="J12" i="12"/>
  <c r="G12" i="12"/>
  <c r="M11" i="12"/>
  <c r="L11" i="12"/>
  <c r="J11" i="12"/>
  <c r="G11" i="12"/>
  <c r="M10" i="12"/>
  <c r="L10" i="12"/>
  <c r="J10" i="12"/>
  <c r="G10" i="12"/>
  <c r="M9" i="12"/>
  <c r="L9" i="12"/>
  <c r="J9" i="12"/>
  <c r="G9" i="12"/>
  <c r="M8" i="12"/>
  <c r="L8" i="12"/>
  <c r="J8" i="12"/>
  <c r="G8" i="12"/>
  <c r="M7" i="12"/>
  <c r="L7" i="12"/>
  <c r="J7" i="12"/>
  <c r="G7" i="12"/>
  <c r="M6" i="12"/>
  <c r="L6" i="12"/>
  <c r="J6" i="12"/>
  <c r="G6" i="12"/>
  <c r="M5" i="12"/>
  <c r="L5" i="12"/>
  <c r="J5" i="12"/>
  <c r="G5" i="12"/>
  <c r="M4" i="12"/>
  <c r="L4" i="12"/>
  <c r="J4" i="12"/>
  <c r="G4" i="12"/>
  <c r="M3" i="12"/>
  <c r="L3" i="12"/>
  <c r="J3" i="12"/>
  <c r="G3" i="12"/>
  <c r="AC27" i="6"/>
  <c r="Z27" i="6"/>
  <c r="C4" i="23" s="1"/>
  <c r="N23" i="6"/>
  <c r="M23" i="6"/>
  <c r="E91" i="24" s="1"/>
  <c r="D91" i="24" s="1"/>
  <c r="N21" i="6"/>
  <c r="M21" i="6"/>
  <c r="H20" i="6"/>
  <c r="M18" i="6"/>
  <c r="Z18" i="6" s="1"/>
  <c r="L18" i="6"/>
  <c r="M17" i="6"/>
  <c r="N17" i="6" s="1"/>
  <c r="AC17" i="6" s="1"/>
  <c r="L17" i="6"/>
  <c r="M16" i="6"/>
  <c r="Z16" i="6" s="1"/>
  <c r="L16" i="6"/>
  <c r="M15" i="6"/>
  <c r="N15" i="6" s="1"/>
  <c r="L15" i="6"/>
  <c r="M14" i="6"/>
  <c r="Z14" i="6" s="1"/>
  <c r="L14" i="6"/>
  <c r="N13" i="6"/>
  <c r="M13" i="6"/>
  <c r="F68" i="26" s="1"/>
  <c r="L13" i="6"/>
  <c r="M12" i="6"/>
  <c r="Z12" i="6" s="1"/>
  <c r="L12" i="6"/>
  <c r="P11" i="6"/>
  <c r="Q11" i="6" s="1"/>
  <c r="R11" i="6" s="1"/>
  <c r="S11" i="6" s="1"/>
  <c r="O11" i="6"/>
  <c r="L11" i="6"/>
  <c r="P10" i="6"/>
  <c r="Q10" i="6" s="1"/>
  <c r="R10" i="6" s="1"/>
  <c r="S10" i="6" s="1"/>
  <c r="O10" i="6"/>
  <c r="L10" i="6"/>
  <c r="AC9" i="6"/>
  <c r="P9" i="6"/>
  <c r="Q9" i="6" s="1"/>
  <c r="R9" i="6" s="1"/>
  <c r="S9" i="6" s="1"/>
  <c r="O9" i="6"/>
  <c r="K9" i="6"/>
  <c r="F66" i="26" s="1"/>
  <c r="N8" i="6"/>
  <c r="M8" i="6"/>
  <c r="P8" i="6" s="1"/>
  <c r="Q8" i="6" s="1"/>
  <c r="R8" i="6" s="1"/>
  <c r="S8" i="6" s="1"/>
  <c r="L8" i="6"/>
  <c r="P7" i="6"/>
  <c r="Q7" i="6" s="1"/>
  <c r="R7" i="6" s="1"/>
  <c r="S7" i="6" s="1"/>
  <c r="O7" i="6"/>
  <c r="L7" i="6"/>
  <c r="P6" i="6"/>
  <c r="Q6" i="6" s="1"/>
  <c r="R6" i="6" s="1"/>
  <c r="S6" i="6" s="1"/>
  <c r="O6" i="6"/>
  <c r="L6" i="6"/>
  <c r="P5" i="6"/>
  <c r="Q5" i="6" s="1"/>
  <c r="R5" i="6" s="1"/>
  <c r="S5" i="6" s="1"/>
  <c r="O5" i="6"/>
  <c r="L5" i="6"/>
  <c r="AC4" i="6"/>
  <c r="P4" i="6"/>
  <c r="Q4" i="6" s="1"/>
  <c r="R4" i="6" s="1"/>
  <c r="S4" i="6" s="1"/>
  <c r="O4" i="6"/>
  <c r="K4" i="6"/>
  <c r="F63" i="26" s="1"/>
  <c r="S26" i="7"/>
  <c r="T26" i="7" s="1"/>
  <c r="U26" i="7" s="1"/>
  <c r="H26" i="7"/>
  <c r="S25" i="7"/>
  <c r="T25" i="7" s="1"/>
  <c r="U25" i="7" s="1"/>
  <c r="S24" i="7"/>
  <c r="T24" i="7" s="1"/>
  <c r="U24" i="7" s="1"/>
  <c r="P23" i="7"/>
  <c r="P24" i="7" s="1"/>
  <c r="P26" i="7" s="1"/>
  <c r="O23" i="7"/>
  <c r="O24" i="7" s="1"/>
  <c r="O26" i="7" s="1"/>
  <c r="E129" i="24" s="1"/>
  <c r="D129" i="24" s="1"/>
  <c r="H23" i="7"/>
  <c r="R22" i="7"/>
  <c r="S22" i="7" s="1"/>
  <c r="T22" i="7" s="1"/>
  <c r="U22" i="7" s="1"/>
  <c r="Q22" i="7"/>
  <c r="N22" i="7"/>
  <c r="R21" i="7"/>
  <c r="S21" i="7" s="1"/>
  <c r="T21" i="7" s="1"/>
  <c r="U21" i="7" s="1"/>
  <c r="Q21" i="7"/>
  <c r="N21" i="7"/>
  <c r="R20" i="7"/>
  <c r="S20" i="7" s="1"/>
  <c r="T20" i="7" s="1"/>
  <c r="U20" i="7" s="1"/>
  <c r="Q20" i="7"/>
  <c r="N20" i="7"/>
  <c r="R19" i="7"/>
  <c r="S19" i="7" s="1"/>
  <c r="T19" i="7" s="1"/>
  <c r="U19" i="7" s="1"/>
  <c r="Q19" i="7"/>
  <c r="N19" i="7"/>
  <c r="K19" i="7"/>
  <c r="R18" i="7"/>
  <c r="S18" i="7" s="1"/>
  <c r="T18" i="7" s="1"/>
  <c r="U18" i="7" s="1"/>
  <c r="Q18" i="7"/>
  <c r="N18" i="7"/>
  <c r="K18" i="7"/>
  <c r="R17" i="7"/>
  <c r="S17" i="7" s="1"/>
  <c r="T17" i="7" s="1"/>
  <c r="U17" i="7" s="1"/>
  <c r="Q17" i="7"/>
  <c r="N17" i="7"/>
  <c r="K17" i="7"/>
  <c r="R16" i="7"/>
  <c r="S16" i="7" s="1"/>
  <c r="T16" i="7" s="1"/>
  <c r="U16" i="7" s="1"/>
  <c r="Q16" i="7"/>
  <c r="N16" i="7"/>
  <c r="R15" i="7"/>
  <c r="S15" i="7" s="1"/>
  <c r="T15" i="7" s="1"/>
  <c r="U15" i="7" s="1"/>
  <c r="Q15" i="7"/>
  <c r="N15" i="7"/>
  <c r="R14" i="7"/>
  <c r="S14" i="7" s="1"/>
  <c r="T14" i="7" s="1"/>
  <c r="U14" i="7" s="1"/>
  <c r="Q14" i="7"/>
  <c r="N14" i="7"/>
  <c r="R13" i="7"/>
  <c r="S13" i="7" s="1"/>
  <c r="T13" i="7" s="1"/>
  <c r="U13" i="7" s="1"/>
  <c r="Q13" i="7"/>
  <c r="N13" i="7"/>
  <c r="R12" i="7"/>
  <c r="S12" i="7" s="1"/>
  <c r="T12" i="7" s="1"/>
  <c r="U12" i="7" s="1"/>
  <c r="Q12" i="7"/>
  <c r="N12" i="7"/>
  <c r="R11" i="7"/>
  <c r="S11" i="7" s="1"/>
  <c r="T11" i="7" s="1"/>
  <c r="U11" i="7" s="1"/>
  <c r="Q11" i="7"/>
  <c r="N11" i="7"/>
  <c r="R10" i="7"/>
  <c r="Q10" i="7"/>
  <c r="N10" i="7"/>
  <c r="R9" i="7"/>
  <c r="S9" i="7" s="1"/>
  <c r="T9" i="7" s="1"/>
  <c r="U9" i="7" s="1"/>
  <c r="Q9" i="7"/>
  <c r="N9" i="7"/>
  <c r="R8" i="7"/>
  <c r="S8" i="7" s="1"/>
  <c r="T8" i="7" s="1"/>
  <c r="U8" i="7" s="1"/>
  <c r="Q8" i="7"/>
  <c r="N8" i="7"/>
  <c r="R7" i="7"/>
  <c r="S7" i="7" s="1"/>
  <c r="T7" i="7" s="1"/>
  <c r="U7" i="7" s="1"/>
  <c r="Q7" i="7"/>
  <c r="N7" i="7"/>
  <c r="R6" i="7"/>
  <c r="S6" i="7" s="1"/>
  <c r="T6" i="7" s="1"/>
  <c r="U6" i="7" s="1"/>
  <c r="Q6" i="7"/>
  <c r="N6" i="7"/>
  <c r="R5" i="7"/>
  <c r="S5" i="7" s="1"/>
  <c r="T5" i="7" s="1"/>
  <c r="U5" i="7" s="1"/>
  <c r="Q5" i="7"/>
  <c r="N5" i="7"/>
  <c r="R4" i="7"/>
  <c r="S4" i="7" s="1"/>
  <c r="T4" i="7" s="1"/>
  <c r="U4" i="7" s="1"/>
  <c r="Q4" i="7"/>
  <c r="N4" i="7"/>
  <c r="C6" i="23"/>
  <c r="Q44" i="5"/>
  <c r="P44" i="5"/>
  <c r="H44" i="5"/>
  <c r="H43" i="5"/>
  <c r="H42" i="5"/>
  <c r="Q41" i="5"/>
  <c r="Q45" i="5" s="1"/>
  <c r="Q46" i="5" s="1"/>
  <c r="N41" i="5"/>
  <c r="S41" i="5" s="1"/>
  <c r="T41" i="5" s="1"/>
  <c r="U41" i="5" s="1"/>
  <c r="V41" i="5" s="1"/>
  <c r="S40" i="5"/>
  <c r="T40" i="5" s="1"/>
  <c r="U40" i="5" s="1"/>
  <c r="V40" i="5" s="1"/>
  <c r="R40" i="5"/>
  <c r="O40" i="5"/>
  <c r="S39" i="5"/>
  <c r="T39" i="5" s="1"/>
  <c r="U39" i="5" s="1"/>
  <c r="V39" i="5" s="1"/>
  <c r="R39" i="5"/>
  <c r="O39" i="5"/>
  <c r="S38" i="5"/>
  <c r="T38" i="5" s="1"/>
  <c r="U38" i="5" s="1"/>
  <c r="V38" i="5" s="1"/>
  <c r="R38" i="5"/>
  <c r="O38" i="5"/>
  <c r="S37" i="5"/>
  <c r="T37" i="5" s="1"/>
  <c r="U37" i="5" s="1"/>
  <c r="V37" i="5" s="1"/>
  <c r="R37" i="5"/>
  <c r="O37" i="5"/>
  <c r="Q36" i="5"/>
  <c r="S35" i="5"/>
  <c r="T35" i="5" s="1"/>
  <c r="U35" i="5" s="1"/>
  <c r="V35" i="5" s="1"/>
  <c r="R35" i="5"/>
  <c r="O35" i="5"/>
  <c r="S34" i="5"/>
  <c r="T34" i="5" s="1"/>
  <c r="U34" i="5" s="1"/>
  <c r="V34" i="5" s="1"/>
  <c r="R34" i="5"/>
  <c r="O34" i="5"/>
  <c r="P33" i="5"/>
  <c r="R33" i="5" s="1"/>
  <c r="O33" i="5"/>
  <c r="S32" i="5"/>
  <c r="T32" i="5" s="1"/>
  <c r="U32" i="5" s="1"/>
  <c r="V32" i="5" s="1"/>
  <c r="R32" i="5"/>
  <c r="O32" i="5"/>
  <c r="Q31" i="5"/>
  <c r="P31" i="5"/>
  <c r="H116" i="26" s="1"/>
  <c r="O31" i="5"/>
  <c r="S30" i="5"/>
  <c r="T30" i="5" s="1"/>
  <c r="U30" i="5" s="1"/>
  <c r="V30" i="5" s="1"/>
  <c r="R30" i="5"/>
  <c r="O30" i="5"/>
  <c r="Q29" i="5"/>
  <c r="P29" i="5"/>
  <c r="S29" i="5" s="1"/>
  <c r="T29" i="5" s="1"/>
  <c r="U29" i="5" s="1"/>
  <c r="V29" i="5" s="1"/>
  <c r="O29" i="5"/>
  <c r="S28" i="5"/>
  <c r="T28" i="5" s="1"/>
  <c r="U28" i="5" s="1"/>
  <c r="V28" i="5" s="1"/>
  <c r="R28" i="5"/>
  <c r="O28" i="5"/>
  <c r="S27" i="5"/>
  <c r="T27" i="5" s="1"/>
  <c r="U27" i="5" s="1"/>
  <c r="V27" i="5" s="1"/>
  <c r="R27" i="5"/>
  <c r="O27" i="5"/>
  <c r="S26" i="5"/>
  <c r="T26" i="5" s="1"/>
  <c r="U26" i="5" s="1"/>
  <c r="V26" i="5" s="1"/>
  <c r="R26" i="5"/>
  <c r="O26" i="5"/>
  <c r="Q25" i="5"/>
  <c r="P25" i="5"/>
  <c r="S25" i="5" s="1"/>
  <c r="T25" i="5" s="1"/>
  <c r="U25" i="5" s="1"/>
  <c r="V25" i="5" s="1"/>
  <c r="S24" i="5"/>
  <c r="T24" i="5" s="1"/>
  <c r="U24" i="5" s="1"/>
  <c r="V24" i="5" s="1"/>
  <c r="R24" i="5"/>
  <c r="O24" i="5"/>
  <c r="Q23" i="5"/>
  <c r="P23" i="5"/>
  <c r="S23" i="5" s="1"/>
  <c r="T23" i="5" s="1"/>
  <c r="U23" i="5" s="1"/>
  <c r="V23" i="5" s="1"/>
  <c r="O23" i="5"/>
  <c r="S22" i="5"/>
  <c r="T22" i="5" s="1"/>
  <c r="U22" i="5" s="1"/>
  <c r="V22" i="5" s="1"/>
  <c r="R22" i="5"/>
  <c r="O22" i="5"/>
  <c r="S21" i="5"/>
  <c r="T21" i="5" s="1"/>
  <c r="U21" i="5" s="1"/>
  <c r="V21" i="5" s="1"/>
  <c r="R21" i="5"/>
  <c r="O21" i="5"/>
  <c r="S20" i="5"/>
  <c r="T20" i="5" s="1"/>
  <c r="U20" i="5" s="1"/>
  <c r="V20" i="5" s="1"/>
  <c r="R20" i="5"/>
  <c r="O20" i="5"/>
  <c r="S19" i="5"/>
  <c r="T19" i="5" s="1"/>
  <c r="U19" i="5" s="1"/>
  <c r="V19" i="5" s="1"/>
  <c r="R19" i="5"/>
  <c r="O19" i="5"/>
  <c r="S18" i="5"/>
  <c r="T18" i="5" s="1"/>
  <c r="U18" i="5" s="1"/>
  <c r="V18" i="5" s="1"/>
  <c r="R18" i="5"/>
  <c r="O18" i="5"/>
  <c r="Q17" i="5"/>
  <c r="P17" i="5"/>
  <c r="H104" i="26" s="1"/>
  <c r="O17" i="5"/>
  <c r="S16" i="5"/>
  <c r="T16" i="5" s="1"/>
  <c r="U16" i="5" s="1"/>
  <c r="V16" i="5" s="1"/>
  <c r="R16" i="5"/>
  <c r="O16" i="5"/>
  <c r="S15" i="5"/>
  <c r="T15" i="5" s="1"/>
  <c r="U15" i="5" s="1"/>
  <c r="V15" i="5" s="1"/>
  <c r="R15" i="5"/>
  <c r="O15" i="5"/>
  <c r="S14" i="5"/>
  <c r="T14" i="5" s="1"/>
  <c r="U14" i="5" s="1"/>
  <c r="V14" i="5" s="1"/>
  <c r="R14" i="5"/>
  <c r="O14" i="5"/>
  <c r="S13" i="5"/>
  <c r="T13" i="5" s="1"/>
  <c r="U13" i="5" s="1"/>
  <c r="V13" i="5" s="1"/>
  <c r="R13" i="5"/>
  <c r="O13" i="5"/>
  <c r="S12" i="5"/>
  <c r="T12" i="5" s="1"/>
  <c r="U12" i="5" s="1"/>
  <c r="V12" i="5" s="1"/>
  <c r="R12" i="5"/>
  <c r="O12" i="5"/>
  <c r="Q11" i="5"/>
  <c r="N11" i="5"/>
  <c r="P11" i="5" s="1"/>
  <c r="G100" i="26" s="1"/>
  <c r="S10" i="5"/>
  <c r="T10" i="5" s="1"/>
  <c r="U10" i="5" s="1"/>
  <c r="V10" i="5" s="1"/>
  <c r="R10" i="5"/>
  <c r="O10" i="5"/>
  <c r="S9" i="5"/>
  <c r="T9" i="5" s="1"/>
  <c r="U9" i="5" s="1"/>
  <c r="V9" i="5" s="1"/>
  <c r="R9" i="5"/>
  <c r="O9" i="5"/>
  <c r="S8" i="5"/>
  <c r="T8" i="5" s="1"/>
  <c r="U8" i="5" s="1"/>
  <c r="V8" i="5" s="1"/>
  <c r="R8" i="5"/>
  <c r="O8" i="5"/>
  <c r="Q7" i="5"/>
  <c r="N7" i="5"/>
  <c r="P7" i="5" s="1"/>
  <c r="G99" i="26" s="1"/>
  <c r="S6" i="5"/>
  <c r="T6" i="5" s="1"/>
  <c r="U6" i="5" s="1"/>
  <c r="V6" i="5" s="1"/>
  <c r="R6" i="5"/>
  <c r="O6" i="5"/>
  <c r="S5" i="5"/>
  <c r="T5" i="5" s="1"/>
  <c r="U5" i="5" s="1"/>
  <c r="V5" i="5" s="1"/>
  <c r="R5" i="5"/>
  <c r="O5" i="5"/>
  <c r="S4" i="5"/>
  <c r="T4" i="5" s="1"/>
  <c r="U4" i="5" s="1"/>
  <c r="V4" i="5" s="1"/>
  <c r="R4" i="5"/>
  <c r="O4" i="5"/>
  <c r="Q65" i="4"/>
  <c r="R65" i="4" s="1"/>
  <c r="S65" i="4" s="1"/>
  <c r="T65" i="4" s="1"/>
  <c r="I64" i="4"/>
  <c r="I63" i="4"/>
  <c r="Q62" i="4"/>
  <c r="R62" i="4" s="1"/>
  <c r="S62" i="4" s="1"/>
  <c r="T62" i="4" s="1"/>
  <c r="P62" i="4"/>
  <c r="O62" i="4"/>
  <c r="Q61" i="4"/>
  <c r="R61" i="4" s="1"/>
  <c r="S61" i="4" s="1"/>
  <c r="T61" i="4" s="1"/>
  <c r="P61" i="4"/>
  <c r="O61" i="4"/>
  <c r="O60" i="4"/>
  <c r="N60" i="4"/>
  <c r="M60" i="4"/>
  <c r="Q60" i="4" s="1"/>
  <c r="R60" i="4" s="1"/>
  <c r="S60" i="4" s="1"/>
  <c r="T60" i="4" s="1"/>
  <c r="O59" i="4"/>
  <c r="N59" i="4"/>
  <c r="M59" i="4"/>
  <c r="Q59" i="4" s="1"/>
  <c r="R59" i="4" s="1"/>
  <c r="S59" i="4" s="1"/>
  <c r="T59" i="4" s="1"/>
  <c r="O58" i="4"/>
  <c r="N58" i="4"/>
  <c r="M58" i="4"/>
  <c r="Q58" i="4" s="1"/>
  <c r="R58" i="4" s="1"/>
  <c r="S58" i="4" s="1"/>
  <c r="T58" i="4" s="1"/>
  <c r="O57" i="4"/>
  <c r="N57" i="4"/>
  <c r="M57" i="4"/>
  <c r="Q57" i="4" s="1"/>
  <c r="R57" i="4" s="1"/>
  <c r="S57" i="4" s="1"/>
  <c r="T57" i="4" s="1"/>
  <c r="O56" i="4"/>
  <c r="N56" i="4"/>
  <c r="M56" i="4"/>
  <c r="I56" i="26" s="1"/>
  <c r="Q55" i="4"/>
  <c r="R55" i="4" s="1"/>
  <c r="S55" i="4" s="1"/>
  <c r="T55" i="4" s="1"/>
  <c r="P55" i="4"/>
  <c r="O55" i="4"/>
  <c r="Q54" i="4"/>
  <c r="R54" i="4" s="1"/>
  <c r="S54" i="4" s="1"/>
  <c r="T54" i="4" s="1"/>
  <c r="P54" i="4"/>
  <c r="O54" i="4"/>
  <c r="O53" i="4"/>
  <c r="N53" i="4"/>
  <c r="M53" i="4"/>
  <c r="Q53" i="4" s="1"/>
  <c r="R53" i="4" s="1"/>
  <c r="S53" i="4" s="1"/>
  <c r="T53" i="4" s="1"/>
  <c r="O52" i="4"/>
  <c r="N52" i="4"/>
  <c r="M52" i="4"/>
  <c r="G52" i="26" s="1"/>
  <c r="Q51" i="4"/>
  <c r="R51" i="4" s="1"/>
  <c r="S51" i="4" s="1"/>
  <c r="T51" i="4" s="1"/>
  <c r="P51" i="4"/>
  <c r="O51" i="4"/>
  <c r="Q50" i="4"/>
  <c r="R50" i="4" s="1"/>
  <c r="S50" i="4" s="1"/>
  <c r="T50" i="4" s="1"/>
  <c r="P50" i="4"/>
  <c r="O50" i="4"/>
  <c r="Q49" i="4"/>
  <c r="R49" i="4" s="1"/>
  <c r="S49" i="4" s="1"/>
  <c r="T49" i="4" s="1"/>
  <c r="P49" i="4"/>
  <c r="O49" i="4"/>
  <c r="Q48" i="4"/>
  <c r="R48" i="4" s="1"/>
  <c r="S48" i="4" s="1"/>
  <c r="T48" i="4" s="1"/>
  <c r="P48" i="4"/>
  <c r="O48" i="4"/>
  <c r="O47" i="4"/>
  <c r="N47" i="4"/>
  <c r="M47" i="4"/>
  <c r="Q47" i="4" s="1"/>
  <c r="R47" i="4" s="1"/>
  <c r="S47" i="4" s="1"/>
  <c r="T47" i="4" s="1"/>
  <c r="Q46" i="4"/>
  <c r="R46" i="4" s="1"/>
  <c r="S46" i="4" s="1"/>
  <c r="T46" i="4" s="1"/>
  <c r="P46" i="4"/>
  <c r="O46" i="4"/>
  <c r="Q45" i="4"/>
  <c r="R45" i="4" s="1"/>
  <c r="S45" i="4" s="1"/>
  <c r="T45" i="4" s="1"/>
  <c r="P45" i="4"/>
  <c r="O45" i="4"/>
  <c r="Q44" i="4"/>
  <c r="R44" i="4" s="1"/>
  <c r="S44" i="4" s="1"/>
  <c r="T44" i="4" s="1"/>
  <c r="P44" i="4"/>
  <c r="O44" i="4"/>
  <c r="Q43" i="4"/>
  <c r="R43" i="4" s="1"/>
  <c r="S43" i="4" s="1"/>
  <c r="T43" i="4" s="1"/>
  <c r="P43" i="4"/>
  <c r="O43" i="4"/>
  <c r="O42" i="4"/>
  <c r="N42" i="4"/>
  <c r="M42" i="4"/>
  <c r="Q42" i="4" s="1"/>
  <c r="R42" i="4" s="1"/>
  <c r="S42" i="4" s="1"/>
  <c r="T42" i="4" s="1"/>
  <c r="Q41" i="4"/>
  <c r="R41" i="4" s="1"/>
  <c r="S41" i="4" s="1"/>
  <c r="T41" i="4" s="1"/>
  <c r="P41" i="4"/>
  <c r="O41" i="4"/>
  <c r="Q40" i="4"/>
  <c r="R40" i="4" s="1"/>
  <c r="S40" i="4" s="1"/>
  <c r="T40" i="4" s="1"/>
  <c r="P40" i="4"/>
  <c r="O40" i="4"/>
  <c r="Q39" i="4"/>
  <c r="R39" i="4" s="1"/>
  <c r="S39" i="4" s="1"/>
  <c r="T39" i="4" s="1"/>
  <c r="P39" i="4"/>
  <c r="O39" i="4"/>
  <c r="Q38" i="4"/>
  <c r="R38" i="4" s="1"/>
  <c r="S38" i="4" s="1"/>
  <c r="T38" i="4" s="1"/>
  <c r="P38" i="4"/>
  <c r="O38" i="4"/>
  <c r="Q37" i="4"/>
  <c r="R37" i="4" s="1"/>
  <c r="S37" i="4" s="1"/>
  <c r="T37" i="4" s="1"/>
  <c r="P37" i="4"/>
  <c r="O37" i="4"/>
  <c r="Q36" i="4"/>
  <c r="R36" i="4" s="1"/>
  <c r="S36" i="4" s="1"/>
  <c r="T36" i="4" s="1"/>
  <c r="P36" i="4"/>
  <c r="O36" i="4"/>
  <c r="Q35" i="4"/>
  <c r="R35" i="4" s="1"/>
  <c r="S35" i="4" s="1"/>
  <c r="T35" i="4" s="1"/>
  <c r="P35" i="4"/>
  <c r="O35" i="4"/>
  <c r="Q34" i="4"/>
  <c r="R34" i="4" s="1"/>
  <c r="S34" i="4" s="1"/>
  <c r="T34" i="4" s="1"/>
  <c r="P34" i="4"/>
  <c r="O34" i="4"/>
  <c r="Q33" i="4"/>
  <c r="R33" i="4" s="1"/>
  <c r="S33" i="4" s="1"/>
  <c r="T33" i="4" s="1"/>
  <c r="P33" i="4"/>
  <c r="O33" i="4"/>
  <c r="Q32" i="4"/>
  <c r="R32" i="4" s="1"/>
  <c r="S32" i="4" s="1"/>
  <c r="T32" i="4" s="1"/>
  <c r="P32" i="4"/>
  <c r="O32" i="4"/>
  <c r="Q31" i="4"/>
  <c r="R31" i="4" s="1"/>
  <c r="S31" i="4" s="1"/>
  <c r="T31" i="4" s="1"/>
  <c r="P31" i="4"/>
  <c r="O31" i="4"/>
  <c r="Q30" i="4"/>
  <c r="R30" i="4" s="1"/>
  <c r="S30" i="4" s="1"/>
  <c r="T30" i="4" s="1"/>
  <c r="P30" i="4"/>
  <c r="O30" i="4"/>
  <c r="Q29" i="4"/>
  <c r="R29" i="4" s="1"/>
  <c r="S29" i="4" s="1"/>
  <c r="T29" i="4" s="1"/>
  <c r="P29" i="4"/>
  <c r="O29" i="4"/>
  <c r="Q28" i="4"/>
  <c r="R28" i="4" s="1"/>
  <c r="S28" i="4" s="1"/>
  <c r="T28" i="4" s="1"/>
  <c r="P28" i="4"/>
  <c r="O28" i="4"/>
  <c r="Q27" i="4"/>
  <c r="R27" i="4" s="1"/>
  <c r="S27" i="4" s="1"/>
  <c r="T27" i="4" s="1"/>
  <c r="P27" i="4"/>
  <c r="O27" i="4"/>
  <c r="Q26" i="4"/>
  <c r="R26" i="4" s="1"/>
  <c r="S26" i="4" s="1"/>
  <c r="T26" i="4" s="1"/>
  <c r="P26" i="4"/>
  <c r="O26" i="4"/>
  <c r="Q25" i="4"/>
  <c r="R25" i="4" s="1"/>
  <c r="S25" i="4" s="1"/>
  <c r="T25" i="4" s="1"/>
  <c r="P25" i="4"/>
  <c r="O25" i="4"/>
  <c r="Q24" i="4"/>
  <c r="R24" i="4" s="1"/>
  <c r="S24" i="4" s="1"/>
  <c r="T24" i="4" s="1"/>
  <c r="P24" i="4"/>
  <c r="O24" i="4"/>
  <c r="Q23" i="4"/>
  <c r="R23" i="4" s="1"/>
  <c r="S23" i="4" s="1"/>
  <c r="T23" i="4" s="1"/>
  <c r="P23" i="4"/>
  <c r="O23" i="4"/>
  <c r="Q22" i="4"/>
  <c r="R22" i="4" s="1"/>
  <c r="S22" i="4" s="1"/>
  <c r="T22" i="4" s="1"/>
  <c r="P22" i="4"/>
  <c r="O22" i="4"/>
  <c r="Q21" i="4"/>
  <c r="R21" i="4" s="1"/>
  <c r="S21" i="4" s="1"/>
  <c r="T21" i="4" s="1"/>
  <c r="P21" i="4"/>
  <c r="O21" i="4"/>
  <c r="Q20" i="4"/>
  <c r="R20" i="4" s="1"/>
  <c r="S20" i="4" s="1"/>
  <c r="T20" i="4" s="1"/>
  <c r="P20" i="4"/>
  <c r="O20" i="4"/>
  <c r="Q19" i="4"/>
  <c r="R19" i="4" s="1"/>
  <c r="S19" i="4" s="1"/>
  <c r="T19" i="4" s="1"/>
  <c r="P19" i="4"/>
  <c r="O19" i="4"/>
  <c r="N18" i="4"/>
  <c r="K18" i="4"/>
  <c r="M18" i="4" s="1"/>
  <c r="Q18" i="4" s="1"/>
  <c r="R18" i="4" s="1"/>
  <c r="S18" i="4" s="1"/>
  <c r="T18" i="4" s="1"/>
  <c r="Q17" i="4"/>
  <c r="R17" i="4" s="1"/>
  <c r="S17" i="4" s="1"/>
  <c r="T17" i="4" s="1"/>
  <c r="P17" i="4"/>
  <c r="O17" i="4"/>
  <c r="O16" i="4"/>
  <c r="N16" i="4"/>
  <c r="M16" i="4"/>
  <c r="Q16" i="4" s="1"/>
  <c r="R16" i="4" s="1"/>
  <c r="S16" i="4" s="1"/>
  <c r="T16" i="4" s="1"/>
  <c r="Q15" i="4"/>
  <c r="R15" i="4" s="1"/>
  <c r="S15" i="4" s="1"/>
  <c r="T15" i="4" s="1"/>
  <c r="P15" i="4"/>
  <c r="O15" i="4"/>
  <c r="Q14" i="4"/>
  <c r="R14" i="4" s="1"/>
  <c r="S14" i="4" s="1"/>
  <c r="T14" i="4" s="1"/>
  <c r="P14" i="4"/>
  <c r="O14" i="4"/>
  <c r="Q13" i="4"/>
  <c r="R13" i="4" s="1"/>
  <c r="S13" i="4" s="1"/>
  <c r="T13" i="4" s="1"/>
  <c r="P13" i="4"/>
  <c r="O13" i="4"/>
  <c r="N12" i="4"/>
  <c r="K12" i="4"/>
  <c r="M12" i="4" s="1"/>
  <c r="E17" i="26" s="1"/>
  <c r="Q11" i="4"/>
  <c r="R11" i="4" s="1"/>
  <c r="S11" i="4" s="1"/>
  <c r="T11" i="4" s="1"/>
  <c r="P11" i="4"/>
  <c r="O11" i="4"/>
  <c r="Q10" i="4"/>
  <c r="R10" i="4" s="1"/>
  <c r="S10" i="4" s="1"/>
  <c r="T10" i="4" s="1"/>
  <c r="P10" i="4"/>
  <c r="O10" i="4"/>
  <c r="N9" i="4"/>
  <c r="Q8" i="4"/>
  <c r="R8" i="4" s="1"/>
  <c r="S8" i="4" s="1"/>
  <c r="T8" i="4" s="1"/>
  <c r="P8" i="4"/>
  <c r="O8" i="4"/>
  <c r="Q7" i="4"/>
  <c r="R7" i="4" s="1"/>
  <c r="S7" i="4" s="1"/>
  <c r="T7" i="4" s="1"/>
  <c r="P7" i="4"/>
  <c r="O7" i="4"/>
  <c r="O6" i="4"/>
  <c r="N6" i="4"/>
  <c r="M6" i="4"/>
  <c r="Q6" i="4" s="1"/>
  <c r="R6" i="4" s="1"/>
  <c r="S6" i="4" s="1"/>
  <c r="T6" i="4" s="1"/>
  <c r="Q5" i="4"/>
  <c r="R5" i="4" s="1"/>
  <c r="S5" i="4" s="1"/>
  <c r="T5" i="4" s="1"/>
  <c r="P5" i="4"/>
  <c r="O5" i="4"/>
  <c r="O4" i="4"/>
  <c r="N4" i="4"/>
  <c r="M4" i="4"/>
  <c r="E11" i="26" s="1"/>
  <c r="H25" i="3"/>
  <c r="H23" i="3"/>
  <c r="H22" i="3"/>
  <c r="M21" i="3"/>
  <c r="E51" i="27" s="1"/>
  <c r="L21" i="3"/>
  <c r="L20" i="3"/>
  <c r="N19" i="3"/>
  <c r="L19" i="3"/>
  <c r="N18" i="3"/>
  <c r="M18" i="3"/>
  <c r="L18" i="3"/>
  <c r="M17" i="3"/>
  <c r="N17" i="3" s="1"/>
  <c r="O17" i="3" s="1"/>
  <c r="L17" i="3"/>
  <c r="M16" i="3"/>
  <c r="N16" i="3" s="1"/>
  <c r="L16" i="3"/>
  <c r="M15" i="3"/>
  <c r="P15" i="3" s="1"/>
  <c r="Q15" i="3" s="1"/>
  <c r="R15" i="3" s="1"/>
  <c r="S15" i="3" s="1"/>
  <c r="L15" i="3"/>
  <c r="Q14" i="3"/>
  <c r="R14" i="3" s="1"/>
  <c r="S14" i="3" s="1"/>
  <c r="N14" i="3"/>
  <c r="M14" i="3"/>
  <c r="L14" i="3"/>
  <c r="Q13" i="3"/>
  <c r="R13" i="3" s="1"/>
  <c r="S13" i="3" s="1"/>
  <c r="N13" i="3"/>
  <c r="M13" i="3"/>
  <c r="L13" i="3"/>
  <c r="Q12" i="3"/>
  <c r="R12" i="3" s="1"/>
  <c r="S12" i="3" s="1"/>
  <c r="N12" i="3"/>
  <c r="M12" i="3"/>
  <c r="L12" i="3"/>
  <c r="Q11" i="3"/>
  <c r="R11" i="3" s="1"/>
  <c r="S11" i="3" s="1"/>
  <c r="N11" i="3"/>
  <c r="M11" i="3"/>
  <c r="L11" i="3"/>
  <c r="Q10" i="3"/>
  <c r="R10" i="3" s="1"/>
  <c r="S10" i="3" s="1"/>
  <c r="O10" i="3"/>
  <c r="L10" i="3"/>
  <c r="Q9" i="3"/>
  <c r="R9" i="3" s="1"/>
  <c r="S9" i="3" s="1"/>
  <c r="O9" i="3"/>
  <c r="L9" i="3"/>
  <c r="Q8" i="3"/>
  <c r="R8" i="3" s="1"/>
  <c r="S8" i="3" s="1"/>
  <c r="O8" i="3"/>
  <c r="L8" i="3"/>
  <c r="Q7" i="3"/>
  <c r="R7" i="3" s="1"/>
  <c r="S7" i="3" s="1"/>
  <c r="N7" i="3"/>
  <c r="M7" i="3"/>
  <c r="Q6" i="3"/>
  <c r="R6" i="3" s="1"/>
  <c r="S6" i="3" s="1"/>
  <c r="O6" i="3"/>
  <c r="L6" i="3"/>
  <c r="Q5" i="3"/>
  <c r="R5" i="3" s="1"/>
  <c r="S5" i="3" s="1"/>
  <c r="O5" i="3"/>
  <c r="L5" i="3"/>
  <c r="Q4" i="3"/>
  <c r="R4" i="3" s="1"/>
  <c r="S4" i="3" s="1"/>
  <c r="N4" i="3"/>
  <c r="M4" i="3"/>
  <c r="K4" i="3"/>
  <c r="L4" i="3" s="1"/>
  <c r="C13" i="23"/>
  <c r="C11" i="23"/>
  <c r="C9" i="23"/>
  <c r="S42" i="2"/>
  <c r="S43" i="2" s="1"/>
  <c r="Q37" i="2"/>
  <c r="V36" i="2"/>
  <c r="W36" i="2" s="1"/>
  <c r="X36" i="2" s="1"/>
  <c r="S36" i="2"/>
  <c r="Q36" i="2"/>
  <c r="S35" i="2"/>
  <c r="Q35" i="2"/>
  <c r="V34" i="2"/>
  <c r="W34" i="2" s="1"/>
  <c r="X34" i="2" s="1"/>
  <c r="T33" i="2"/>
  <c r="V32" i="2"/>
  <c r="W32" i="2" s="1"/>
  <c r="X32" i="2" s="1"/>
  <c r="T31" i="2"/>
  <c r="S30" i="2"/>
  <c r="Q30" i="2"/>
  <c r="S29" i="2"/>
  <c r="Q29" i="2"/>
  <c r="S28" i="2"/>
  <c r="Q28" i="2"/>
  <c r="S27" i="2"/>
  <c r="Q27" i="2"/>
  <c r="U26" i="2"/>
  <c r="V26" i="2" s="1"/>
  <c r="W26" i="2" s="1"/>
  <c r="X26" i="2" s="1"/>
  <c r="T26" i="2"/>
  <c r="U25" i="2"/>
  <c r="V25" i="2" s="1"/>
  <c r="W25" i="2" s="1"/>
  <c r="X25" i="2" s="1"/>
  <c r="T25" i="2"/>
  <c r="V24" i="2"/>
  <c r="W24" i="2" s="1"/>
  <c r="X24" i="2" s="1"/>
  <c r="S23" i="2"/>
  <c r="Q23" i="2"/>
  <c r="S22" i="2"/>
  <c r="Q22" i="2"/>
  <c r="U21" i="2"/>
  <c r="V21" i="2" s="1"/>
  <c r="W21" i="2" s="1"/>
  <c r="X21" i="2" s="1"/>
  <c r="T21" i="2"/>
  <c r="Q21" i="2"/>
  <c r="U20" i="2"/>
  <c r="V20" i="2" s="1"/>
  <c r="W20" i="2" s="1"/>
  <c r="X20" i="2" s="1"/>
  <c r="T20" i="2"/>
  <c r="Q20" i="2"/>
  <c r="V19" i="2"/>
  <c r="W19" i="2" s="1"/>
  <c r="X19" i="2" s="1"/>
  <c r="T19" i="2"/>
  <c r="S19" i="2"/>
  <c r="P19" i="2"/>
  <c r="J9" i="27" s="1"/>
  <c r="O19" i="2"/>
  <c r="I9" i="27" s="1"/>
  <c r="N19" i="2"/>
  <c r="H9" i="27" s="1"/>
  <c r="M19" i="2"/>
  <c r="G9" i="27" s="1"/>
  <c r="L19" i="2"/>
  <c r="F9" i="27" s="1"/>
  <c r="K19" i="2"/>
  <c r="Q19" i="2" s="1"/>
  <c r="U18" i="2"/>
  <c r="V18" i="2" s="1"/>
  <c r="W18" i="2" s="1"/>
  <c r="X18" i="2" s="1"/>
  <c r="T18" i="2"/>
  <c r="Q18" i="2"/>
  <c r="U17" i="2"/>
  <c r="V17" i="2" s="1"/>
  <c r="W17" i="2" s="1"/>
  <c r="X17" i="2" s="1"/>
  <c r="T17" i="2"/>
  <c r="Q17" i="2"/>
  <c r="S16" i="2"/>
  <c r="P16" i="2"/>
  <c r="J7" i="27" s="1"/>
  <c r="J8" i="27" s="1"/>
  <c r="O16" i="2"/>
  <c r="I7" i="27" s="1"/>
  <c r="I8" i="27" s="1"/>
  <c r="N16" i="2"/>
  <c r="H7" i="27" s="1"/>
  <c r="H8" i="27" s="1"/>
  <c r="M16" i="2"/>
  <c r="G7" i="27" s="1"/>
  <c r="L16" i="2"/>
  <c r="F7" i="27" s="1"/>
  <c r="F8" i="27" s="1"/>
  <c r="Q15" i="2"/>
  <c r="B13" i="23"/>
  <c r="V14" i="2"/>
  <c r="W14" i="2" s="1"/>
  <c r="X14" i="2" s="1"/>
  <c r="S14" i="2"/>
  <c r="Q14" i="2"/>
  <c r="U13" i="2"/>
  <c r="V13" i="2" s="1"/>
  <c r="W13" i="2" s="1"/>
  <c r="X13" i="2" s="1"/>
  <c r="T13" i="2"/>
  <c r="U12" i="2"/>
  <c r="V12" i="2" s="1"/>
  <c r="W12" i="2" s="1"/>
  <c r="X12" i="2" s="1"/>
  <c r="T12" i="2"/>
  <c r="U11" i="2"/>
  <c r="V11" i="2" s="1"/>
  <c r="W11" i="2" s="1"/>
  <c r="X11" i="2" s="1"/>
  <c r="T11" i="2"/>
  <c r="S11" i="2"/>
  <c r="P11" i="2"/>
  <c r="J4" i="27" s="1"/>
  <c r="O11" i="2"/>
  <c r="I4" i="27" s="1"/>
  <c r="N11" i="2"/>
  <c r="H4" i="27" s="1"/>
  <c r="M11" i="2"/>
  <c r="G4" i="27" s="1"/>
  <c r="L11" i="2"/>
  <c r="F4" i="27" s="1"/>
  <c r="U10" i="2"/>
  <c r="V10" i="2" s="1"/>
  <c r="W10" i="2" s="1"/>
  <c r="X10" i="2" s="1"/>
  <c r="T10" i="2"/>
  <c r="Q10" i="2"/>
  <c r="U9" i="2"/>
  <c r="V9" i="2" s="1"/>
  <c r="W9" i="2" s="1"/>
  <c r="X9" i="2" s="1"/>
  <c r="T9" i="2"/>
  <c r="Q9" i="2"/>
  <c r="S8" i="2"/>
  <c r="M8" i="2"/>
  <c r="U7" i="2"/>
  <c r="V7" i="2" s="1"/>
  <c r="W7" i="2" s="1"/>
  <c r="X7" i="2" s="1"/>
  <c r="T7" i="2"/>
  <c r="Q7" i="2"/>
  <c r="U6" i="2"/>
  <c r="V6" i="2" s="1"/>
  <c r="W6" i="2" s="1"/>
  <c r="X6" i="2" s="1"/>
  <c r="T6" i="2"/>
  <c r="Q6" i="2"/>
  <c r="U5" i="2"/>
  <c r="V5" i="2" s="1"/>
  <c r="W5" i="2" s="1"/>
  <c r="X5" i="2" s="1"/>
  <c r="T5" i="2"/>
  <c r="Q5" i="2"/>
  <c r="U4" i="2"/>
  <c r="V4" i="2" s="1"/>
  <c r="W4" i="2" s="1"/>
  <c r="X4" i="2" s="1"/>
  <c r="T4" i="2"/>
  <c r="S4" i="2"/>
  <c r="P4" i="2"/>
  <c r="J2" i="27" s="1"/>
  <c r="O4" i="2"/>
  <c r="I2" i="27" s="1"/>
  <c r="N4" i="2"/>
  <c r="H2" i="27" s="1"/>
  <c r="M4" i="2"/>
  <c r="G2" i="27" s="1"/>
  <c r="K4" i="2"/>
  <c r="Q4" i="2" s="1"/>
  <c r="O64" i="20"/>
  <c r="P64" i="20" s="1"/>
  <c r="Q64" i="20" s="1"/>
  <c r="R64" i="20" s="1"/>
  <c r="M59" i="20"/>
  <c r="BZ56" i="20"/>
  <c r="BT56" i="20"/>
  <c r="BN56" i="20"/>
  <c r="BH56" i="20"/>
  <c r="BB56" i="20"/>
  <c r="AV56" i="20"/>
  <c r="AP56" i="20"/>
  <c r="AJ56" i="20"/>
  <c r="AD56" i="20"/>
  <c r="X56" i="20"/>
  <c r="L56" i="20"/>
  <c r="J56" i="20"/>
  <c r="BZ55" i="20"/>
  <c r="BT55" i="20"/>
  <c r="BN55" i="20"/>
  <c r="BH55" i="20"/>
  <c r="BB55" i="20"/>
  <c r="AV55" i="20"/>
  <c r="AP55" i="20"/>
  <c r="AJ55" i="20"/>
  <c r="AD55" i="20"/>
  <c r="X55" i="20"/>
  <c r="L55" i="20"/>
  <c r="J55" i="20"/>
  <c r="BZ54" i="20"/>
  <c r="BT54" i="20"/>
  <c r="BN54" i="20"/>
  <c r="BH54" i="20"/>
  <c r="BB54" i="20"/>
  <c r="AV54" i="20"/>
  <c r="AP54" i="20"/>
  <c r="AJ54" i="20"/>
  <c r="AD54" i="20"/>
  <c r="X54" i="20"/>
  <c r="L54" i="20"/>
  <c r="J54" i="20"/>
  <c r="BZ53" i="20"/>
  <c r="BY53" i="20"/>
  <c r="BY62" i="20" s="1"/>
  <c r="R67" i="24" s="1"/>
  <c r="BW53" i="20"/>
  <c r="BW62" i="20" s="1"/>
  <c r="BW63" i="20" s="1"/>
  <c r="BT53" i="20"/>
  <c r="BS53" i="20"/>
  <c r="BS62" i="20" s="1"/>
  <c r="BQ53" i="20"/>
  <c r="BQ62" i="20" s="1"/>
  <c r="BQ63" i="20" s="1"/>
  <c r="BN53" i="20"/>
  <c r="BM53" i="20"/>
  <c r="BM62" i="20" s="1"/>
  <c r="BK53" i="20"/>
  <c r="BK62" i="20" s="1"/>
  <c r="BK63" i="20" s="1"/>
  <c r="BH53" i="20"/>
  <c r="BG53" i="20"/>
  <c r="BG62" i="20" s="1"/>
  <c r="BE53" i="20"/>
  <c r="BE62" i="20" s="1"/>
  <c r="BE63" i="20" s="1"/>
  <c r="BB53" i="20"/>
  <c r="BA53" i="20"/>
  <c r="BA62" i="20" s="1"/>
  <c r="N67" i="24" s="1"/>
  <c r="AY53" i="20"/>
  <c r="AY62" i="20" s="1"/>
  <c r="AY63" i="20" s="1"/>
  <c r="AV53" i="20"/>
  <c r="AU53" i="20"/>
  <c r="AU62" i="20" s="1"/>
  <c r="M67" i="24" s="1"/>
  <c r="AS53" i="20"/>
  <c r="AS62" i="20" s="1"/>
  <c r="AS63" i="20" s="1"/>
  <c r="AP53" i="20"/>
  <c r="AO53" i="20"/>
  <c r="AO62" i="20" s="1"/>
  <c r="AO63" i="20" s="1"/>
  <c r="L87" i="24" s="1"/>
  <c r="AM53" i="20"/>
  <c r="AM62" i="20" s="1"/>
  <c r="AM63" i="20" s="1"/>
  <c r="AJ53" i="20"/>
  <c r="AI53" i="20"/>
  <c r="AI62" i="20" s="1"/>
  <c r="AG53" i="20"/>
  <c r="AG62" i="20" s="1"/>
  <c r="AG63" i="20" s="1"/>
  <c r="AD53" i="20"/>
  <c r="AC53" i="20"/>
  <c r="AC62" i="20" s="1"/>
  <c r="AC63" i="20" s="1"/>
  <c r="J87" i="24" s="1"/>
  <c r="AA53" i="20"/>
  <c r="AA62" i="20" s="1"/>
  <c r="AA63" i="20" s="1"/>
  <c r="X53" i="20"/>
  <c r="W53" i="20"/>
  <c r="W62" i="20" s="1"/>
  <c r="U53" i="20"/>
  <c r="U62" i="20" s="1"/>
  <c r="U63" i="20" s="1"/>
  <c r="O53" i="20"/>
  <c r="P53" i="20" s="1"/>
  <c r="Q53" i="20" s="1"/>
  <c r="R53" i="20" s="1"/>
  <c r="N53" i="20"/>
  <c r="L53" i="20"/>
  <c r="J53" i="20"/>
  <c r="BZ52" i="20"/>
  <c r="BY52" i="20"/>
  <c r="N92" i="25" s="1"/>
  <c r="BW52" i="20"/>
  <c r="BT52" i="20"/>
  <c r="BS52" i="20"/>
  <c r="M92" i="25" s="1"/>
  <c r="BQ52" i="20"/>
  <c r="BN52" i="20"/>
  <c r="BM52" i="20"/>
  <c r="L92" i="25" s="1"/>
  <c r="BK52" i="20"/>
  <c r="BH52" i="20"/>
  <c r="BG52" i="20"/>
  <c r="K92" i="25" s="1"/>
  <c r="BE52" i="20"/>
  <c r="BB52" i="20"/>
  <c r="BA52" i="20"/>
  <c r="J92" i="25" s="1"/>
  <c r="AY52" i="20"/>
  <c r="AV52" i="20"/>
  <c r="AU52" i="20"/>
  <c r="I92" i="25" s="1"/>
  <c r="AS52" i="20"/>
  <c r="AP52" i="20"/>
  <c r="AO52" i="20"/>
  <c r="H92" i="25" s="1"/>
  <c r="AM52" i="20"/>
  <c r="AJ52" i="20"/>
  <c r="AI52" i="20"/>
  <c r="G92" i="25" s="1"/>
  <c r="AG52" i="20"/>
  <c r="AD52" i="20"/>
  <c r="AC52" i="20"/>
  <c r="F92" i="25" s="1"/>
  <c r="AA52" i="20"/>
  <c r="X52" i="20"/>
  <c r="W52" i="20"/>
  <c r="E92" i="25" s="1"/>
  <c r="U52" i="20"/>
  <c r="BZ51" i="20"/>
  <c r="BT51" i="20"/>
  <c r="BN51" i="20"/>
  <c r="BH51" i="20"/>
  <c r="BB51" i="20"/>
  <c r="AV51" i="20"/>
  <c r="AP51" i="20"/>
  <c r="AJ51" i="20"/>
  <c r="AD51" i="20"/>
  <c r="X51" i="20"/>
  <c r="O51" i="20"/>
  <c r="P51" i="20" s="1"/>
  <c r="Q51" i="20" s="1"/>
  <c r="R51" i="20" s="1"/>
  <c r="N51" i="20"/>
  <c r="L51" i="20"/>
  <c r="J51" i="20"/>
  <c r="BZ50" i="20"/>
  <c r="BY50" i="20"/>
  <c r="BW50" i="20"/>
  <c r="BT50" i="20"/>
  <c r="BS50" i="20"/>
  <c r="M91" i="25" s="1"/>
  <c r="BQ50" i="20"/>
  <c r="BN50" i="20"/>
  <c r="BM50" i="20"/>
  <c r="L91" i="25" s="1"/>
  <c r="BK50" i="20"/>
  <c r="BH50" i="20"/>
  <c r="BG50" i="20"/>
  <c r="K91" i="25" s="1"/>
  <c r="BE50" i="20"/>
  <c r="BB50" i="20"/>
  <c r="BA50" i="20"/>
  <c r="J91" i="25" s="1"/>
  <c r="AY50" i="20"/>
  <c r="AV50" i="20"/>
  <c r="AU50" i="20"/>
  <c r="I91" i="25" s="1"/>
  <c r="AS50" i="20"/>
  <c r="AP50" i="20"/>
  <c r="AO50" i="20"/>
  <c r="H91" i="25" s="1"/>
  <c r="AM50" i="20"/>
  <c r="AJ50" i="20"/>
  <c r="AI50" i="20"/>
  <c r="G91" i="25" s="1"/>
  <c r="AG50" i="20"/>
  <c r="AD50" i="20"/>
  <c r="AC50" i="20"/>
  <c r="F91" i="25" s="1"/>
  <c r="AA50" i="20"/>
  <c r="X50" i="20"/>
  <c r="W50" i="20"/>
  <c r="E91" i="25" s="1"/>
  <c r="U50" i="20"/>
  <c r="L50" i="20"/>
  <c r="J50" i="20"/>
  <c r="BZ49" i="20"/>
  <c r="BY49" i="20"/>
  <c r="BT49" i="20"/>
  <c r="BS49" i="20"/>
  <c r="BN49" i="20"/>
  <c r="BM49" i="20"/>
  <c r="BH49" i="20"/>
  <c r="BG49" i="20"/>
  <c r="BB49" i="20"/>
  <c r="BA49" i="20"/>
  <c r="AV49" i="20"/>
  <c r="AU49" i="20"/>
  <c r="AP49" i="20"/>
  <c r="AO49" i="20"/>
  <c r="AJ49" i="20"/>
  <c r="AI49" i="20"/>
  <c r="AD49" i="20"/>
  <c r="AC49" i="20"/>
  <c r="X49" i="20"/>
  <c r="W49" i="20"/>
  <c r="N49" i="20"/>
  <c r="L49" i="20"/>
  <c r="J49" i="20"/>
  <c r="BZ48" i="20"/>
  <c r="BY48" i="20"/>
  <c r="N89" i="25" s="1"/>
  <c r="BW48" i="20"/>
  <c r="BT48" i="20"/>
  <c r="BS48" i="20"/>
  <c r="M89" i="25" s="1"/>
  <c r="BQ48" i="20"/>
  <c r="BN48" i="20"/>
  <c r="BM48" i="20"/>
  <c r="L89" i="25" s="1"/>
  <c r="BK48" i="20"/>
  <c r="BH48" i="20"/>
  <c r="BG48" i="20"/>
  <c r="K89" i="25" s="1"/>
  <c r="BE48" i="20"/>
  <c r="BB48" i="20"/>
  <c r="BA48" i="20"/>
  <c r="J89" i="25" s="1"/>
  <c r="AY48" i="20"/>
  <c r="AV48" i="20"/>
  <c r="AU48" i="20"/>
  <c r="I89" i="25" s="1"/>
  <c r="AS48" i="20"/>
  <c r="AP48" i="20"/>
  <c r="AO48" i="20"/>
  <c r="H89" i="25" s="1"/>
  <c r="AM48" i="20"/>
  <c r="AJ48" i="20"/>
  <c r="AI48" i="20"/>
  <c r="G89" i="25" s="1"/>
  <c r="AG48" i="20"/>
  <c r="AD48" i="20"/>
  <c r="AC48" i="20"/>
  <c r="F89" i="25" s="1"/>
  <c r="AA48" i="20"/>
  <c r="X48" i="20"/>
  <c r="W48" i="20"/>
  <c r="E89" i="25" s="1"/>
  <c r="U48" i="20"/>
  <c r="L48" i="20"/>
  <c r="J48" i="20"/>
  <c r="BZ47" i="20"/>
  <c r="BT47" i="20"/>
  <c r="BN47" i="20"/>
  <c r="BH47" i="20"/>
  <c r="BB47" i="20"/>
  <c r="AV47" i="20"/>
  <c r="AP47" i="20"/>
  <c r="AJ47" i="20"/>
  <c r="AD47" i="20"/>
  <c r="X47" i="20"/>
  <c r="O47" i="20"/>
  <c r="P47" i="20" s="1"/>
  <c r="Q47" i="20" s="1"/>
  <c r="R47" i="20" s="1"/>
  <c r="N47" i="20"/>
  <c r="L47" i="20"/>
  <c r="J47" i="20"/>
  <c r="BZ46" i="20"/>
  <c r="BY46" i="20"/>
  <c r="BW46" i="20"/>
  <c r="BT46" i="20"/>
  <c r="BS46" i="20"/>
  <c r="BQ46" i="20"/>
  <c r="BN46" i="20"/>
  <c r="BM46" i="20"/>
  <c r="BK46" i="20"/>
  <c r="BH46" i="20"/>
  <c r="BG46" i="20"/>
  <c r="BE46" i="20"/>
  <c r="BB46" i="20"/>
  <c r="BA46" i="20"/>
  <c r="AY46" i="20"/>
  <c r="AV46" i="20"/>
  <c r="AU46" i="20"/>
  <c r="AS46" i="20"/>
  <c r="AP46" i="20"/>
  <c r="AO46" i="20"/>
  <c r="AM46" i="20"/>
  <c r="AJ46" i="20"/>
  <c r="AI46" i="20"/>
  <c r="AG46" i="20"/>
  <c r="AD46" i="20"/>
  <c r="AC46" i="20"/>
  <c r="AA46" i="20"/>
  <c r="X46" i="20"/>
  <c r="W46" i="20"/>
  <c r="U46" i="20"/>
  <c r="L46" i="20"/>
  <c r="J46" i="20"/>
  <c r="BZ45" i="20"/>
  <c r="BT45" i="20"/>
  <c r="BN45" i="20"/>
  <c r="BH45" i="20"/>
  <c r="BB45" i="20"/>
  <c r="AV45" i="20"/>
  <c r="AP45" i="20"/>
  <c r="AJ45" i="20"/>
  <c r="AD45" i="20"/>
  <c r="X45" i="20"/>
  <c r="O45" i="20"/>
  <c r="P45" i="20" s="1"/>
  <c r="Q45" i="20" s="1"/>
  <c r="R45" i="20" s="1"/>
  <c r="N45" i="20"/>
  <c r="L45" i="20"/>
  <c r="J45" i="20"/>
  <c r="BZ44" i="20"/>
  <c r="BT44" i="20"/>
  <c r="BN44" i="20"/>
  <c r="BH44" i="20"/>
  <c r="BB44" i="20"/>
  <c r="AV44" i="20"/>
  <c r="AP44" i="20"/>
  <c r="AJ44" i="20"/>
  <c r="AD44" i="20"/>
  <c r="X44" i="20"/>
  <c r="O44" i="20"/>
  <c r="P44" i="20" s="1"/>
  <c r="Q44" i="20" s="1"/>
  <c r="R44" i="20" s="1"/>
  <c r="N44" i="20"/>
  <c r="J44" i="20"/>
  <c r="BX43" i="20"/>
  <c r="BW43" i="20"/>
  <c r="BR43" i="20"/>
  <c r="BT43" i="20" s="1"/>
  <c r="BQ43" i="20"/>
  <c r="BL43" i="20"/>
  <c r="BM43" i="20" s="1"/>
  <c r="L84" i="25" s="1"/>
  <c r="BK43" i="20"/>
  <c r="BF43" i="20"/>
  <c r="BG43" i="20" s="1"/>
  <c r="K84" i="25" s="1"/>
  <c r="BE43" i="20"/>
  <c r="AZ43" i="20"/>
  <c r="BB43" i="20" s="1"/>
  <c r="AY43" i="20"/>
  <c r="AT43" i="20"/>
  <c r="AV43" i="20" s="1"/>
  <c r="AS43" i="20"/>
  <c r="AN43" i="20"/>
  <c r="AO43" i="20" s="1"/>
  <c r="H84" i="25" s="1"/>
  <c r="AM43" i="20"/>
  <c r="AH43" i="20"/>
  <c r="AI43" i="20" s="1"/>
  <c r="G84" i="25" s="1"/>
  <c r="AG43" i="20"/>
  <c r="AB43" i="20"/>
  <c r="AD43" i="20" s="1"/>
  <c r="AA43" i="20"/>
  <c r="V43" i="20"/>
  <c r="X43" i="20" s="1"/>
  <c r="U43" i="20"/>
  <c r="J43" i="20"/>
  <c r="BZ42" i="20"/>
  <c r="BT42" i="20"/>
  <c r="BN42" i="20"/>
  <c r="BH42" i="20"/>
  <c r="BB42" i="20"/>
  <c r="AV42" i="20"/>
  <c r="AP42" i="20"/>
  <c r="AJ42" i="20"/>
  <c r="AD42" i="20"/>
  <c r="X42" i="20"/>
  <c r="O42" i="20"/>
  <c r="P42" i="20" s="1"/>
  <c r="Q42" i="20" s="1"/>
  <c r="R42" i="20" s="1"/>
  <c r="N42" i="20"/>
  <c r="L42" i="20"/>
  <c r="J42" i="20"/>
  <c r="BZ41" i="20"/>
  <c r="BT41" i="20"/>
  <c r="BN41" i="20"/>
  <c r="BH41" i="20"/>
  <c r="BB41" i="20"/>
  <c r="AV41" i="20"/>
  <c r="AP41" i="20"/>
  <c r="AJ41" i="20"/>
  <c r="AD41" i="20"/>
  <c r="X41" i="20"/>
  <c r="O41" i="20"/>
  <c r="P41" i="20" s="1"/>
  <c r="Q41" i="20" s="1"/>
  <c r="R41" i="20" s="1"/>
  <c r="N41" i="20"/>
  <c r="L41" i="20"/>
  <c r="J41" i="20"/>
  <c r="BX40" i="20"/>
  <c r="BZ40" i="20" s="1"/>
  <c r="BW40" i="20"/>
  <c r="BR40" i="20"/>
  <c r="BQ40" i="20"/>
  <c r="BL40" i="20"/>
  <c r="BN40" i="20" s="1"/>
  <c r="BK40" i="20"/>
  <c r="BF40" i="20"/>
  <c r="BH40" i="20" s="1"/>
  <c r="BE40" i="20"/>
  <c r="AZ40" i="20"/>
  <c r="BB40" i="20" s="1"/>
  <c r="AY40" i="20"/>
  <c r="AT40" i="20"/>
  <c r="AV40" i="20" s="1"/>
  <c r="AS40" i="20"/>
  <c r="AN40" i="20"/>
  <c r="AM40" i="20"/>
  <c r="AH40" i="20"/>
  <c r="AG40" i="20"/>
  <c r="AB40" i="20"/>
  <c r="AD40" i="20" s="1"/>
  <c r="AA40" i="20"/>
  <c r="V40" i="20"/>
  <c r="X40" i="20" s="1"/>
  <c r="U40" i="20"/>
  <c r="J40" i="20"/>
  <c r="BZ39" i="20"/>
  <c r="BT39" i="20"/>
  <c r="BN39" i="20"/>
  <c r="BH39" i="20"/>
  <c r="BB39" i="20"/>
  <c r="AV39" i="20"/>
  <c r="AP39" i="20"/>
  <c r="AJ39" i="20"/>
  <c r="AD39" i="20"/>
  <c r="X39" i="20"/>
  <c r="O39" i="20"/>
  <c r="P39" i="20" s="1"/>
  <c r="Q39" i="20" s="1"/>
  <c r="R39" i="20" s="1"/>
  <c r="N39" i="20"/>
  <c r="L39" i="20"/>
  <c r="J39" i="20"/>
  <c r="BZ38" i="20"/>
  <c r="BY38" i="20"/>
  <c r="N82" i="25" s="1"/>
  <c r="BW38" i="20"/>
  <c r="BT38" i="20"/>
  <c r="BS38" i="20"/>
  <c r="M82" i="25" s="1"/>
  <c r="BQ38" i="20"/>
  <c r="BN38" i="20"/>
  <c r="BM38" i="20"/>
  <c r="L82" i="25" s="1"/>
  <c r="BK38" i="20"/>
  <c r="BH38" i="20"/>
  <c r="BG38" i="20"/>
  <c r="K82" i="25" s="1"/>
  <c r="BE38" i="20"/>
  <c r="BB38" i="20"/>
  <c r="BA38" i="20"/>
  <c r="J82" i="25" s="1"/>
  <c r="AY38" i="20"/>
  <c r="AV38" i="20"/>
  <c r="AU38" i="20"/>
  <c r="I82" i="25" s="1"/>
  <c r="AS38" i="20"/>
  <c r="AP38" i="20"/>
  <c r="AO38" i="20"/>
  <c r="H82" i="25" s="1"/>
  <c r="AM38" i="20"/>
  <c r="AJ38" i="20"/>
  <c r="AI38" i="20"/>
  <c r="G82" i="25" s="1"/>
  <c r="AG38" i="20"/>
  <c r="AD38" i="20"/>
  <c r="AC38" i="20"/>
  <c r="F82" i="25" s="1"/>
  <c r="AA38" i="20"/>
  <c r="X38" i="20"/>
  <c r="W38" i="20"/>
  <c r="E82" i="25" s="1"/>
  <c r="U38" i="20"/>
  <c r="L38" i="20"/>
  <c r="J38" i="20"/>
  <c r="BZ37" i="20"/>
  <c r="BY37" i="20"/>
  <c r="N79" i="25" s="1"/>
  <c r="BW37" i="20"/>
  <c r="BT37" i="20"/>
  <c r="BS37" i="20"/>
  <c r="M79" i="25" s="1"/>
  <c r="BQ37" i="20"/>
  <c r="BN37" i="20"/>
  <c r="BM37" i="20"/>
  <c r="L79" i="25" s="1"/>
  <c r="BK37" i="20"/>
  <c r="BH37" i="20"/>
  <c r="BG37" i="20"/>
  <c r="K79" i="25" s="1"/>
  <c r="BE37" i="20"/>
  <c r="BB37" i="20"/>
  <c r="BA37" i="20"/>
  <c r="J79" i="25" s="1"/>
  <c r="AY37" i="20"/>
  <c r="AV37" i="20"/>
  <c r="AU37" i="20"/>
  <c r="I79" i="25" s="1"/>
  <c r="AS37" i="20"/>
  <c r="AP37" i="20"/>
  <c r="AO37" i="20"/>
  <c r="H79" i="25" s="1"/>
  <c r="AM37" i="20"/>
  <c r="AJ37" i="20"/>
  <c r="AI37" i="20"/>
  <c r="G79" i="25" s="1"/>
  <c r="AG37" i="20"/>
  <c r="AD37" i="20"/>
  <c r="AC37" i="20"/>
  <c r="F79" i="25" s="1"/>
  <c r="AA37" i="20"/>
  <c r="X37" i="20"/>
  <c r="W37" i="20"/>
  <c r="E79" i="25" s="1"/>
  <c r="U37" i="20"/>
  <c r="BZ36" i="20"/>
  <c r="BT36" i="20"/>
  <c r="BN36" i="20"/>
  <c r="BH36" i="20"/>
  <c r="BB36" i="20"/>
  <c r="AV36" i="20"/>
  <c r="AP36" i="20"/>
  <c r="AJ36" i="20"/>
  <c r="AD36" i="20"/>
  <c r="X36" i="20"/>
  <c r="O36" i="20"/>
  <c r="P36" i="20" s="1"/>
  <c r="Q36" i="20" s="1"/>
  <c r="R36" i="20" s="1"/>
  <c r="N36" i="20"/>
  <c r="L36" i="20"/>
  <c r="J36" i="20"/>
  <c r="BZ35" i="20"/>
  <c r="BY35" i="20"/>
  <c r="BW35" i="20"/>
  <c r="BT35" i="20"/>
  <c r="BS35" i="20"/>
  <c r="M78" i="25" s="1"/>
  <c r="BQ35" i="20"/>
  <c r="BN35" i="20"/>
  <c r="BM35" i="20"/>
  <c r="L78" i="25" s="1"/>
  <c r="BK35" i="20"/>
  <c r="BH35" i="20"/>
  <c r="BG35" i="20"/>
  <c r="K78" i="25" s="1"/>
  <c r="BE35" i="20"/>
  <c r="BB35" i="20"/>
  <c r="BA35" i="20"/>
  <c r="J78" i="25" s="1"/>
  <c r="AY35" i="20"/>
  <c r="AV35" i="20"/>
  <c r="AU35" i="20"/>
  <c r="I78" i="25" s="1"/>
  <c r="AS35" i="20"/>
  <c r="AP35" i="20"/>
  <c r="AO35" i="20"/>
  <c r="H78" i="25" s="1"/>
  <c r="AM35" i="20"/>
  <c r="AJ35" i="20"/>
  <c r="AI35" i="20"/>
  <c r="G78" i="25" s="1"/>
  <c r="AG35" i="20"/>
  <c r="AD35" i="20"/>
  <c r="AC35" i="20"/>
  <c r="F78" i="25" s="1"/>
  <c r="AA35" i="20"/>
  <c r="X35" i="20"/>
  <c r="W35" i="20"/>
  <c r="E78" i="25" s="1"/>
  <c r="U35" i="20"/>
  <c r="L35" i="20"/>
  <c r="J35" i="20"/>
  <c r="BZ34" i="20"/>
  <c r="BT34" i="20"/>
  <c r="BN34" i="20"/>
  <c r="BH34" i="20"/>
  <c r="BB34" i="20"/>
  <c r="AV34" i="20"/>
  <c r="AP34" i="20"/>
  <c r="AJ34" i="20"/>
  <c r="AD34" i="20"/>
  <c r="X34" i="20"/>
  <c r="O34" i="20"/>
  <c r="P34" i="20" s="1"/>
  <c r="Q34" i="20" s="1"/>
  <c r="R34" i="20" s="1"/>
  <c r="N34" i="20"/>
  <c r="L34" i="20"/>
  <c r="J34" i="20"/>
  <c r="BZ33" i="20"/>
  <c r="BT33" i="20"/>
  <c r="BN33" i="20"/>
  <c r="BH33" i="20"/>
  <c r="BB33" i="20"/>
  <c r="AV33" i="20"/>
  <c r="AP33" i="20"/>
  <c r="AJ33" i="20"/>
  <c r="AD33" i="20"/>
  <c r="X33" i="20"/>
  <c r="O33" i="20"/>
  <c r="P33" i="20" s="1"/>
  <c r="Q33" i="20" s="1"/>
  <c r="R33" i="20" s="1"/>
  <c r="N33" i="20"/>
  <c r="L33" i="20"/>
  <c r="J33" i="20"/>
  <c r="BX32" i="20"/>
  <c r="BZ32" i="20" s="1"/>
  <c r="BW32" i="20"/>
  <c r="BR32" i="20"/>
  <c r="BT32" i="20" s="1"/>
  <c r="BL32" i="20"/>
  <c r="BN32" i="20" s="1"/>
  <c r="BF32" i="20"/>
  <c r="BH32" i="20" s="1"/>
  <c r="BE32" i="20"/>
  <c r="AZ32" i="20"/>
  <c r="BB32" i="20" s="1"/>
  <c r="AY32" i="20"/>
  <c r="AT32" i="20"/>
  <c r="AV32" i="20" s="1"/>
  <c r="AS32" i="20"/>
  <c r="AN32" i="20"/>
  <c r="AP32" i="20" s="1"/>
  <c r="AH32" i="20"/>
  <c r="AJ32" i="20" s="1"/>
  <c r="AB32" i="20"/>
  <c r="AC32" i="20" s="1"/>
  <c r="F75" i="25" s="1"/>
  <c r="AA32" i="20"/>
  <c r="V32" i="20"/>
  <c r="X32" i="20" s="1"/>
  <c r="U32" i="20"/>
  <c r="J32" i="20"/>
  <c r="BZ31" i="20"/>
  <c r="BT31" i="20"/>
  <c r="BN31" i="20"/>
  <c r="BH31" i="20"/>
  <c r="BB31" i="20"/>
  <c r="AV31" i="20"/>
  <c r="AP31" i="20"/>
  <c r="AJ31" i="20"/>
  <c r="AD31" i="20"/>
  <c r="X31" i="20"/>
  <c r="O31" i="20"/>
  <c r="P31" i="20" s="1"/>
  <c r="Q31" i="20" s="1"/>
  <c r="R31" i="20" s="1"/>
  <c r="N31" i="20"/>
  <c r="L31" i="20"/>
  <c r="J31" i="20"/>
  <c r="BZ30" i="20"/>
  <c r="BT30" i="20"/>
  <c r="BN30" i="20"/>
  <c r="BH30" i="20"/>
  <c r="BB30" i="20"/>
  <c r="AV30" i="20"/>
  <c r="AP30" i="20"/>
  <c r="AJ30" i="20"/>
  <c r="AD30" i="20"/>
  <c r="X30" i="20"/>
  <c r="O30" i="20"/>
  <c r="P30" i="20" s="1"/>
  <c r="Q30" i="20" s="1"/>
  <c r="R30" i="20" s="1"/>
  <c r="N30" i="20"/>
  <c r="L30" i="20"/>
  <c r="J30" i="20"/>
  <c r="BZ29" i="20"/>
  <c r="BT29" i="20"/>
  <c r="BN29" i="20"/>
  <c r="BH29" i="20"/>
  <c r="BB29" i="20"/>
  <c r="AV29" i="20"/>
  <c r="AP29" i="20"/>
  <c r="AJ29" i="20"/>
  <c r="AD29" i="20"/>
  <c r="X29" i="20"/>
  <c r="O29" i="20"/>
  <c r="P29" i="20" s="1"/>
  <c r="Q29" i="20" s="1"/>
  <c r="R29" i="20" s="1"/>
  <c r="N29" i="20"/>
  <c r="L29" i="20"/>
  <c r="J29" i="20"/>
  <c r="BX28" i="20"/>
  <c r="BW28" i="20"/>
  <c r="BR28" i="20"/>
  <c r="BT28" i="20" s="1"/>
  <c r="BQ28" i="20"/>
  <c r="BL28" i="20"/>
  <c r="BN28" i="20" s="1"/>
  <c r="BK28" i="20"/>
  <c r="BF28" i="20"/>
  <c r="BH28" i="20" s="1"/>
  <c r="BE28" i="20"/>
  <c r="AZ28" i="20"/>
  <c r="AY28" i="20"/>
  <c r="AT28" i="20"/>
  <c r="AU28" i="20" s="1"/>
  <c r="I74" i="25" s="1"/>
  <c r="AS28" i="20"/>
  <c r="AN28" i="20"/>
  <c r="AM28" i="20"/>
  <c r="AH28" i="20"/>
  <c r="AI28" i="20" s="1"/>
  <c r="G74" i="25" s="1"/>
  <c r="AG28" i="20"/>
  <c r="AB28" i="20"/>
  <c r="AD28" i="20" s="1"/>
  <c r="AA28" i="20"/>
  <c r="V28" i="20"/>
  <c r="W28" i="20" s="1"/>
  <c r="E74" i="25" s="1"/>
  <c r="U28" i="20"/>
  <c r="J28" i="20"/>
  <c r="BZ27" i="20"/>
  <c r="BT27" i="20"/>
  <c r="BN27" i="20"/>
  <c r="BH27" i="20"/>
  <c r="BB27" i="20"/>
  <c r="AV27" i="20"/>
  <c r="AP27" i="20"/>
  <c r="AJ27" i="20"/>
  <c r="AD27" i="20"/>
  <c r="X27" i="20"/>
  <c r="O27" i="20"/>
  <c r="P27" i="20" s="1"/>
  <c r="Q27" i="20" s="1"/>
  <c r="R27" i="20" s="1"/>
  <c r="N27" i="20"/>
  <c r="L27" i="20"/>
  <c r="J27" i="20"/>
  <c r="BZ26" i="20"/>
  <c r="BT26" i="20"/>
  <c r="BN26" i="20"/>
  <c r="BH26" i="20"/>
  <c r="BB26" i="20"/>
  <c r="AV26" i="20"/>
  <c r="AP26" i="20"/>
  <c r="AJ26" i="20"/>
  <c r="AD26" i="20"/>
  <c r="X26" i="20"/>
  <c r="O26" i="20"/>
  <c r="P26" i="20" s="1"/>
  <c r="Q26" i="20" s="1"/>
  <c r="R26" i="20" s="1"/>
  <c r="N26" i="20"/>
  <c r="L26" i="20"/>
  <c r="J26" i="20"/>
  <c r="BZ25" i="20"/>
  <c r="BT25" i="20"/>
  <c r="BN25" i="20"/>
  <c r="BH25" i="20"/>
  <c r="BB25" i="20"/>
  <c r="AV25" i="20"/>
  <c r="AP25" i="20"/>
  <c r="AJ25" i="20"/>
  <c r="AD25" i="20"/>
  <c r="X25" i="20"/>
  <c r="O25" i="20"/>
  <c r="P25" i="20" s="1"/>
  <c r="Q25" i="20" s="1"/>
  <c r="R25" i="20" s="1"/>
  <c r="N25" i="20"/>
  <c r="L25" i="20"/>
  <c r="J25" i="20"/>
  <c r="BZ24" i="20"/>
  <c r="BT24" i="20"/>
  <c r="BN24" i="20"/>
  <c r="BH24" i="20"/>
  <c r="BB24" i="20"/>
  <c r="AV24" i="20"/>
  <c r="AP24" i="20"/>
  <c r="AJ24" i="20"/>
  <c r="AD24" i="20"/>
  <c r="X24" i="20"/>
  <c r="O24" i="20"/>
  <c r="P24" i="20" s="1"/>
  <c r="Q24" i="20" s="1"/>
  <c r="R24" i="20" s="1"/>
  <c r="N24" i="20"/>
  <c r="L24" i="20"/>
  <c r="J24" i="20"/>
  <c r="BX23" i="20"/>
  <c r="BZ23" i="20" s="1"/>
  <c r="BW23" i="20"/>
  <c r="BR23" i="20"/>
  <c r="BS23" i="20" s="1"/>
  <c r="M73" i="25" s="1"/>
  <c r="BQ23" i="20"/>
  <c r="BL23" i="20"/>
  <c r="BM23" i="20" s="1"/>
  <c r="L73" i="25" s="1"/>
  <c r="BK23" i="20"/>
  <c r="BF23" i="20"/>
  <c r="BE23" i="20"/>
  <c r="AZ23" i="20"/>
  <c r="BA23" i="20" s="1"/>
  <c r="J73" i="25" s="1"/>
  <c r="AY23" i="20"/>
  <c r="AT23" i="20"/>
  <c r="AS23" i="20"/>
  <c r="AN23" i="20"/>
  <c r="AO23" i="20" s="1"/>
  <c r="H73" i="25" s="1"/>
  <c r="AM23" i="20"/>
  <c r="AH23" i="20"/>
  <c r="AI23" i="20" s="1"/>
  <c r="G73" i="25" s="1"/>
  <c r="AG23" i="20"/>
  <c r="AB23" i="20"/>
  <c r="AC23" i="20" s="1"/>
  <c r="F73" i="25" s="1"/>
  <c r="AA23" i="20"/>
  <c r="V23" i="20"/>
  <c r="U23" i="20"/>
  <c r="J23" i="20"/>
  <c r="BZ22" i="20"/>
  <c r="BY22" i="20"/>
  <c r="N72" i="25" s="1"/>
  <c r="BW22" i="20"/>
  <c r="BT22" i="20"/>
  <c r="BS22" i="20"/>
  <c r="M72" i="25" s="1"/>
  <c r="BQ22" i="20"/>
  <c r="BN22" i="20"/>
  <c r="BM22" i="20"/>
  <c r="L72" i="25" s="1"/>
  <c r="BK22" i="20"/>
  <c r="BH22" i="20"/>
  <c r="BG22" i="20"/>
  <c r="K72" i="25" s="1"/>
  <c r="BE22" i="20"/>
  <c r="BB22" i="20"/>
  <c r="BA22" i="20"/>
  <c r="J72" i="25" s="1"/>
  <c r="AY22" i="20"/>
  <c r="AV22" i="20"/>
  <c r="AU22" i="20"/>
  <c r="I72" i="25" s="1"/>
  <c r="AS22" i="20"/>
  <c r="AP22" i="20"/>
  <c r="AO22" i="20"/>
  <c r="H72" i="25" s="1"/>
  <c r="AM22" i="20"/>
  <c r="AJ22" i="20"/>
  <c r="AI22" i="20"/>
  <c r="G72" i="25" s="1"/>
  <c r="AG22" i="20"/>
  <c r="AD22" i="20"/>
  <c r="AC22" i="20"/>
  <c r="F72" i="25" s="1"/>
  <c r="AA22" i="20"/>
  <c r="X22" i="20"/>
  <c r="W22" i="20"/>
  <c r="E72" i="25" s="1"/>
  <c r="U22" i="20"/>
  <c r="BZ21" i="20"/>
  <c r="BT21" i="20"/>
  <c r="BN21" i="20"/>
  <c r="BH21" i="20"/>
  <c r="BB21" i="20"/>
  <c r="AV21" i="20"/>
  <c r="AP21" i="20"/>
  <c r="AJ21" i="20"/>
  <c r="AD21" i="20"/>
  <c r="X21" i="20"/>
  <c r="O21" i="20"/>
  <c r="P21" i="20" s="1"/>
  <c r="Q21" i="20" s="1"/>
  <c r="R21" i="20" s="1"/>
  <c r="N21" i="20"/>
  <c r="L21" i="20"/>
  <c r="J21" i="20"/>
  <c r="BZ20" i="20"/>
  <c r="BY20" i="20"/>
  <c r="N71" i="25" s="1"/>
  <c r="BW20" i="20"/>
  <c r="BT20" i="20"/>
  <c r="BS20" i="20"/>
  <c r="M71" i="25" s="1"/>
  <c r="BQ20" i="20"/>
  <c r="BN20" i="20"/>
  <c r="BM20" i="20"/>
  <c r="L71" i="25" s="1"/>
  <c r="BK20" i="20"/>
  <c r="BH20" i="20"/>
  <c r="BG20" i="20"/>
  <c r="K71" i="25" s="1"/>
  <c r="BE20" i="20"/>
  <c r="BB20" i="20"/>
  <c r="BA20" i="20"/>
  <c r="J71" i="25" s="1"/>
  <c r="AY20" i="20"/>
  <c r="AV20" i="20"/>
  <c r="AU20" i="20"/>
  <c r="I71" i="25" s="1"/>
  <c r="AS20" i="20"/>
  <c r="AP20" i="20"/>
  <c r="AO20" i="20"/>
  <c r="H71" i="25" s="1"/>
  <c r="AM20" i="20"/>
  <c r="AJ20" i="20"/>
  <c r="AI20" i="20"/>
  <c r="G71" i="25" s="1"/>
  <c r="AG20" i="20"/>
  <c r="AD20" i="20"/>
  <c r="AC20" i="20"/>
  <c r="F71" i="25" s="1"/>
  <c r="AA20" i="20"/>
  <c r="X20" i="20"/>
  <c r="W20" i="20"/>
  <c r="E71" i="25" s="1"/>
  <c r="U20" i="20"/>
  <c r="L20" i="20"/>
  <c r="J20" i="20"/>
  <c r="BZ19" i="20"/>
  <c r="BT19" i="20"/>
  <c r="BN19" i="20"/>
  <c r="BH19" i="20"/>
  <c r="BB19" i="20"/>
  <c r="AV19" i="20"/>
  <c r="AP19" i="20"/>
  <c r="AJ19" i="20"/>
  <c r="AD19" i="20"/>
  <c r="X19" i="20"/>
  <c r="O19" i="20"/>
  <c r="P19" i="20" s="1"/>
  <c r="Q19" i="20" s="1"/>
  <c r="R19" i="20" s="1"/>
  <c r="N19" i="20"/>
  <c r="BZ18" i="20"/>
  <c r="BT18" i="20"/>
  <c r="BN18" i="20"/>
  <c r="BH18" i="20"/>
  <c r="BB18" i="20"/>
  <c r="AV18" i="20"/>
  <c r="AP18" i="20"/>
  <c r="AJ18" i="20"/>
  <c r="AD18" i="20"/>
  <c r="X18" i="20"/>
  <c r="O18" i="20"/>
  <c r="P18" i="20" s="1"/>
  <c r="Q18" i="20" s="1"/>
  <c r="R18" i="20" s="1"/>
  <c r="N18" i="20"/>
  <c r="L18" i="20"/>
  <c r="J18" i="20"/>
  <c r="BZ17" i="20"/>
  <c r="BY17" i="20"/>
  <c r="N68" i="25" s="1"/>
  <c r="BT17" i="20"/>
  <c r="BS17" i="20"/>
  <c r="M68" i="25" s="1"/>
  <c r="BN17" i="20"/>
  <c r="BM17" i="20"/>
  <c r="L68" i="25" s="1"/>
  <c r="BH17" i="20"/>
  <c r="BG17" i="20"/>
  <c r="K68" i="25" s="1"/>
  <c r="BB17" i="20"/>
  <c r="BA17" i="20"/>
  <c r="J68" i="25" s="1"/>
  <c r="AV17" i="20"/>
  <c r="AU17" i="20"/>
  <c r="AP17" i="20"/>
  <c r="AO17" i="20"/>
  <c r="H68" i="25" s="1"/>
  <c r="AJ17" i="20"/>
  <c r="AI17" i="20"/>
  <c r="G68" i="25" s="1"/>
  <c r="AG17" i="20"/>
  <c r="AD17" i="20"/>
  <c r="AC17" i="20"/>
  <c r="F68" i="25" s="1"/>
  <c r="X17" i="20"/>
  <c r="W17" i="20"/>
  <c r="E68" i="25" s="1"/>
  <c r="U17" i="20"/>
  <c r="L17" i="20"/>
  <c r="J17" i="20"/>
  <c r="BZ16" i="20"/>
  <c r="BT16" i="20"/>
  <c r="BN16" i="20"/>
  <c r="BH16" i="20"/>
  <c r="BB16" i="20"/>
  <c r="AV16" i="20"/>
  <c r="AP16" i="20"/>
  <c r="AJ16" i="20"/>
  <c r="AD16" i="20"/>
  <c r="X16" i="20"/>
  <c r="M16" i="20"/>
  <c r="H79" i="26" s="1"/>
  <c r="K16" i="20"/>
  <c r="BZ15" i="20"/>
  <c r="BT15" i="20"/>
  <c r="BN15" i="20"/>
  <c r="BH15" i="20"/>
  <c r="BB15" i="20"/>
  <c r="AV15" i="20"/>
  <c r="AP15" i="20"/>
  <c r="AJ15" i="20"/>
  <c r="AD15" i="20"/>
  <c r="X15" i="20"/>
  <c r="M15" i="20"/>
  <c r="O15" i="20" s="1"/>
  <c r="P15" i="20" s="1"/>
  <c r="Q15" i="20" s="1"/>
  <c r="R15" i="20" s="1"/>
  <c r="K15" i="20"/>
  <c r="BZ14" i="20"/>
  <c r="BT14" i="20"/>
  <c r="BN14" i="20"/>
  <c r="BH14" i="20"/>
  <c r="BB14" i="20"/>
  <c r="AV14" i="20"/>
  <c r="AP14" i="20"/>
  <c r="AJ14" i="20"/>
  <c r="AD14" i="20"/>
  <c r="X14" i="20"/>
  <c r="O14" i="20"/>
  <c r="P14" i="20" s="1"/>
  <c r="Q14" i="20" s="1"/>
  <c r="R14" i="20" s="1"/>
  <c r="N14" i="20"/>
  <c r="L14" i="20"/>
  <c r="J14" i="20"/>
  <c r="BZ13" i="20"/>
  <c r="BT13" i="20"/>
  <c r="BN13" i="20"/>
  <c r="BH13" i="20"/>
  <c r="BB13" i="20"/>
  <c r="AV13" i="20"/>
  <c r="AP13" i="20"/>
  <c r="AJ13" i="20"/>
  <c r="AD13" i="20"/>
  <c r="X13" i="20"/>
  <c r="O13" i="20"/>
  <c r="P13" i="20" s="1"/>
  <c r="Q13" i="20" s="1"/>
  <c r="R13" i="20" s="1"/>
  <c r="N13" i="20"/>
  <c r="L13" i="20"/>
  <c r="J13" i="20"/>
  <c r="BX12" i="20"/>
  <c r="BZ12" i="20" s="1"/>
  <c r="BW12" i="20"/>
  <c r="BS12" i="20"/>
  <c r="BQ12" i="20"/>
  <c r="BL12" i="20"/>
  <c r="BK12" i="20"/>
  <c r="BF12" i="20"/>
  <c r="BH12" i="20" s="1"/>
  <c r="BE12" i="20"/>
  <c r="AZ12" i="20"/>
  <c r="BB12" i="20" s="1"/>
  <c r="AY12" i="20"/>
  <c r="AT12" i="20"/>
  <c r="AV12" i="20" s="1"/>
  <c r="AS12" i="20"/>
  <c r="AN12" i="20"/>
  <c r="AP12" i="20" s="1"/>
  <c r="AM12" i="20"/>
  <c r="AH12" i="20"/>
  <c r="AJ12" i="20" s="1"/>
  <c r="AG12" i="20"/>
  <c r="AB12" i="20"/>
  <c r="AD12" i="20" s="1"/>
  <c r="AA12" i="20"/>
  <c r="V12" i="20"/>
  <c r="U12" i="20"/>
  <c r="J12" i="20"/>
  <c r="BZ11" i="20"/>
  <c r="BT11" i="20"/>
  <c r="BN11" i="20"/>
  <c r="BH11" i="20"/>
  <c r="BB11" i="20"/>
  <c r="AV11" i="20"/>
  <c r="AP11" i="20"/>
  <c r="AJ11" i="20"/>
  <c r="AD11" i="20"/>
  <c r="X11" i="20"/>
  <c r="O11" i="20"/>
  <c r="P11" i="20" s="1"/>
  <c r="Q11" i="20" s="1"/>
  <c r="R11" i="20" s="1"/>
  <c r="N11" i="20"/>
  <c r="L11" i="20"/>
  <c r="J11" i="20"/>
  <c r="BZ10" i="20"/>
  <c r="BT10" i="20"/>
  <c r="BN10" i="20"/>
  <c r="BH10" i="20"/>
  <c r="BB10" i="20"/>
  <c r="AV10" i="20"/>
  <c r="AP10" i="20"/>
  <c r="AJ10" i="20"/>
  <c r="AD10" i="20"/>
  <c r="X10" i="20"/>
  <c r="O10" i="20"/>
  <c r="P10" i="20" s="1"/>
  <c r="Q10" i="20" s="1"/>
  <c r="R10" i="20" s="1"/>
  <c r="N10" i="20"/>
  <c r="L10" i="20"/>
  <c r="J10" i="20"/>
  <c r="BX9" i="20"/>
  <c r="BY9" i="20" s="1"/>
  <c r="N64" i="25" s="1"/>
  <c r="BW9" i="20"/>
  <c r="BR9" i="20"/>
  <c r="BT9" i="20" s="1"/>
  <c r="BQ9" i="20"/>
  <c r="BL9" i="20"/>
  <c r="BM9" i="20" s="1"/>
  <c r="L64" i="25" s="1"/>
  <c r="BK9" i="20"/>
  <c r="BF9" i="20"/>
  <c r="BE9" i="20"/>
  <c r="AZ9" i="20"/>
  <c r="AY9" i="20"/>
  <c r="AT9" i="20"/>
  <c r="AU9" i="20" s="1"/>
  <c r="I64" i="25" s="1"/>
  <c r="AS9" i="20"/>
  <c r="AN9" i="20"/>
  <c r="AO9" i="20" s="1"/>
  <c r="AM9" i="20"/>
  <c r="AH9" i="20"/>
  <c r="AG9" i="20"/>
  <c r="AB9" i="20"/>
  <c r="AA9" i="20"/>
  <c r="V9" i="20"/>
  <c r="U9" i="20"/>
  <c r="J9" i="20"/>
  <c r="BZ8" i="20"/>
  <c r="BT8" i="20"/>
  <c r="BN8" i="20"/>
  <c r="BH8" i="20"/>
  <c r="BB8" i="20"/>
  <c r="AV8" i="20"/>
  <c r="AP8" i="20"/>
  <c r="AJ8" i="20"/>
  <c r="AD8" i="20"/>
  <c r="X8" i="20"/>
  <c r="O8" i="20"/>
  <c r="P8" i="20" s="1"/>
  <c r="Q8" i="20" s="1"/>
  <c r="R8" i="20" s="1"/>
  <c r="N8" i="20"/>
  <c r="L8" i="20"/>
  <c r="J8" i="20"/>
  <c r="BZ7" i="20"/>
  <c r="BT7" i="20"/>
  <c r="BN7" i="20"/>
  <c r="BH7" i="20"/>
  <c r="BB7" i="20"/>
  <c r="AV7" i="20"/>
  <c r="AP7" i="20"/>
  <c r="AJ7" i="20"/>
  <c r="AD7" i="20"/>
  <c r="X7" i="20"/>
  <c r="O7" i="20"/>
  <c r="P7" i="20" s="1"/>
  <c r="Q7" i="20" s="1"/>
  <c r="R7" i="20" s="1"/>
  <c r="N7" i="20"/>
  <c r="L7" i="20"/>
  <c r="J7" i="20"/>
  <c r="BZ6" i="20"/>
  <c r="BT6" i="20"/>
  <c r="BN6" i="20"/>
  <c r="BH6" i="20"/>
  <c r="BB6" i="20"/>
  <c r="AV6" i="20"/>
  <c r="AP6" i="20"/>
  <c r="AJ6" i="20"/>
  <c r="AD6" i="20"/>
  <c r="X6" i="20"/>
  <c r="O6" i="20"/>
  <c r="P6" i="20" s="1"/>
  <c r="Q6" i="20" s="1"/>
  <c r="R6" i="20" s="1"/>
  <c r="N6" i="20"/>
  <c r="L6" i="20"/>
  <c r="J6" i="20"/>
  <c r="BX5" i="20"/>
  <c r="BY5" i="20" s="1"/>
  <c r="BW5" i="20"/>
  <c r="BR5" i="20"/>
  <c r="BQ5" i="20"/>
  <c r="BL5" i="20"/>
  <c r="BM5" i="20" s="1"/>
  <c r="L63" i="25" s="1"/>
  <c r="BK5" i="20"/>
  <c r="BF5" i="20"/>
  <c r="BG5" i="20" s="1"/>
  <c r="K63" i="25" s="1"/>
  <c r="BE5" i="20"/>
  <c r="AZ5" i="20"/>
  <c r="BA5" i="20" s="1"/>
  <c r="J63" i="25" s="1"/>
  <c r="AY5" i="20"/>
  <c r="AT5" i="20"/>
  <c r="AU5" i="20" s="1"/>
  <c r="I63" i="25" s="1"/>
  <c r="AS5" i="20"/>
  <c r="AN5" i="20"/>
  <c r="AM5" i="20"/>
  <c r="AH5" i="20"/>
  <c r="AI5" i="20" s="1"/>
  <c r="G63" i="25" s="1"/>
  <c r="AG5" i="20"/>
  <c r="AB5" i="20"/>
  <c r="AC5" i="20" s="1"/>
  <c r="AA5" i="20"/>
  <c r="V5" i="20"/>
  <c r="W5" i="20" s="1"/>
  <c r="E63" i="25" s="1"/>
  <c r="U5" i="20"/>
  <c r="J5" i="20"/>
  <c r="BZ4" i="20"/>
  <c r="BY4" i="20"/>
  <c r="BW4" i="20"/>
  <c r="BT4" i="20"/>
  <c r="BS4" i="20"/>
  <c r="BQ4" i="20"/>
  <c r="BN4" i="20"/>
  <c r="BM4" i="20"/>
  <c r="BK4" i="20"/>
  <c r="BH4" i="20"/>
  <c r="BG4" i="20"/>
  <c r="BE4" i="20"/>
  <c r="BB4" i="20"/>
  <c r="BA4" i="20"/>
  <c r="AY4" i="20"/>
  <c r="AV4" i="20"/>
  <c r="AU4" i="20"/>
  <c r="AS4" i="20"/>
  <c r="AP4" i="20"/>
  <c r="AO4" i="20"/>
  <c r="AM4" i="20"/>
  <c r="AJ4" i="20"/>
  <c r="AI4" i="20"/>
  <c r="AG4" i="20"/>
  <c r="AD4" i="20"/>
  <c r="AC4" i="20"/>
  <c r="AA4" i="20"/>
  <c r="X4" i="20"/>
  <c r="W4" i="20"/>
  <c r="U4" i="20"/>
  <c r="L4" i="20"/>
  <c r="J4" i="20"/>
  <c r="W3" i="20"/>
  <c r="AC3" i="20" s="1"/>
  <c r="AI3" i="20" s="1"/>
  <c r="AO3" i="20" s="1"/>
  <c r="AU3" i="20" s="1"/>
  <c r="BA3" i="20" s="1"/>
  <c r="BG3" i="20" s="1"/>
  <c r="BM3" i="20" s="1"/>
  <c r="BS3" i="20" s="1"/>
  <c r="BY3" i="20" s="1"/>
  <c r="V3" i="20"/>
  <c r="AB3" i="20" s="1"/>
  <c r="AH3" i="20" s="1"/>
  <c r="AN3" i="20" s="1"/>
  <c r="AT3" i="20" s="1"/>
  <c r="AZ3" i="20" s="1"/>
  <c r="BF3" i="20" s="1"/>
  <c r="BL3" i="20" s="1"/>
  <c r="BR3" i="20" s="1"/>
  <c r="BX3" i="20" s="1"/>
  <c r="U3" i="20"/>
  <c r="AA3" i="20" s="1"/>
  <c r="AG3" i="20" s="1"/>
  <c r="AM3" i="20" s="1"/>
  <c r="AS3" i="20" s="1"/>
  <c r="AY3" i="20" s="1"/>
  <c r="BE3" i="20" s="1"/>
  <c r="BK3" i="20" s="1"/>
  <c r="BQ3" i="20" s="1"/>
  <c r="BW3" i="20" s="1"/>
  <c r="T3" i="20"/>
  <c r="Z3" i="20" s="1"/>
  <c r="AF3" i="20" s="1"/>
  <c r="AL3" i="20" s="1"/>
  <c r="AR3" i="20" s="1"/>
  <c r="AX3" i="20" s="1"/>
  <c r="BD3" i="20" s="1"/>
  <c r="BJ3" i="20" s="1"/>
  <c r="BP3" i="20" s="1"/>
  <c r="BV3" i="20" s="1"/>
  <c r="C12" i="23"/>
  <c r="C10" i="23"/>
  <c r="C8" i="23"/>
  <c r="E7" i="23"/>
  <c r="D7" i="23"/>
  <c r="C7" i="23"/>
  <c r="B7" i="23"/>
  <c r="E6" i="23"/>
  <c r="D6" i="23"/>
  <c r="B6" i="23"/>
  <c r="C3" i="23"/>
  <c r="B3" i="23"/>
  <c r="O48" i="19"/>
  <c r="P48" i="19" s="1"/>
  <c r="Q48" i="19" s="1"/>
  <c r="R48" i="19" s="1"/>
  <c r="BW46" i="19"/>
  <c r="BW47" i="19" s="1"/>
  <c r="BQ46" i="19"/>
  <c r="BQ47" i="19" s="1"/>
  <c r="BK46" i="19"/>
  <c r="BK47" i="19" s="1"/>
  <c r="BE46" i="19"/>
  <c r="BE47" i="19" s="1"/>
  <c r="AY46" i="19"/>
  <c r="AY47" i="19" s="1"/>
  <c r="AS46" i="19"/>
  <c r="AS47" i="19" s="1"/>
  <c r="AM46" i="19"/>
  <c r="AM47" i="19" s="1"/>
  <c r="AG46" i="19"/>
  <c r="AG47" i="19" s="1"/>
  <c r="AA46" i="19"/>
  <c r="AA47" i="19" s="1"/>
  <c r="U46" i="19"/>
  <c r="U47" i="19" s="1"/>
  <c r="BZ40" i="19"/>
  <c r="BT40" i="19"/>
  <c r="BN40" i="19"/>
  <c r="BH40" i="19"/>
  <c r="BB40" i="19"/>
  <c r="AV40" i="19"/>
  <c r="AP40" i="19"/>
  <c r="AJ40" i="19"/>
  <c r="AD40" i="19"/>
  <c r="X40" i="19"/>
  <c r="P40" i="19"/>
  <c r="Q40" i="19" s="1"/>
  <c r="R40" i="19" s="1"/>
  <c r="L40" i="19"/>
  <c r="J40" i="19"/>
  <c r="BZ39" i="19"/>
  <c r="BT39" i="19"/>
  <c r="BN39" i="19"/>
  <c r="BH39" i="19"/>
  <c r="BB39" i="19"/>
  <c r="AV39" i="19"/>
  <c r="AP39" i="19"/>
  <c r="AJ39" i="19"/>
  <c r="AD39" i="19"/>
  <c r="X39" i="19"/>
  <c r="P39" i="19"/>
  <c r="Q39" i="19" s="1"/>
  <c r="R39" i="19" s="1"/>
  <c r="L39" i="19"/>
  <c r="J39" i="19"/>
  <c r="BZ38" i="19"/>
  <c r="BY38" i="19"/>
  <c r="BW38" i="19"/>
  <c r="BT38" i="19"/>
  <c r="BS38" i="19"/>
  <c r="BQ38" i="19"/>
  <c r="BN38" i="19"/>
  <c r="BM38" i="19"/>
  <c r="BK38" i="19"/>
  <c r="BH38" i="19"/>
  <c r="BG38" i="19"/>
  <c r="BE38" i="19"/>
  <c r="BB38" i="19"/>
  <c r="BA38" i="19"/>
  <c r="AY38" i="19"/>
  <c r="AV38" i="19"/>
  <c r="AU38" i="19"/>
  <c r="AS38" i="19"/>
  <c r="AP38" i="19"/>
  <c r="AO38" i="19"/>
  <c r="AM38" i="19"/>
  <c r="AJ38" i="19"/>
  <c r="AI38" i="19"/>
  <c r="AG38" i="19"/>
  <c r="AD38" i="19"/>
  <c r="AC38" i="19"/>
  <c r="AA38" i="19"/>
  <c r="X38" i="19"/>
  <c r="U38" i="19"/>
  <c r="L38" i="19"/>
  <c r="J38" i="19"/>
  <c r="BZ37" i="19"/>
  <c r="BY37" i="19"/>
  <c r="N60" i="25" s="1"/>
  <c r="BT37" i="19"/>
  <c r="BS37" i="19"/>
  <c r="M60" i="25" s="1"/>
  <c r="BN37" i="19"/>
  <c r="BM37" i="19"/>
  <c r="L60" i="25" s="1"/>
  <c r="BH37" i="19"/>
  <c r="BG37" i="19"/>
  <c r="K60" i="25" s="1"/>
  <c r="BB37" i="19"/>
  <c r="BA37" i="19"/>
  <c r="J60" i="25" s="1"/>
  <c r="AV37" i="19"/>
  <c r="AU37" i="19"/>
  <c r="I60" i="25" s="1"/>
  <c r="AP37" i="19"/>
  <c r="AO37" i="19"/>
  <c r="H60" i="25" s="1"/>
  <c r="AJ37" i="19"/>
  <c r="AI37" i="19"/>
  <c r="G60" i="25" s="1"/>
  <c r="AD37" i="19"/>
  <c r="AC37" i="19"/>
  <c r="F60" i="25" s="1"/>
  <c r="X37" i="19"/>
  <c r="W37" i="19"/>
  <c r="E60" i="25" s="1"/>
  <c r="K37" i="19"/>
  <c r="BZ36" i="19"/>
  <c r="BY36" i="19"/>
  <c r="BT36" i="19"/>
  <c r="BS36" i="19"/>
  <c r="M59" i="25" s="1"/>
  <c r="BN36" i="19"/>
  <c r="BM36" i="19"/>
  <c r="L59" i="25" s="1"/>
  <c r="BH36" i="19"/>
  <c r="BG36" i="19"/>
  <c r="K59" i="25" s="1"/>
  <c r="BB36" i="19"/>
  <c r="BA36" i="19"/>
  <c r="J59" i="25" s="1"/>
  <c r="AV36" i="19"/>
  <c r="AU36" i="19"/>
  <c r="I59" i="25" s="1"/>
  <c r="AP36" i="19"/>
  <c r="AO36" i="19"/>
  <c r="H59" i="25" s="1"/>
  <c r="AJ36" i="19"/>
  <c r="AI36" i="19"/>
  <c r="G59" i="25" s="1"/>
  <c r="AD36" i="19"/>
  <c r="AC36" i="19"/>
  <c r="F59" i="25" s="1"/>
  <c r="X36" i="19"/>
  <c r="W36" i="19"/>
  <c r="E59" i="25" s="1"/>
  <c r="K36" i="19"/>
  <c r="BZ35" i="19"/>
  <c r="BT35" i="19"/>
  <c r="BN35" i="19"/>
  <c r="BH35" i="19"/>
  <c r="BB35" i="19"/>
  <c r="AV35" i="19"/>
  <c r="AP35" i="19"/>
  <c r="AJ35" i="19"/>
  <c r="AD35" i="19"/>
  <c r="X35" i="19"/>
  <c r="O35" i="19"/>
  <c r="P35" i="19" s="1"/>
  <c r="Q35" i="19" s="1"/>
  <c r="R35" i="19" s="1"/>
  <c r="N35" i="19"/>
  <c r="L35" i="19"/>
  <c r="J35" i="19"/>
  <c r="BZ34" i="19"/>
  <c r="BY34" i="19"/>
  <c r="N58" i="25" s="1"/>
  <c r="BW34" i="19"/>
  <c r="BT34" i="19"/>
  <c r="BS34" i="19"/>
  <c r="M58" i="25" s="1"/>
  <c r="BQ34" i="19"/>
  <c r="BN34" i="19"/>
  <c r="BM34" i="19"/>
  <c r="L58" i="25" s="1"/>
  <c r="BK34" i="19"/>
  <c r="BH34" i="19"/>
  <c r="BG34" i="19"/>
  <c r="K58" i="25" s="1"/>
  <c r="BE34" i="19"/>
  <c r="BB34" i="19"/>
  <c r="BA34" i="19"/>
  <c r="J58" i="25" s="1"/>
  <c r="AY34" i="19"/>
  <c r="AV34" i="19"/>
  <c r="AU34" i="19"/>
  <c r="AS34" i="19"/>
  <c r="AP34" i="19"/>
  <c r="AO34" i="19"/>
  <c r="H58" i="25" s="1"/>
  <c r="AM34" i="19"/>
  <c r="AJ34" i="19"/>
  <c r="AI34" i="19"/>
  <c r="G58" i="25" s="1"/>
  <c r="AG34" i="19"/>
  <c r="AD34" i="19"/>
  <c r="AC34" i="19"/>
  <c r="F58" i="25" s="1"/>
  <c r="AA34" i="19"/>
  <c r="X34" i="19"/>
  <c r="W34" i="19"/>
  <c r="E58" i="25" s="1"/>
  <c r="U34" i="19"/>
  <c r="L34" i="19"/>
  <c r="J34" i="19"/>
  <c r="BZ33" i="19"/>
  <c r="BT33" i="19"/>
  <c r="BN33" i="19"/>
  <c r="BH33" i="19"/>
  <c r="BB33" i="19"/>
  <c r="AV33" i="19"/>
  <c r="AP33" i="19"/>
  <c r="AJ33" i="19"/>
  <c r="AD33" i="19"/>
  <c r="X33" i="19"/>
  <c r="N33" i="19"/>
  <c r="L33" i="19"/>
  <c r="J33" i="19"/>
  <c r="BZ32" i="19"/>
  <c r="BT32" i="19"/>
  <c r="BN32" i="19"/>
  <c r="BH32" i="19"/>
  <c r="BB32" i="19"/>
  <c r="AV32" i="19"/>
  <c r="AP32" i="19"/>
  <c r="AJ32" i="19"/>
  <c r="AD32" i="19"/>
  <c r="X32" i="19"/>
  <c r="O32" i="19"/>
  <c r="P32" i="19" s="1"/>
  <c r="Q32" i="19" s="1"/>
  <c r="R32" i="19" s="1"/>
  <c r="N32" i="19"/>
  <c r="L32" i="19"/>
  <c r="J32" i="19"/>
  <c r="BZ31" i="19"/>
  <c r="BY31" i="19"/>
  <c r="N56" i="25" s="1"/>
  <c r="BW31" i="19"/>
  <c r="BT31" i="19"/>
  <c r="BS31" i="19"/>
  <c r="M56" i="25" s="1"/>
  <c r="BQ31" i="19"/>
  <c r="BN31" i="19"/>
  <c r="BM31" i="19"/>
  <c r="L56" i="25" s="1"/>
  <c r="BK31" i="19"/>
  <c r="BH31" i="19"/>
  <c r="BG31" i="19"/>
  <c r="K56" i="25" s="1"/>
  <c r="BE31" i="19"/>
  <c r="BB31" i="19"/>
  <c r="BA31" i="19"/>
  <c r="J56" i="25" s="1"/>
  <c r="AY31" i="19"/>
  <c r="AV31" i="19"/>
  <c r="AU31" i="19"/>
  <c r="I56" i="25" s="1"/>
  <c r="AS31" i="19"/>
  <c r="AP31" i="19"/>
  <c r="AO31" i="19"/>
  <c r="H56" i="25" s="1"/>
  <c r="AM31" i="19"/>
  <c r="AJ31" i="19"/>
  <c r="AI31" i="19"/>
  <c r="G56" i="25" s="1"/>
  <c r="AG31" i="19"/>
  <c r="AD31" i="19"/>
  <c r="AC31" i="19"/>
  <c r="F56" i="25" s="1"/>
  <c r="AA31" i="19"/>
  <c r="X31" i="19"/>
  <c r="W31" i="19"/>
  <c r="E56" i="25" s="1"/>
  <c r="U31" i="19"/>
  <c r="L31" i="19"/>
  <c r="J31" i="19"/>
  <c r="BZ30" i="19"/>
  <c r="BT30" i="19"/>
  <c r="BN30" i="19"/>
  <c r="BH30" i="19"/>
  <c r="BB30" i="19"/>
  <c r="AV30" i="19"/>
  <c r="AP30" i="19"/>
  <c r="AJ30" i="19"/>
  <c r="AD30" i="19"/>
  <c r="X30" i="19"/>
  <c r="O30" i="19"/>
  <c r="P30" i="19" s="1"/>
  <c r="Q30" i="19" s="1"/>
  <c r="R30" i="19" s="1"/>
  <c r="N30" i="19"/>
  <c r="L30" i="19"/>
  <c r="J30" i="19"/>
  <c r="BZ29" i="19"/>
  <c r="BY29" i="19"/>
  <c r="N53" i="25" s="1"/>
  <c r="BW29" i="19"/>
  <c r="BT29" i="19"/>
  <c r="BS29" i="19"/>
  <c r="M53" i="25" s="1"/>
  <c r="BQ29" i="19"/>
  <c r="BN29" i="19"/>
  <c r="BM29" i="19"/>
  <c r="L53" i="25" s="1"/>
  <c r="BK29" i="19"/>
  <c r="BH29" i="19"/>
  <c r="BG29" i="19"/>
  <c r="K53" i="25" s="1"/>
  <c r="BE29" i="19"/>
  <c r="BB29" i="19"/>
  <c r="BA29" i="19"/>
  <c r="J53" i="25" s="1"/>
  <c r="AY29" i="19"/>
  <c r="AV29" i="19"/>
  <c r="AU29" i="19"/>
  <c r="I53" i="25" s="1"/>
  <c r="AS29" i="19"/>
  <c r="AP29" i="19"/>
  <c r="AO29" i="19"/>
  <c r="H53" i="25" s="1"/>
  <c r="AM29" i="19"/>
  <c r="AJ29" i="19"/>
  <c r="AI29" i="19"/>
  <c r="G53" i="25" s="1"/>
  <c r="AG29" i="19"/>
  <c r="AD29" i="19"/>
  <c r="AC29" i="19"/>
  <c r="F53" i="25" s="1"/>
  <c r="AA29" i="19"/>
  <c r="X29" i="19"/>
  <c r="W29" i="19"/>
  <c r="E53" i="25" s="1"/>
  <c r="U29" i="19"/>
  <c r="L29" i="19"/>
  <c r="J29" i="19"/>
  <c r="BZ28" i="19"/>
  <c r="BT28" i="19"/>
  <c r="BN28" i="19"/>
  <c r="BH28" i="19"/>
  <c r="BB28" i="19"/>
  <c r="AV28" i="19"/>
  <c r="AP28" i="19"/>
  <c r="AJ28" i="19"/>
  <c r="AD28" i="19"/>
  <c r="X28" i="19"/>
  <c r="O28" i="19"/>
  <c r="P28" i="19" s="1"/>
  <c r="Q28" i="19" s="1"/>
  <c r="R28" i="19" s="1"/>
  <c r="N28" i="19"/>
  <c r="L28" i="19"/>
  <c r="J28" i="19"/>
  <c r="BZ27" i="19"/>
  <c r="BT27" i="19"/>
  <c r="BN27" i="19"/>
  <c r="BH27" i="19"/>
  <c r="BB27" i="19"/>
  <c r="AV27" i="19"/>
  <c r="AP27" i="19"/>
  <c r="AJ27" i="19"/>
  <c r="AD27" i="19"/>
  <c r="X27" i="19"/>
  <c r="O27" i="19"/>
  <c r="P27" i="19" s="1"/>
  <c r="Q27" i="19" s="1"/>
  <c r="R27" i="19" s="1"/>
  <c r="N27" i="19"/>
  <c r="L27" i="19"/>
  <c r="J27" i="19"/>
  <c r="BZ26" i="19"/>
  <c r="BT26" i="19"/>
  <c r="BN26" i="19"/>
  <c r="BH26" i="19"/>
  <c r="BB26" i="19"/>
  <c r="AV26" i="19"/>
  <c r="AP26" i="19"/>
  <c r="AJ26" i="19"/>
  <c r="AD26" i="19"/>
  <c r="X26" i="19"/>
  <c r="O26" i="19"/>
  <c r="P26" i="19" s="1"/>
  <c r="Q26" i="19" s="1"/>
  <c r="R26" i="19" s="1"/>
  <c r="N26" i="19"/>
  <c r="L26" i="19"/>
  <c r="J26" i="19"/>
  <c r="BZ25" i="19"/>
  <c r="BY25" i="19"/>
  <c r="N50" i="25" s="1"/>
  <c r="BW25" i="19"/>
  <c r="BT25" i="19"/>
  <c r="BS25" i="19"/>
  <c r="M50" i="25" s="1"/>
  <c r="BQ25" i="19"/>
  <c r="BN25" i="19"/>
  <c r="BM25" i="19"/>
  <c r="L50" i="25" s="1"/>
  <c r="BK25" i="19"/>
  <c r="BH25" i="19"/>
  <c r="BG25" i="19"/>
  <c r="K50" i="25" s="1"/>
  <c r="BE25" i="19"/>
  <c r="BB25" i="19"/>
  <c r="BA25" i="19"/>
  <c r="J50" i="25" s="1"/>
  <c r="AY25" i="19"/>
  <c r="AV25" i="19"/>
  <c r="AU25" i="19"/>
  <c r="I50" i="25" s="1"/>
  <c r="AS25" i="19"/>
  <c r="AP25" i="19"/>
  <c r="AO25" i="19"/>
  <c r="H50" i="25" s="1"/>
  <c r="AM25" i="19"/>
  <c r="AJ25" i="19"/>
  <c r="AI25" i="19"/>
  <c r="G50" i="25" s="1"/>
  <c r="AG25" i="19"/>
  <c r="AD25" i="19"/>
  <c r="AC25" i="19"/>
  <c r="F50" i="25" s="1"/>
  <c r="AA25" i="19"/>
  <c r="X25" i="19"/>
  <c r="W25" i="19"/>
  <c r="E50" i="25" s="1"/>
  <c r="U25" i="19"/>
  <c r="L25" i="19"/>
  <c r="J25" i="19"/>
  <c r="BZ24" i="19"/>
  <c r="BT24" i="19"/>
  <c r="BN24" i="19"/>
  <c r="BH24" i="19"/>
  <c r="BB24" i="19"/>
  <c r="AV24" i="19"/>
  <c r="AP24" i="19"/>
  <c r="AJ24" i="19"/>
  <c r="AD24" i="19"/>
  <c r="O24" i="19"/>
  <c r="P24" i="19" s="1"/>
  <c r="Q24" i="19" s="1"/>
  <c r="R24" i="19" s="1"/>
  <c r="N24" i="19"/>
  <c r="L24" i="19"/>
  <c r="J24" i="19"/>
  <c r="BZ23" i="19"/>
  <c r="BT23" i="19"/>
  <c r="BN23" i="19"/>
  <c r="BH23" i="19"/>
  <c r="BB23" i="19"/>
  <c r="AV23" i="19"/>
  <c r="AP23" i="19"/>
  <c r="AJ23" i="19"/>
  <c r="AD23" i="19"/>
  <c r="X23" i="19"/>
  <c r="O23" i="19"/>
  <c r="P23" i="19" s="1"/>
  <c r="Q23" i="19" s="1"/>
  <c r="R23" i="19" s="1"/>
  <c r="N23" i="19"/>
  <c r="L23" i="19"/>
  <c r="J23" i="19"/>
  <c r="BX22" i="19"/>
  <c r="BZ22" i="19" s="1"/>
  <c r="BW22" i="19"/>
  <c r="BR22" i="19"/>
  <c r="BT22" i="19" s="1"/>
  <c r="BQ22" i="19"/>
  <c r="BL22" i="19"/>
  <c r="BN22" i="19" s="1"/>
  <c r="BK22" i="19"/>
  <c r="BF22" i="19"/>
  <c r="BH22" i="19" s="1"/>
  <c r="BE22" i="19"/>
  <c r="BB22" i="19"/>
  <c r="AY22" i="19"/>
  <c r="AT22" i="19"/>
  <c r="AV22" i="19" s="1"/>
  <c r="AS22" i="19"/>
  <c r="AN22" i="19"/>
  <c r="AP22" i="19" s="1"/>
  <c r="AM22" i="19"/>
  <c r="AH22" i="19"/>
  <c r="AJ22" i="19" s="1"/>
  <c r="AG22" i="19"/>
  <c r="AB22" i="19"/>
  <c r="AD22" i="19" s="1"/>
  <c r="AA22" i="19"/>
  <c r="V22" i="19"/>
  <c r="X22" i="19" s="1"/>
  <c r="U22" i="19"/>
  <c r="J22" i="19"/>
  <c r="BZ21" i="19"/>
  <c r="BT21" i="19"/>
  <c r="BN21" i="19"/>
  <c r="BH21" i="19"/>
  <c r="BB21" i="19"/>
  <c r="AV21" i="19"/>
  <c r="AP21" i="19"/>
  <c r="AJ21" i="19"/>
  <c r="AD21" i="19"/>
  <c r="X21" i="19"/>
  <c r="O21" i="19"/>
  <c r="P21" i="19" s="1"/>
  <c r="Q21" i="19" s="1"/>
  <c r="R21" i="19" s="1"/>
  <c r="N21" i="19"/>
  <c r="L21" i="19"/>
  <c r="J21" i="19"/>
  <c r="BZ20" i="19"/>
  <c r="BT20" i="19"/>
  <c r="BN20" i="19"/>
  <c r="BH20" i="19"/>
  <c r="BB20" i="19"/>
  <c r="AV20" i="19"/>
  <c r="AP20" i="19"/>
  <c r="AJ20" i="19"/>
  <c r="AD20" i="19"/>
  <c r="X20" i="19"/>
  <c r="O20" i="19"/>
  <c r="P20" i="19" s="1"/>
  <c r="Q20" i="19" s="1"/>
  <c r="R20" i="19" s="1"/>
  <c r="N20" i="19"/>
  <c r="L20" i="19"/>
  <c r="J20" i="19"/>
  <c r="BX19" i="19"/>
  <c r="BY19" i="19" s="1"/>
  <c r="N48" i="25" s="1"/>
  <c r="BW19" i="19"/>
  <c r="BR19" i="19"/>
  <c r="BS19" i="19" s="1"/>
  <c r="BQ19" i="19"/>
  <c r="BL19" i="19"/>
  <c r="BM19" i="19" s="1"/>
  <c r="L48" i="25" s="1"/>
  <c r="BK19" i="19"/>
  <c r="BF19" i="19"/>
  <c r="BG19" i="19" s="1"/>
  <c r="BE19" i="19"/>
  <c r="BA19" i="19"/>
  <c r="J48" i="25" s="1"/>
  <c r="AY19" i="19"/>
  <c r="AT19" i="19"/>
  <c r="AU19" i="19" s="1"/>
  <c r="I48" i="25" s="1"/>
  <c r="AS19" i="19"/>
  <c r="AN19" i="19"/>
  <c r="AO19" i="19" s="1"/>
  <c r="H48" i="25" s="1"/>
  <c r="AM19" i="19"/>
  <c r="AH19" i="19"/>
  <c r="AI19" i="19" s="1"/>
  <c r="G48" i="25" s="1"/>
  <c r="AG19" i="19"/>
  <c r="AB19" i="19"/>
  <c r="AC19" i="19" s="1"/>
  <c r="F48" i="25" s="1"/>
  <c r="AA19" i="19"/>
  <c r="V19" i="19"/>
  <c r="W19" i="19" s="1"/>
  <c r="E48" i="25" s="1"/>
  <c r="U19" i="19"/>
  <c r="J19" i="19"/>
  <c r="BZ18" i="19"/>
  <c r="BT18" i="19"/>
  <c r="BN18" i="19"/>
  <c r="BH18" i="19"/>
  <c r="BB18" i="19"/>
  <c r="AV18" i="19"/>
  <c r="AP18" i="19"/>
  <c r="AJ18" i="19"/>
  <c r="AD18" i="19"/>
  <c r="X18" i="19"/>
  <c r="N18" i="19"/>
  <c r="L18" i="19"/>
  <c r="J18" i="19"/>
  <c r="BZ17" i="19"/>
  <c r="BT17" i="19"/>
  <c r="BN17" i="19"/>
  <c r="BH17" i="19"/>
  <c r="BB17" i="19"/>
  <c r="AV17" i="19"/>
  <c r="AP17" i="19"/>
  <c r="AJ17" i="19"/>
  <c r="AD17" i="19"/>
  <c r="X17" i="19"/>
  <c r="N17" i="19"/>
  <c r="L17" i="19"/>
  <c r="J17" i="19"/>
  <c r="BX16" i="19"/>
  <c r="R60" i="25" s="1"/>
  <c r="BR16" i="19"/>
  <c r="R59" i="25" s="1"/>
  <c r="BL16" i="19"/>
  <c r="BF16" i="19"/>
  <c r="BH16" i="19" s="1"/>
  <c r="BB16" i="19"/>
  <c r="AT16" i="19"/>
  <c r="AV16" i="19" s="1"/>
  <c r="AN16" i="19"/>
  <c r="AP16" i="19" s="1"/>
  <c r="AH16" i="19"/>
  <c r="AJ16" i="19" s="1"/>
  <c r="AB16" i="19"/>
  <c r="V16" i="19"/>
  <c r="R49" i="25" s="1"/>
  <c r="O16" i="19"/>
  <c r="P16" i="19" s="1"/>
  <c r="Q16" i="19" s="1"/>
  <c r="R16" i="19" s="1"/>
  <c r="N16" i="19"/>
  <c r="J16" i="19"/>
  <c r="BZ15" i="19"/>
  <c r="BT15" i="19"/>
  <c r="BN15" i="19"/>
  <c r="BH15" i="19"/>
  <c r="BB15" i="19"/>
  <c r="AV15" i="19"/>
  <c r="AP15" i="19"/>
  <c r="AJ15" i="19"/>
  <c r="AD15" i="19"/>
  <c r="X15" i="19"/>
  <c r="O15" i="19"/>
  <c r="P15" i="19" s="1"/>
  <c r="Q15" i="19" s="1"/>
  <c r="R15" i="19" s="1"/>
  <c r="N15" i="19"/>
  <c r="L15" i="19"/>
  <c r="J15" i="19"/>
  <c r="BZ14" i="19"/>
  <c r="BT14" i="19"/>
  <c r="BN14" i="19"/>
  <c r="BH14" i="19"/>
  <c r="BB14" i="19"/>
  <c r="AV14" i="19"/>
  <c r="AP14" i="19"/>
  <c r="AJ14" i="19"/>
  <c r="AD14" i="19"/>
  <c r="X14" i="19"/>
  <c r="O14" i="19"/>
  <c r="P14" i="19" s="1"/>
  <c r="Q14" i="19" s="1"/>
  <c r="R14" i="19" s="1"/>
  <c r="N14" i="19"/>
  <c r="L14" i="19"/>
  <c r="J14" i="19"/>
  <c r="BX13" i="19"/>
  <c r="BW13" i="19"/>
  <c r="BR13" i="19"/>
  <c r="BS13" i="19" s="1"/>
  <c r="M46" i="25" s="1"/>
  <c r="BQ13" i="19"/>
  <c r="BL13" i="19"/>
  <c r="BM13" i="19" s="1"/>
  <c r="L46" i="25" s="1"/>
  <c r="BK13" i="19"/>
  <c r="BF13" i="19"/>
  <c r="BG13" i="19" s="1"/>
  <c r="BE13" i="19"/>
  <c r="BA13" i="19"/>
  <c r="J46" i="25" s="1"/>
  <c r="AY13" i="19"/>
  <c r="AT13" i="19"/>
  <c r="AU13" i="19" s="1"/>
  <c r="I46" i="25" s="1"/>
  <c r="AS13" i="19"/>
  <c r="AN13" i="19"/>
  <c r="AO13" i="19" s="1"/>
  <c r="H46" i="25" s="1"/>
  <c r="AM13" i="19"/>
  <c r="AH13" i="19"/>
  <c r="AI13" i="19" s="1"/>
  <c r="G46" i="25" s="1"/>
  <c r="AG13" i="19"/>
  <c r="AB13" i="19"/>
  <c r="AC13" i="19" s="1"/>
  <c r="F46" i="25" s="1"/>
  <c r="AA13" i="19"/>
  <c r="V13" i="19"/>
  <c r="W13" i="19" s="1"/>
  <c r="E46" i="25" s="1"/>
  <c r="U13" i="19"/>
  <c r="J13" i="19"/>
  <c r="BZ12" i="19"/>
  <c r="BT12" i="19"/>
  <c r="BN12" i="19"/>
  <c r="BH12" i="19"/>
  <c r="BB12" i="19"/>
  <c r="AV12" i="19"/>
  <c r="AP12" i="19"/>
  <c r="AJ12" i="19"/>
  <c r="AD12" i="19"/>
  <c r="X12" i="19"/>
  <c r="M12" i="19"/>
  <c r="O12" i="19" s="1"/>
  <c r="P12" i="19" s="1"/>
  <c r="Q12" i="19" s="1"/>
  <c r="R12" i="19" s="1"/>
  <c r="K12" i="19"/>
  <c r="BZ11" i="19"/>
  <c r="BY11" i="19"/>
  <c r="N44" i="25" s="1"/>
  <c r="BW11" i="19"/>
  <c r="BT11" i="19"/>
  <c r="BS11" i="19"/>
  <c r="M44" i="25" s="1"/>
  <c r="BQ11" i="19"/>
  <c r="BN11" i="19"/>
  <c r="BM11" i="19"/>
  <c r="L44" i="25" s="1"/>
  <c r="BK11" i="19"/>
  <c r="BH11" i="19"/>
  <c r="BG11" i="19"/>
  <c r="K44" i="25" s="1"/>
  <c r="BE11" i="19"/>
  <c r="BB11" i="19"/>
  <c r="BA11" i="19"/>
  <c r="J44" i="25" s="1"/>
  <c r="AY11" i="19"/>
  <c r="AV11" i="19"/>
  <c r="AU11" i="19"/>
  <c r="I44" i="25" s="1"/>
  <c r="AS11" i="19"/>
  <c r="AP11" i="19"/>
  <c r="AO11" i="19"/>
  <c r="H44" i="25" s="1"/>
  <c r="AM11" i="19"/>
  <c r="AJ11" i="19"/>
  <c r="AI11" i="19"/>
  <c r="G44" i="25" s="1"/>
  <c r="AG11" i="19"/>
  <c r="AD11" i="19"/>
  <c r="AC11" i="19"/>
  <c r="F44" i="25" s="1"/>
  <c r="AA11" i="19"/>
  <c r="X11" i="19"/>
  <c r="W11" i="19"/>
  <c r="E44" i="25" s="1"/>
  <c r="U11" i="19"/>
  <c r="L11" i="19"/>
  <c r="J11" i="19"/>
  <c r="BZ10" i="19"/>
  <c r="BT10" i="19"/>
  <c r="BN10" i="19"/>
  <c r="BH10" i="19"/>
  <c r="BB10" i="19"/>
  <c r="AV10" i="19"/>
  <c r="AP10" i="19"/>
  <c r="AJ10" i="19"/>
  <c r="AD10" i="19"/>
  <c r="X10" i="19"/>
  <c r="O10" i="19"/>
  <c r="P10" i="19" s="1"/>
  <c r="Q10" i="19" s="1"/>
  <c r="R10" i="19" s="1"/>
  <c r="N10" i="19"/>
  <c r="L10" i="19"/>
  <c r="J10" i="19"/>
  <c r="BZ9" i="19"/>
  <c r="BT9" i="19"/>
  <c r="BN9" i="19"/>
  <c r="BH9" i="19"/>
  <c r="BB9" i="19"/>
  <c r="AV9" i="19"/>
  <c r="AP9" i="19"/>
  <c r="AJ9" i="19"/>
  <c r="AD9" i="19"/>
  <c r="X9" i="19"/>
  <c r="O9" i="19"/>
  <c r="P9" i="19" s="1"/>
  <c r="Q9" i="19" s="1"/>
  <c r="R9" i="19" s="1"/>
  <c r="N9" i="19"/>
  <c r="L9" i="19"/>
  <c r="J9" i="19"/>
  <c r="BZ8" i="19"/>
  <c r="BT8" i="19"/>
  <c r="BN8" i="19"/>
  <c r="BH8" i="19"/>
  <c r="BB8" i="19"/>
  <c r="AV8" i="19"/>
  <c r="AP8" i="19"/>
  <c r="AJ8" i="19"/>
  <c r="AD8" i="19"/>
  <c r="X8" i="19"/>
  <c r="O8" i="19"/>
  <c r="P8" i="19" s="1"/>
  <c r="Q8" i="19" s="1"/>
  <c r="R8" i="19" s="1"/>
  <c r="N8" i="19"/>
  <c r="L8" i="19"/>
  <c r="J8" i="19"/>
  <c r="BX7" i="19"/>
  <c r="BY7" i="19" s="1"/>
  <c r="N43" i="25" s="1"/>
  <c r="BW7" i="19"/>
  <c r="BR7" i="19"/>
  <c r="BQ7" i="19"/>
  <c r="BL7" i="19"/>
  <c r="BM7" i="19" s="1"/>
  <c r="L43" i="25" s="1"/>
  <c r="BK7" i="19"/>
  <c r="BF7" i="19"/>
  <c r="BG7" i="19" s="1"/>
  <c r="K43" i="25" s="1"/>
  <c r="BE7" i="19"/>
  <c r="BA7" i="19"/>
  <c r="J43" i="25" s="1"/>
  <c r="AY7" i="19"/>
  <c r="AT7" i="19"/>
  <c r="AS7" i="19"/>
  <c r="AN7" i="19"/>
  <c r="AO7" i="19" s="1"/>
  <c r="H43" i="25" s="1"/>
  <c r="AM7" i="19"/>
  <c r="AH7" i="19"/>
  <c r="AI7" i="19" s="1"/>
  <c r="G43" i="25" s="1"/>
  <c r="AG7" i="19"/>
  <c r="AB7" i="19"/>
  <c r="AC7" i="19" s="1"/>
  <c r="F43" i="25" s="1"/>
  <c r="AA7" i="19"/>
  <c r="V7" i="19"/>
  <c r="U7" i="19"/>
  <c r="J7" i="19"/>
  <c r="BZ6" i="19"/>
  <c r="BT6" i="19"/>
  <c r="BN6" i="19"/>
  <c r="BH6" i="19"/>
  <c r="BB6" i="19"/>
  <c r="AV6" i="19"/>
  <c r="AP6" i="19"/>
  <c r="AJ6" i="19"/>
  <c r="AD6" i="19"/>
  <c r="X6" i="19"/>
  <c r="O6" i="19"/>
  <c r="P6" i="19" s="1"/>
  <c r="Q6" i="19" s="1"/>
  <c r="R6" i="19" s="1"/>
  <c r="N6" i="19"/>
  <c r="L6" i="19"/>
  <c r="J6" i="19"/>
  <c r="BZ5" i="19"/>
  <c r="BT5" i="19"/>
  <c r="BN5" i="19"/>
  <c r="BH5" i="19"/>
  <c r="BB5" i="19"/>
  <c r="AV5" i="19"/>
  <c r="AP5" i="19"/>
  <c r="AJ5" i="19"/>
  <c r="AD5" i="19"/>
  <c r="X5" i="19"/>
  <c r="O5" i="19"/>
  <c r="P5" i="19" s="1"/>
  <c r="Q5" i="19" s="1"/>
  <c r="R5" i="19" s="1"/>
  <c r="N5" i="19"/>
  <c r="L5" i="19"/>
  <c r="J5" i="19"/>
  <c r="BX4" i="19"/>
  <c r="BZ4" i="19" s="1"/>
  <c r="BW4" i="19"/>
  <c r="BR4" i="19"/>
  <c r="BT4" i="19" s="1"/>
  <c r="BQ4" i="19"/>
  <c r="BL4" i="19"/>
  <c r="BN4" i="19" s="1"/>
  <c r="BK4" i="19"/>
  <c r="BF4" i="19"/>
  <c r="BG4" i="19" s="1"/>
  <c r="BE4" i="19"/>
  <c r="BB4" i="19"/>
  <c r="AY4" i="19"/>
  <c r="AT4" i="19"/>
  <c r="AU4" i="19" s="1"/>
  <c r="AS4" i="19"/>
  <c r="AN4" i="19"/>
  <c r="AP4" i="19" s="1"/>
  <c r="AM4" i="19"/>
  <c r="AH4" i="19"/>
  <c r="AG4" i="19"/>
  <c r="AB4" i="19"/>
  <c r="AD4" i="19" s="1"/>
  <c r="AA4" i="19"/>
  <c r="V4" i="19"/>
  <c r="X4" i="19" s="1"/>
  <c r="U4" i="19"/>
  <c r="J4" i="19"/>
  <c r="W3" i="19"/>
  <c r="AC3" i="19" s="1"/>
  <c r="AI3" i="19" s="1"/>
  <c r="AO3" i="19" s="1"/>
  <c r="AU3" i="19" s="1"/>
  <c r="BA3" i="19" s="1"/>
  <c r="BG3" i="19" s="1"/>
  <c r="BM3" i="19" s="1"/>
  <c r="BS3" i="19" s="1"/>
  <c r="BY3" i="19" s="1"/>
  <c r="V3" i="19"/>
  <c r="AB3" i="19" s="1"/>
  <c r="AH3" i="19" s="1"/>
  <c r="AN3" i="19" s="1"/>
  <c r="AT3" i="19" s="1"/>
  <c r="AZ3" i="19" s="1"/>
  <c r="BF3" i="19" s="1"/>
  <c r="BL3" i="19" s="1"/>
  <c r="BR3" i="19" s="1"/>
  <c r="BX3" i="19" s="1"/>
  <c r="U3" i="19"/>
  <c r="AA3" i="19" s="1"/>
  <c r="AG3" i="19" s="1"/>
  <c r="AM3" i="19" s="1"/>
  <c r="AS3" i="19" s="1"/>
  <c r="AY3" i="19" s="1"/>
  <c r="BE3" i="19" s="1"/>
  <c r="BK3" i="19" s="1"/>
  <c r="BQ3" i="19" s="1"/>
  <c r="BW3" i="19" s="1"/>
  <c r="T3" i="19"/>
  <c r="Z3" i="19" s="1"/>
  <c r="AF3" i="19" s="1"/>
  <c r="AL3" i="19" s="1"/>
  <c r="AR3" i="19" s="1"/>
  <c r="AX3" i="19" s="1"/>
  <c r="BD3" i="19" s="1"/>
  <c r="BJ3" i="19" s="1"/>
  <c r="BP3" i="19" s="1"/>
  <c r="BV3" i="19" s="1"/>
  <c r="E5" i="23"/>
  <c r="E13" i="23"/>
  <c r="E12" i="23"/>
  <c r="E11" i="23"/>
  <c r="E10" i="23"/>
  <c r="E9" i="23"/>
  <c r="E8" i="23"/>
  <c r="O83" i="18"/>
  <c r="P83" i="18" s="1"/>
  <c r="Q83" i="18" s="1"/>
  <c r="R83" i="18" s="1"/>
  <c r="M78" i="18"/>
  <c r="I76" i="18"/>
  <c r="BZ75" i="18"/>
  <c r="BT75" i="18"/>
  <c r="BN75" i="18"/>
  <c r="BH75" i="18"/>
  <c r="BB75" i="18"/>
  <c r="AV75" i="18"/>
  <c r="AP75" i="18"/>
  <c r="AJ75" i="18"/>
  <c r="AD75" i="18"/>
  <c r="X75" i="18"/>
  <c r="L75" i="18"/>
  <c r="J75" i="18"/>
  <c r="BZ74" i="18"/>
  <c r="BT74" i="18"/>
  <c r="BN74" i="18"/>
  <c r="BH74" i="18"/>
  <c r="BB74" i="18"/>
  <c r="AV74" i="18"/>
  <c r="AP74" i="18"/>
  <c r="AJ74" i="18"/>
  <c r="AD74" i="18"/>
  <c r="X74" i="18"/>
  <c r="L74" i="18"/>
  <c r="J74" i="18"/>
  <c r="BZ73" i="18"/>
  <c r="BW73" i="18"/>
  <c r="BW81" i="18" s="1"/>
  <c r="BW82" i="18" s="1"/>
  <c r="BT73" i="18"/>
  <c r="BQ73" i="18"/>
  <c r="BQ81" i="18" s="1"/>
  <c r="BQ82" i="18" s="1"/>
  <c r="BN73" i="18"/>
  <c r="BK73" i="18"/>
  <c r="BK81" i="18" s="1"/>
  <c r="BK82" i="18" s="1"/>
  <c r="BH73" i="18"/>
  <c r="BE73" i="18"/>
  <c r="BE81" i="18" s="1"/>
  <c r="BE82" i="18" s="1"/>
  <c r="BB73" i="18"/>
  <c r="AY73" i="18"/>
  <c r="AY81" i="18" s="1"/>
  <c r="AY82" i="18" s="1"/>
  <c r="AV73" i="18"/>
  <c r="AS73" i="18"/>
  <c r="AS81" i="18" s="1"/>
  <c r="AS82" i="18" s="1"/>
  <c r="AP73" i="18"/>
  <c r="AM73" i="18"/>
  <c r="AM81" i="18" s="1"/>
  <c r="AM82" i="18" s="1"/>
  <c r="AJ73" i="18"/>
  <c r="AG73" i="18"/>
  <c r="AG81" i="18" s="1"/>
  <c r="AG82" i="18" s="1"/>
  <c r="AD73" i="18"/>
  <c r="AA73" i="18"/>
  <c r="AA81" i="18" s="1"/>
  <c r="AA82" i="18" s="1"/>
  <c r="X73" i="18"/>
  <c r="U73" i="18"/>
  <c r="U81" i="18" s="1"/>
  <c r="U82" i="18" s="1"/>
  <c r="O73" i="18"/>
  <c r="P73" i="18" s="1"/>
  <c r="Q73" i="18" s="1"/>
  <c r="R73" i="18" s="1"/>
  <c r="N73" i="18"/>
  <c r="L73" i="18"/>
  <c r="J73" i="18"/>
  <c r="BZ72" i="18"/>
  <c r="BT72" i="18"/>
  <c r="BN72" i="18"/>
  <c r="BH72" i="18"/>
  <c r="BB72" i="18"/>
  <c r="AV72" i="18"/>
  <c r="AP72" i="18"/>
  <c r="AJ72" i="18"/>
  <c r="AD72" i="18"/>
  <c r="X72" i="18"/>
  <c r="M72" i="18"/>
  <c r="F40" i="27" s="1"/>
  <c r="K72" i="18"/>
  <c r="BZ71" i="18"/>
  <c r="BT71" i="18"/>
  <c r="BN71" i="18"/>
  <c r="BH71" i="18"/>
  <c r="BB71" i="18"/>
  <c r="AV71" i="18"/>
  <c r="AP71" i="18"/>
  <c r="AJ71" i="18"/>
  <c r="AD71" i="18"/>
  <c r="X71" i="18"/>
  <c r="O71" i="18"/>
  <c r="P71" i="18" s="1"/>
  <c r="Q71" i="18" s="1"/>
  <c r="R71" i="18" s="1"/>
  <c r="N71" i="18"/>
  <c r="L71" i="18"/>
  <c r="J71" i="18"/>
  <c r="BZ70" i="18"/>
  <c r="BW70" i="18"/>
  <c r="BT70" i="18"/>
  <c r="BQ70" i="18"/>
  <c r="BN70" i="18"/>
  <c r="BK70" i="18"/>
  <c r="BH70" i="18"/>
  <c r="BE70" i="18"/>
  <c r="BB70" i="18"/>
  <c r="AY70" i="18"/>
  <c r="AV70" i="18"/>
  <c r="AS70" i="18"/>
  <c r="AP70" i="18"/>
  <c r="AM70" i="18"/>
  <c r="AJ70" i="18"/>
  <c r="AG70" i="18"/>
  <c r="AD70" i="18"/>
  <c r="AA70" i="18"/>
  <c r="X70" i="18"/>
  <c r="U70" i="18"/>
  <c r="L70" i="18"/>
  <c r="E38" i="27" s="1"/>
  <c r="J70" i="18"/>
  <c r="BZ69" i="18"/>
  <c r="BT69" i="18"/>
  <c r="BN69" i="18"/>
  <c r="BH69" i="18"/>
  <c r="BB69" i="18"/>
  <c r="AP69" i="18"/>
  <c r="AJ69" i="18"/>
  <c r="AD69" i="18"/>
  <c r="X69" i="18"/>
  <c r="N69" i="18"/>
  <c r="L69" i="18"/>
  <c r="J69" i="18"/>
  <c r="BZ68" i="18"/>
  <c r="BT68" i="18"/>
  <c r="BN68" i="18"/>
  <c r="BH68" i="18"/>
  <c r="BB68" i="18"/>
  <c r="AV68" i="18"/>
  <c r="AP68" i="18"/>
  <c r="AJ68" i="18"/>
  <c r="AD68" i="18"/>
  <c r="X68" i="18"/>
  <c r="O68" i="18"/>
  <c r="P68" i="18" s="1"/>
  <c r="Q68" i="18" s="1"/>
  <c r="R68" i="18" s="1"/>
  <c r="N68" i="18"/>
  <c r="L68" i="18"/>
  <c r="J68" i="18"/>
  <c r="BZ67" i="18"/>
  <c r="BW67" i="18"/>
  <c r="BT67" i="18"/>
  <c r="BQ67" i="18"/>
  <c r="BN67" i="18"/>
  <c r="BK67" i="18"/>
  <c r="BH67" i="18"/>
  <c r="BE67" i="18"/>
  <c r="BB67" i="18"/>
  <c r="AY67" i="18"/>
  <c r="AV67" i="18"/>
  <c r="AS67" i="18"/>
  <c r="AP67" i="18"/>
  <c r="AM67" i="18"/>
  <c r="AJ67" i="18"/>
  <c r="AG67" i="18"/>
  <c r="AD67" i="18"/>
  <c r="AA67" i="18"/>
  <c r="X67" i="18"/>
  <c r="U67" i="18"/>
  <c r="L67" i="18"/>
  <c r="J67" i="18"/>
  <c r="BZ66" i="18"/>
  <c r="BT66" i="18"/>
  <c r="BN66" i="18"/>
  <c r="BH66" i="18"/>
  <c r="BB66" i="18"/>
  <c r="AV66" i="18"/>
  <c r="AP66" i="18"/>
  <c r="AJ66" i="18"/>
  <c r="AD66" i="18"/>
  <c r="X66" i="18"/>
  <c r="M66" i="18"/>
  <c r="K66" i="18"/>
  <c r="BZ65" i="18"/>
  <c r="BT65" i="18"/>
  <c r="BN65" i="18"/>
  <c r="BH65" i="18"/>
  <c r="BB65" i="18"/>
  <c r="AV65" i="18"/>
  <c r="AP65" i="18"/>
  <c r="AJ65" i="18"/>
  <c r="AD65" i="18"/>
  <c r="X65" i="18"/>
  <c r="O65" i="18"/>
  <c r="P65" i="18" s="1"/>
  <c r="Q65" i="18" s="1"/>
  <c r="R65" i="18" s="1"/>
  <c r="N65" i="18"/>
  <c r="L65" i="18"/>
  <c r="J65" i="18"/>
  <c r="BZ64" i="18"/>
  <c r="BT64" i="18"/>
  <c r="BN64" i="18"/>
  <c r="BH64" i="18"/>
  <c r="BB64" i="18"/>
  <c r="AV64" i="18"/>
  <c r="AP64" i="18"/>
  <c r="AJ64" i="18"/>
  <c r="AD64" i="18"/>
  <c r="X64" i="18"/>
  <c r="O64" i="18"/>
  <c r="P64" i="18" s="1"/>
  <c r="Q64" i="18" s="1"/>
  <c r="R64" i="18" s="1"/>
  <c r="N64" i="18"/>
  <c r="L64" i="18"/>
  <c r="J64" i="18"/>
  <c r="BW63" i="18"/>
  <c r="BQ63" i="18"/>
  <c r="BK63" i="18"/>
  <c r="BE63" i="18"/>
  <c r="AY63" i="18"/>
  <c r="AS63" i="18"/>
  <c r="AM63" i="18"/>
  <c r="AG63" i="18"/>
  <c r="AA63" i="18"/>
  <c r="U63" i="18"/>
  <c r="J63" i="18"/>
  <c r="BZ62" i="18"/>
  <c r="BT62" i="18"/>
  <c r="BN62" i="18"/>
  <c r="BH62" i="18"/>
  <c r="BB62" i="18"/>
  <c r="AV62" i="18"/>
  <c r="AP62" i="18"/>
  <c r="AJ62" i="18"/>
  <c r="AD62" i="18"/>
  <c r="X62" i="18"/>
  <c r="O62" i="18"/>
  <c r="P62" i="18" s="1"/>
  <c r="Q62" i="18" s="1"/>
  <c r="R62" i="18" s="1"/>
  <c r="N62" i="18"/>
  <c r="L62" i="18"/>
  <c r="J62" i="18"/>
  <c r="BZ61" i="18"/>
  <c r="BT61" i="18"/>
  <c r="BN61" i="18"/>
  <c r="BH61" i="18"/>
  <c r="BB61" i="18"/>
  <c r="AV61" i="18"/>
  <c r="AP61" i="18"/>
  <c r="AJ61" i="18"/>
  <c r="AD61" i="18"/>
  <c r="X61" i="18"/>
  <c r="O61" i="18"/>
  <c r="P61" i="18" s="1"/>
  <c r="Q61" i="18" s="1"/>
  <c r="R61" i="18" s="1"/>
  <c r="N61" i="18"/>
  <c r="L61" i="18"/>
  <c r="J61" i="18"/>
  <c r="BZ60" i="18"/>
  <c r="BT60" i="18"/>
  <c r="BN60" i="18"/>
  <c r="BH60" i="18"/>
  <c r="BB60" i="18"/>
  <c r="AV60" i="18"/>
  <c r="AP60" i="18"/>
  <c r="AJ60" i="18"/>
  <c r="AD60" i="18"/>
  <c r="X60" i="18"/>
  <c r="O60" i="18"/>
  <c r="P60" i="18" s="1"/>
  <c r="Q60" i="18" s="1"/>
  <c r="R60" i="18" s="1"/>
  <c r="N60" i="18"/>
  <c r="L60" i="18"/>
  <c r="J60" i="18"/>
  <c r="BZ59" i="18"/>
  <c r="BT59" i="18"/>
  <c r="BN59" i="18"/>
  <c r="BH59" i="18"/>
  <c r="BB59" i="18"/>
  <c r="AV59" i="18"/>
  <c r="AP59" i="18"/>
  <c r="AJ59" i="18"/>
  <c r="AD59" i="18"/>
  <c r="X59" i="18"/>
  <c r="O59" i="18"/>
  <c r="P59" i="18" s="1"/>
  <c r="Q59" i="18" s="1"/>
  <c r="R59" i="18" s="1"/>
  <c r="N59" i="18"/>
  <c r="L59" i="18"/>
  <c r="J59" i="18"/>
  <c r="BZ58" i="18"/>
  <c r="BT58" i="18"/>
  <c r="BN58" i="18"/>
  <c r="BH58" i="18"/>
  <c r="BB58" i="18"/>
  <c r="AV58" i="18"/>
  <c r="AP58" i="18"/>
  <c r="AJ58" i="18"/>
  <c r="AD58" i="18"/>
  <c r="X58" i="18"/>
  <c r="O58" i="18"/>
  <c r="P58" i="18" s="1"/>
  <c r="Q58" i="18" s="1"/>
  <c r="R58" i="18" s="1"/>
  <c r="N58" i="18"/>
  <c r="L58" i="18"/>
  <c r="J58" i="18"/>
  <c r="BW57" i="18"/>
  <c r="BQ57" i="18"/>
  <c r="BK57" i="18"/>
  <c r="BE57" i="18"/>
  <c r="AY57" i="18"/>
  <c r="AS57" i="18"/>
  <c r="AM57" i="18"/>
  <c r="AG57" i="18"/>
  <c r="AA57" i="18"/>
  <c r="U57" i="18"/>
  <c r="J57" i="18"/>
  <c r="BZ56" i="18"/>
  <c r="BT56" i="18"/>
  <c r="BN56" i="18"/>
  <c r="BH56" i="18"/>
  <c r="BB56" i="18"/>
  <c r="AV56" i="18"/>
  <c r="AP56" i="18"/>
  <c r="AJ56" i="18"/>
  <c r="AD56" i="18"/>
  <c r="X56" i="18"/>
  <c r="O56" i="18"/>
  <c r="P56" i="18" s="1"/>
  <c r="Q56" i="18" s="1"/>
  <c r="R56" i="18" s="1"/>
  <c r="N56" i="18"/>
  <c r="L56" i="18"/>
  <c r="J56" i="18"/>
  <c r="BZ55" i="18"/>
  <c r="BT55" i="18"/>
  <c r="BN55" i="18"/>
  <c r="BH55" i="18"/>
  <c r="BB55" i="18"/>
  <c r="AV55" i="18"/>
  <c r="AP55" i="18"/>
  <c r="AJ55" i="18"/>
  <c r="AD55" i="18"/>
  <c r="X55" i="18"/>
  <c r="O55" i="18"/>
  <c r="P55" i="18" s="1"/>
  <c r="Q55" i="18" s="1"/>
  <c r="R55" i="18" s="1"/>
  <c r="N55" i="18"/>
  <c r="L55" i="18"/>
  <c r="J55" i="18"/>
  <c r="BZ54" i="18"/>
  <c r="BT54" i="18"/>
  <c r="BN54" i="18"/>
  <c r="BH54" i="18"/>
  <c r="BB54" i="18"/>
  <c r="AV54" i="18"/>
  <c r="AP54" i="18"/>
  <c r="AJ54" i="18"/>
  <c r="AD54" i="18"/>
  <c r="X54" i="18"/>
  <c r="O54" i="18"/>
  <c r="P54" i="18" s="1"/>
  <c r="Q54" i="18" s="1"/>
  <c r="R54" i="18" s="1"/>
  <c r="N54" i="18"/>
  <c r="L54" i="18"/>
  <c r="J54" i="18"/>
  <c r="BZ53" i="18"/>
  <c r="BT53" i="18"/>
  <c r="BN53" i="18"/>
  <c r="BH53" i="18"/>
  <c r="BB53" i="18"/>
  <c r="AV53" i="18"/>
  <c r="AP53" i="18"/>
  <c r="AJ53" i="18"/>
  <c r="AD53" i="18"/>
  <c r="X53" i="18"/>
  <c r="O53" i="18"/>
  <c r="P53" i="18" s="1"/>
  <c r="Q53" i="18" s="1"/>
  <c r="R53" i="18" s="1"/>
  <c r="N53" i="18"/>
  <c r="L53" i="18"/>
  <c r="J53" i="18"/>
  <c r="BW52" i="18"/>
  <c r="BQ52" i="18"/>
  <c r="BK52" i="18"/>
  <c r="BE52" i="18"/>
  <c r="AY52" i="18"/>
  <c r="AS52" i="18"/>
  <c r="AM52" i="18"/>
  <c r="AG52" i="18"/>
  <c r="AA52" i="18"/>
  <c r="U52" i="18"/>
  <c r="J52" i="18"/>
  <c r="BZ51" i="18"/>
  <c r="BT51" i="18"/>
  <c r="BN51" i="18"/>
  <c r="BH51" i="18"/>
  <c r="BB51" i="18"/>
  <c r="AV51" i="18"/>
  <c r="AP51" i="18"/>
  <c r="AJ51" i="18"/>
  <c r="AD51" i="18"/>
  <c r="X51" i="18"/>
  <c r="O51" i="18"/>
  <c r="P51" i="18" s="1"/>
  <c r="Q51" i="18" s="1"/>
  <c r="R51" i="18" s="1"/>
  <c r="N51" i="18"/>
  <c r="L51" i="18"/>
  <c r="J51" i="18"/>
  <c r="BZ50" i="18"/>
  <c r="BT50" i="18"/>
  <c r="BN50" i="18"/>
  <c r="BH50" i="18"/>
  <c r="BB50" i="18"/>
  <c r="AV50" i="18"/>
  <c r="AP50" i="18"/>
  <c r="AJ50" i="18"/>
  <c r="AD50" i="18"/>
  <c r="X50" i="18"/>
  <c r="O50" i="18"/>
  <c r="P50" i="18" s="1"/>
  <c r="Q50" i="18" s="1"/>
  <c r="R50" i="18" s="1"/>
  <c r="N50" i="18"/>
  <c r="L50" i="18"/>
  <c r="J50" i="18"/>
  <c r="BZ49" i="18"/>
  <c r="BT49" i="18"/>
  <c r="BN49" i="18"/>
  <c r="BH49" i="18"/>
  <c r="BB49" i="18"/>
  <c r="AV49" i="18"/>
  <c r="AP49" i="18"/>
  <c r="AJ49" i="18"/>
  <c r="AD49" i="18"/>
  <c r="X49" i="18"/>
  <c r="O49" i="18"/>
  <c r="P49" i="18" s="1"/>
  <c r="Q49" i="18" s="1"/>
  <c r="R49" i="18" s="1"/>
  <c r="N49" i="18"/>
  <c r="L49" i="18"/>
  <c r="J49" i="18"/>
  <c r="BW48" i="18"/>
  <c r="BQ48" i="18"/>
  <c r="BK48" i="18"/>
  <c r="BE48" i="18"/>
  <c r="AY48" i="18"/>
  <c r="AS48" i="18"/>
  <c r="AM48" i="18"/>
  <c r="AG48" i="18"/>
  <c r="AA48" i="18"/>
  <c r="U48" i="18"/>
  <c r="J48" i="18"/>
  <c r="BZ47" i="18"/>
  <c r="BT47" i="18"/>
  <c r="BN47" i="18"/>
  <c r="BH47" i="18"/>
  <c r="BB47" i="18"/>
  <c r="AV47" i="18"/>
  <c r="AP47" i="18"/>
  <c r="AJ47" i="18"/>
  <c r="AD47" i="18"/>
  <c r="X47" i="18"/>
  <c r="O47" i="18"/>
  <c r="P47" i="18" s="1"/>
  <c r="Q47" i="18" s="1"/>
  <c r="R47" i="18" s="1"/>
  <c r="N47" i="18"/>
  <c r="L47" i="18"/>
  <c r="J47" i="18"/>
  <c r="BZ46" i="18"/>
  <c r="BT46" i="18"/>
  <c r="BN46" i="18"/>
  <c r="BH46" i="18"/>
  <c r="BB46" i="18"/>
  <c r="AV46" i="18"/>
  <c r="AP46" i="18"/>
  <c r="AJ46" i="18"/>
  <c r="AD46" i="18"/>
  <c r="X46" i="18"/>
  <c r="O46" i="18"/>
  <c r="P46" i="18" s="1"/>
  <c r="Q46" i="18" s="1"/>
  <c r="R46" i="18" s="1"/>
  <c r="N46" i="18"/>
  <c r="L46" i="18"/>
  <c r="J46" i="18"/>
  <c r="BW45" i="18"/>
  <c r="BQ45" i="18"/>
  <c r="BK45" i="18"/>
  <c r="BE45" i="18"/>
  <c r="AY45" i="18"/>
  <c r="AS45" i="18"/>
  <c r="AM45" i="18"/>
  <c r="AG45" i="18"/>
  <c r="AA45" i="18"/>
  <c r="U45" i="18"/>
  <c r="J45" i="18"/>
  <c r="BZ44" i="18"/>
  <c r="BT44" i="18"/>
  <c r="BN44" i="18"/>
  <c r="BH44" i="18"/>
  <c r="BB44" i="18"/>
  <c r="AV44" i="18"/>
  <c r="AP44" i="18"/>
  <c r="AJ44" i="18"/>
  <c r="AD44" i="18"/>
  <c r="X44" i="18"/>
  <c r="O44" i="18"/>
  <c r="P44" i="18" s="1"/>
  <c r="Q44" i="18" s="1"/>
  <c r="R44" i="18" s="1"/>
  <c r="N44" i="18"/>
  <c r="L44" i="18"/>
  <c r="J44" i="18"/>
  <c r="BZ43" i="18"/>
  <c r="BW43" i="18"/>
  <c r="BT43" i="18"/>
  <c r="BQ43" i="18"/>
  <c r="BN43" i="18"/>
  <c r="BK43" i="18"/>
  <c r="BH43" i="18"/>
  <c r="BE43" i="18"/>
  <c r="BB43" i="18"/>
  <c r="AY43" i="18"/>
  <c r="AV43" i="18"/>
  <c r="AS43" i="18"/>
  <c r="AP43" i="18"/>
  <c r="AM43" i="18"/>
  <c r="AJ43" i="18"/>
  <c r="AG43" i="18"/>
  <c r="AD43" i="18"/>
  <c r="AA43" i="18"/>
  <c r="X43" i="18"/>
  <c r="U43" i="18"/>
  <c r="L43" i="18"/>
  <c r="J43" i="18"/>
  <c r="BZ42" i="18"/>
  <c r="BT42" i="18"/>
  <c r="BN42" i="18"/>
  <c r="BH42" i="18"/>
  <c r="BB42" i="18"/>
  <c r="AV42" i="18"/>
  <c r="AP42" i="18"/>
  <c r="AJ42" i="18"/>
  <c r="AD42" i="18"/>
  <c r="X42" i="18"/>
  <c r="O42" i="18"/>
  <c r="P42" i="18" s="1"/>
  <c r="Q42" i="18" s="1"/>
  <c r="R42" i="18" s="1"/>
  <c r="N42" i="18"/>
  <c r="L42" i="18"/>
  <c r="J42" i="18"/>
  <c r="BZ41" i="18"/>
  <c r="BW41" i="18"/>
  <c r="BT41" i="18"/>
  <c r="BQ41" i="18"/>
  <c r="BN41" i="18"/>
  <c r="BK41" i="18"/>
  <c r="BH41" i="18"/>
  <c r="BE41" i="18"/>
  <c r="BB41" i="18"/>
  <c r="AY41" i="18"/>
  <c r="AV41" i="18"/>
  <c r="AS41" i="18"/>
  <c r="AP41" i="18"/>
  <c r="AM41" i="18"/>
  <c r="AJ41" i="18"/>
  <c r="AG41" i="18"/>
  <c r="AD41" i="18"/>
  <c r="AA41" i="18"/>
  <c r="X41" i="18"/>
  <c r="U41" i="18"/>
  <c r="L41" i="18"/>
  <c r="J41" i="18"/>
  <c r="BZ40" i="18"/>
  <c r="BT40" i="18"/>
  <c r="BN40" i="18"/>
  <c r="BH40" i="18"/>
  <c r="BB40" i="18"/>
  <c r="AV40" i="18"/>
  <c r="AP40" i="18"/>
  <c r="AJ40" i="18"/>
  <c r="AD40" i="18"/>
  <c r="X40" i="18"/>
  <c r="O40" i="18"/>
  <c r="P40" i="18" s="1"/>
  <c r="Q40" i="18" s="1"/>
  <c r="R40" i="18" s="1"/>
  <c r="N40" i="18"/>
  <c r="L40" i="18"/>
  <c r="J40" i="18"/>
  <c r="BZ39" i="18"/>
  <c r="BT39" i="18"/>
  <c r="BN39" i="18"/>
  <c r="BH39" i="18"/>
  <c r="BB39" i="18"/>
  <c r="AV39" i="18"/>
  <c r="AP39" i="18"/>
  <c r="AJ39" i="18"/>
  <c r="AD39" i="18"/>
  <c r="X39" i="18"/>
  <c r="O39" i="18"/>
  <c r="P39" i="18" s="1"/>
  <c r="Q39" i="18" s="1"/>
  <c r="R39" i="18" s="1"/>
  <c r="N39" i="18"/>
  <c r="L39" i="18"/>
  <c r="J39" i="18"/>
  <c r="BW38" i="18"/>
  <c r="BQ38" i="18"/>
  <c r="BK38" i="18"/>
  <c r="BE38" i="18"/>
  <c r="AY38" i="18"/>
  <c r="AS38" i="18"/>
  <c r="AM38" i="18"/>
  <c r="AG38" i="18"/>
  <c r="AA38" i="18"/>
  <c r="U38" i="18"/>
  <c r="J38" i="18"/>
  <c r="BZ37" i="18"/>
  <c r="BT37" i="18"/>
  <c r="BN37" i="18"/>
  <c r="BH37" i="18"/>
  <c r="BB37" i="18"/>
  <c r="AV37" i="18"/>
  <c r="AP37" i="18"/>
  <c r="AJ37" i="18"/>
  <c r="AD37" i="18"/>
  <c r="X37" i="18"/>
  <c r="O37" i="18"/>
  <c r="P37" i="18" s="1"/>
  <c r="Q37" i="18" s="1"/>
  <c r="R37" i="18" s="1"/>
  <c r="N37" i="18"/>
  <c r="L37" i="18"/>
  <c r="J37" i="18"/>
  <c r="BZ36" i="18"/>
  <c r="BT36" i="18"/>
  <c r="BN36" i="18"/>
  <c r="BH36" i="18"/>
  <c r="BB36" i="18"/>
  <c r="AV36" i="18"/>
  <c r="AP36" i="18"/>
  <c r="AJ36" i="18"/>
  <c r="AD36" i="18"/>
  <c r="X36" i="18"/>
  <c r="O36" i="18"/>
  <c r="P36" i="18" s="1"/>
  <c r="Q36" i="18" s="1"/>
  <c r="R36" i="18" s="1"/>
  <c r="N36" i="18"/>
  <c r="L36" i="18"/>
  <c r="J36" i="18"/>
  <c r="BW35" i="18"/>
  <c r="BQ35" i="18"/>
  <c r="BK35" i="18"/>
  <c r="BE35" i="18"/>
  <c r="AY35" i="18"/>
  <c r="AS35" i="18"/>
  <c r="AM35" i="18"/>
  <c r="AG35" i="18"/>
  <c r="AA35" i="18"/>
  <c r="U35" i="18"/>
  <c r="J35" i="18"/>
  <c r="BZ34" i="18"/>
  <c r="BW34" i="18"/>
  <c r="BT34" i="18"/>
  <c r="BQ34" i="18"/>
  <c r="BN34" i="18"/>
  <c r="BK34" i="18"/>
  <c r="BH34" i="18"/>
  <c r="BE34" i="18"/>
  <c r="BB34" i="18"/>
  <c r="AY34" i="18"/>
  <c r="AV34" i="18"/>
  <c r="AS34" i="18"/>
  <c r="AP34" i="18"/>
  <c r="AM34" i="18"/>
  <c r="AJ34" i="18"/>
  <c r="AG34" i="18"/>
  <c r="AD34" i="18"/>
  <c r="AA34" i="18"/>
  <c r="X34" i="18"/>
  <c r="U34" i="18"/>
  <c r="BZ33" i="18"/>
  <c r="BT33" i="18"/>
  <c r="BN33" i="18"/>
  <c r="BH33" i="18"/>
  <c r="BB33" i="18"/>
  <c r="AV33" i="18"/>
  <c r="AP33" i="18"/>
  <c r="AJ33" i="18"/>
  <c r="AD33" i="18"/>
  <c r="X33" i="18"/>
  <c r="O33" i="18"/>
  <c r="P33" i="18" s="1"/>
  <c r="Q33" i="18" s="1"/>
  <c r="R33" i="18" s="1"/>
  <c r="N33" i="18"/>
  <c r="L33" i="18"/>
  <c r="J33" i="18"/>
  <c r="BZ32" i="18"/>
  <c r="BW32" i="18"/>
  <c r="BT32" i="18"/>
  <c r="BQ32" i="18"/>
  <c r="BN32" i="18"/>
  <c r="BK32" i="18"/>
  <c r="BH32" i="18"/>
  <c r="BE32" i="18"/>
  <c r="BB32" i="18"/>
  <c r="AY32" i="18"/>
  <c r="AV32" i="18"/>
  <c r="AS32" i="18"/>
  <c r="AP32" i="18"/>
  <c r="AM32" i="18"/>
  <c r="AJ32" i="18"/>
  <c r="AG32" i="18"/>
  <c r="AD32" i="18"/>
  <c r="AA32" i="18"/>
  <c r="X32" i="18"/>
  <c r="U32" i="18"/>
  <c r="L32" i="18"/>
  <c r="J32" i="18"/>
  <c r="BZ31" i="18"/>
  <c r="BT31" i="18"/>
  <c r="BN31" i="18"/>
  <c r="BH31" i="18"/>
  <c r="BB31" i="18"/>
  <c r="AV31" i="18"/>
  <c r="AJ31" i="18"/>
  <c r="AD31" i="18"/>
  <c r="X31" i="18"/>
  <c r="O31" i="18"/>
  <c r="P31" i="18" s="1"/>
  <c r="Q31" i="18" s="1"/>
  <c r="R31" i="18" s="1"/>
  <c r="N31" i="18"/>
  <c r="L31" i="18"/>
  <c r="J31" i="18"/>
  <c r="BZ30" i="18"/>
  <c r="BW30" i="18"/>
  <c r="BT30" i="18"/>
  <c r="BQ30" i="18"/>
  <c r="BN30" i="18"/>
  <c r="BK30" i="18"/>
  <c r="BH30" i="18"/>
  <c r="BE30" i="18"/>
  <c r="BB30" i="18"/>
  <c r="AY30" i="18"/>
  <c r="AV30" i="18"/>
  <c r="AS30" i="18"/>
  <c r="AP30" i="18"/>
  <c r="AM30" i="18"/>
  <c r="AJ30" i="18"/>
  <c r="AG30" i="18"/>
  <c r="AA30" i="18"/>
  <c r="X30" i="18"/>
  <c r="U30" i="18"/>
  <c r="L30" i="18"/>
  <c r="J30" i="18"/>
  <c r="BZ29" i="18"/>
  <c r="BT29" i="18"/>
  <c r="BN29" i="18"/>
  <c r="BH29" i="18"/>
  <c r="BB29" i="18"/>
  <c r="AV29" i="18"/>
  <c r="AP29" i="18"/>
  <c r="AJ29" i="18"/>
  <c r="AD29" i="18"/>
  <c r="X29" i="18"/>
  <c r="O29" i="18"/>
  <c r="P29" i="18" s="1"/>
  <c r="Q29" i="18" s="1"/>
  <c r="R29" i="18" s="1"/>
  <c r="L29" i="18"/>
  <c r="J29" i="18"/>
  <c r="BZ28" i="18"/>
  <c r="BW28" i="18"/>
  <c r="BT28" i="18"/>
  <c r="BQ28" i="18"/>
  <c r="BN28" i="18"/>
  <c r="BK28" i="18"/>
  <c r="BH28" i="18"/>
  <c r="BE28" i="18"/>
  <c r="BB28" i="18"/>
  <c r="AY28" i="18"/>
  <c r="AV28" i="18"/>
  <c r="AS28" i="18"/>
  <c r="AP28" i="18"/>
  <c r="AM28" i="18"/>
  <c r="AJ28" i="18"/>
  <c r="AG28" i="18"/>
  <c r="AD28" i="18"/>
  <c r="AA28" i="18"/>
  <c r="X28" i="18"/>
  <c r="U28" i="18"/>
  <c r="L28" i="18"/>
  <c r="J28" i="18"/>
  <c r="BZ27" i="18"/>
  <c r="BT27" i="18"/>
  <c r="BN27" i="18"/>
  <c r="BH27" i="18"/>
  <c r="BB27" i="18"/>
  <c r="AV27" i="18"/>
  <c r="AP27" i="18"/>
  <c r="AJ27" i="18"/>
  <c r="AD27" i="18"/>
  <c r="X27" i="18"/>
  <c r="O27" i="18"/>
  <c r="P27" i="18" s="1"/>
  <c r="Q27" i="18" s="1"/>
  <c r="R27" i="18" s="1"/>
  <c r="N27" i="18"/>
  <c r="L27" i="18"/>
  <c r="J27" i="18"/>
  <c r="BZ26" i="18"/>
  <c r="BT26" i="18"/>
  <c r="BN26" i="18"/>
  <c r="BH26" i="18"/>
  <c r="BB26" i="18"/>
  <c r="AV26" i="18"/>
  <c r="AP26" i="18"/>
  <c r="AJ26" i="18"/>
  <c r="AD26" i="18"/>
  <c r="X26" i="18"/>
  <c r="O26" i="18"/>
  <c r="P26" i="18" s="1"/>
  <c r="Q26" i="18" s="1"/>
  <c r="R26" i="18" s="1"/>
  <c r="N26" i="18"/>
  <c r="L26" i="18"/>
  <c r="J26" i="18"/>
  <c r="BW25" i="18"/>
  <c r="BQ25" i="18"/>
  <c r="BK25" i="18"/>
  <c r="BE25" i="18"/>
  <c r="AY25" i="18"/>
  <c r="AS25" i="18"/>
  <c r="AM25" i="18"/>
  <c r="AG25" i="18"/>
  <c r="AA25" i="18"/>
  <c r="U25" i="18"/>
  <c r="J25" i="18"/>
  <c r="BZ24" i="18"/>
  <c r="BT24" i="18"/>
  <c r="BN24" i="18"/>
  <c r="BH24" i="18"/>
  <c r="BB24" i="18"/>
  <c r="AV24" i="18"/>
  <c r="AP24" i="18"/>
  <c r="AJ24" i="18"/>
  <c r="AD24" i="18"/>
  <c r="X24" i="18"/>
  <c r="O24" i="18"/>
  <c r="P24" i="18" s="1"/>
  <c r="Q24" i="18" s="1"/>
  <c r="R24" i="18" s="1"/>
  <c r="N24" i="18"/>
  <c r="L24" i="18"/>
  <c r="J24" i="18"/>
  <c r="BZ23" i="18"/>
  <c r="BT23" i="18"/>
  <c r="BN23" i="18"/>
  <c r="BH23" i="18"/>
  <c r="BB23" i="18"/>
  <c r="AV23" i="18"/>
  <c r="AP23" i="18"/>
  <c r="AJ23" i="18"/>
  <c r="AD23" i="18"/>
  <c r="X23" i="18"/>
  <c r="O23" i="18"/>
  <c r="P23" i="18" s="1"/>
  <c r="Q23" i="18" s="1"/>
  <c r="R23" i="18" s="1"/>
  <c r="N23" i="18"/>
  <c r="L23" i="18"/>
  <c r="J23" i="18"/>
  <c r="BW22" i="18"/>
  <c r="BQ22" i="18"/>
  <c r="BK22" i="18"/>
  <c r="BE22" i="18"/>
  <c r="AY22" i="18"/>
  <c r="AS22" i="18"/>
  <c r="AM22" i="18"/>
  <c r="AG22" i="18"/>
  <c r="AA22" i="18"/>
  <c r="U22" i="18"/>
  <c r="J22" i="18"/>
  <c r="BZ21" i="18"/>
  <c r="BT21" i="18"/>
  <c r="BN21" i="18"/>
  <c r="BH21" i="18"/>
  <c r="BB21" i="18"/>
  <c r="AV21" i="18"/>
  <c r="AP21" i="18"/>
  <c r="AJ21" i="18"/>
  <c r="AD21" i="18"/>
  <c r="X21" i="18"/>
  <c r="O21" i="18"/>
  <c r="P21" i="18" s="1"/>
  <c r="Q21" i="18" s="1"/>
  <c r="R21" i="18" s="1"/>
  <c r="N21" i="18"/>
  <c r="L21" i="18"/>
  <c r="J21" i="18"/>
  <c r="BZ20" i="18"/>
  <c r="BT20" i="18"/>
  <c r="BN20" i="18"/>
  <c r="BH20" i="18"/>
  <c r="BB20" i="18"/>
  <c r="AV20" i="18"/>
  <c r="AP20" i="18"/>
  <c r="AJ20" i="18"/>
  <c r="AD20" i="18"/>
  <c r="X20" i="18"/>
  <c r="O20" i="18"/>
  <c r="P20" i="18" s="1"/>
  <c r="Q20" i="18" s="1"/>
  <c r="R20" i="18" s="1"/>
  <c r="N20" i="18"/>
  <c r="L20" i="18"/>
  <c r="J20" i="18"/>
  <c r="BW19" i="18"/>
  <c r="BQ19" i="18"/>
  <c r="BK19" i="18"/>
  <c r="BE19" i="18"/>
  <c r="AY19" i="18"/>
  <c r="AS19" i="18"/>
  <c r="AP19" i="18"/>
  <c r="AM19" i="18"/>
  <c r="AG19" i="18"/>
  <c r="AA19" i="18"/>
  <c r="U19" i="18"/>
  <c r="J19" i="18"/>
  <c r="BZ18" i="18"/>
  <c r="BT18" i="18"/>
  <c r="BN18" i="18"/>
  <c r="BB18" i="18"/>
  <c r="AV18" i="18"/>
  <c r="AP18" i="18"/>
  <c r="AJ18" i="18"/>
  <c r="AD18" i="18"/>
  <c r="X18" i="18"/>
  <c r="O18" i="18"/>
  <c r="P18" i="18" s="1"/>
  <c r="Q18" i="18" s="1"/>
  <c r="R18" i="18" s="1"/>
  <c r="N18" i="18"/>
  <c r="L18" i="18"/>
  <c r="J18" i="18"/>
  <c r="BZ17" i="18"/>
  <c r="BT17" i="18"/>
  <c r="BN17" i="18"/>
  <c r="BH17" i="18"/>
  <c r="BB17" i="18"/>
  <c r="AV17" i="18"/>
  <c r="AP17" i="18"/>
  <c r="AJ17" i="18"/>
  <c r="AD17" i="18"/>
  <c r="X17" i="18"/>
  <c r="O17" i="18"/>
  <c r="P17" i="18" s="1"/>
  <c r="Q17" i="18" s="1"/>
  <c r="R17" i="18" s="1"/>
  <c r="N17" i="18"/>
  <c r="L17" i="18"/>
  <c r="J17" i="18"/>
  <c r="BW16" i="18"/>
  <c r="BQ16" i="18"/>
  <c r="BK16" i="18"/>
  <c r="BE16" i="18"/>
  <c r="AY16" i="18"/>
  <c r="AS16" i="18"/>
  <c r="AM16" i="18"/>
  <c r="AG16" i="18"/>
  <c r="AA16" i="18"/>
  <c r="U16" i="18"/>
  <c r="J16" i="18"/>
  <c r="BZ15" i="18"/>
  <c r="BT15" i="18"/>
  <c r="BN15" i="18"/>
  <c r="BH15" i="18"/>
  <c r="BB15" i="18"/>
  <c r="AV15" i="18"/>
  <c r="AP15" i="18"/>
  <c r="AJ15" i="18"/>
  <c r="AD15" i="18"/>
  <c r="X15" i="18"/>
  <c r="M15" i="18"/>
  <c r="K15" i="18"/>
  <c r="BZ14" i="18"/>
  <c r="BW14" i="18"/>
  <c r="BT14" i="18"/>
  <c r="BQ14" i="18"/>
  <c r="BN14" i="18"/>
  <c r="BK14" i="18"/>
  <c r="BH14" i="18"/>
  <c r="BE14" i="18"/>
  <c r="BB14" i="18"/>
  <c r="AY14" i="18"/>
  <c r="AV14" i="18"/>
  <c r="AS14" i="18"/>
  <c r="AP14" i="18"/>
  <c r="AM14" i="18"/>
  <c r="AJ14" i="18"/>
  <c r="AG14" i="18"/>
  <c r="AD14" i="18"/>
  <c r="AA14" i="18"/>
  <c r="X14" i="18"/>
  <c r="U14" i="18"/>
  <c r="M14" i="18"/>
  <c r="O14" i="18" s="1"/>
  <c r="P14" i="18" s="1"/>
  <c r="Q14" i="18" s="1"/>
  <c r="R14" i="18" s="1"/>
  <c r="L14" i="18"/>
  <c r="J14" i="18"/>
  <c r="BZ13" i="18"/>
  <c r="BT13" i="18"/>
  <c r="BN13" i="18"/>
  <c r="BH13" i="18"/>
  <c r="BB13" i="18"/>
  <c r="AV13" i="18"/>
  <c r="AP13" i="18"/>
  <c r="AJ13" i="18"/>
  <c r="AD13" i="18"/>
  <c r="X13" i="18"/>
  <c r="O13" i="18"/>
  <c r="P13" i="18" s="1"/>
  <c r="Q13" i="18" s="1"/>
  <c r="R13" i="18" s="1"/>
  <c r="N13" i="18"/>
  <c r="L13" i="18"/>
  <c r="J13" i="18"/>
  <c r="BZ12" i="18"/>
  <c r="BT12" i="18"/>
  <c r="BN12" i="18"/>
  <c r="BH12" i="18"/>
  <c r="BB12" i="18"/>
  <c r="AV12" i="18"/>
  <c r="AP12" i="18"/>
  <c r="AJ12" i="18"/>
  <c r="AD12" i="18"/>
  <c r="X12" i="18"/>
  <c r="O12" i="18"/>
  <c r="P12" i="18" s="1"/>
  <c r="Q12" i="18" s="1"/>
  <c r="R12" i="18" s="1"/>
  <c r="N12" i="18"/>
  <c r="L12" i="18"/>
  <c r="J12" i="18"/>
  <c r="BZ11" i="18"/>
  <c r="BT11" i="18"/>
  <c r="BN11" i="18"/>
  <c r="BH11" i="18"/>
  <c r="BB11" i="18"/>
  <c r="AV11" i="18"/>
  <c r="AP11" i="18"/>
  <c r="AJ11" i="18"/>
  <c r="AD11" i="18"/>
  <c r="X11" i="18"/>
  <c r="O11" i="18"/>
  <c r="P11" i="18" s="1"/>
  <c r="Q11" i="18" s="1"/>
  <c r="R11" i="18" s="1"/>
  <c r="N11" i="18"/>
  <c r="L11" i="18"/>
  <c r="J11" i="18"/>
  <c r="BW10" i="18"/>
  <c r="BQ10" i="18"/>
  <c r="BK10" i="18"/>
  <c r="BE10" i="18"/>
  <c r="AY10" i="18"/>
  <c r="AS10" i="18"/>
  <c r="AM10" i="18"/>
  <c r="AG10" i="18"/>
  <c r="AA10" i="18"/>
  <c r="U10" i="18"/>
  <c r="J10" i="18"/>
  <c r="BZ9" i="18"/>
  <c r="BT9" i="18"/>
  <c r="BN9" i="18"/>
  <c r="BH9" i="18"/>
  <c r="BB9" i="18"/>
  <c r="AV9" i="18"/>
  <c r="AP9" i="18"/>
  <c r="AJ9" i="18"/>
  <c r="AD9" i="18"/>
  <c r="X9" i="18"/>
  <c r="O9" i="18"/>
  <c r="P9" i="18" s="1"/>
  <c r="Q9" i="18" s="1"/>
  <c r="R9" i="18" s="1"/>
  <c r="N9" i="18"/>
  <c r="L9" i="18"/>
  <c r="J9" i="18"/>
  <c r="BZ8" i="18"/>
  <c r="BT8" i="18"/>
  <c r="BN8" i="18"/>
  <c r="BH8" i="18"/>
  <c r="BB8" i="18"/>
  <c r="AV8" i="18"/>
  <c r="AP8" i="18"/>
  <c r="AJ8" i="18"/>
  <c r="AD8" i="18"/>
  <c r="X8" i="18"/>
  <c r="O8" i="18"/>
  <c r="P8" i="18" s="1"/>
  <c r="Q8" i="18" s="1"/>
  <c r="R8" i="18" s="1"/>
  <c r="N8" i="18"/>
  <c r="L8" i="18"/>
  <c r="J8" i="18"/>
  <c r="BW7" i="18"/>
  <c r="BQ7" i="18"/>
  <c r="BK7" i="18"/>
  <c r="BE7" i="18"/>
  <c r="AY7" i="18"/>
  <c r="AS7" i="18"/>
  <c r="AM7" i="18"/>
  <c r="AG7" i="18"/>
  <c r="AA7" i="18"/>
  <c r="U7" i="18"/>
  <c r="J7" i="18"/>
  <c r="BZ6" i="18"/>
  <c r="BT6" i="18"/>
  <c r="BN6" i="18"/>
  <c r="BH6" i="18"/>
  <c r="BB6" i="18"/>
  <c r="AV6" i="18"/>
  <c r="AP6" i="18"/>
  <c r="AJ6" i="18"/>
  <c r="AD6" i="18"/>
  <c r="X6" i="18"/>
  <c r="O6" i="18"/>
  <c r="P6" i="18" s="1"/>
  <c r="Q6" i="18" s="1"/>
  <c r="R6" i="18" s="1"/>
  <c r="N6" i="18"/>
  <c r="L6" i="18"/>
  <c r="J6" i="18"/>
  <c r="BZ5" i="18"/>
  <c r="BT5" i="18"/>
  <c r="BN5" i="18"/>
  <c r="BH5" i="18"/>
  <c r="BB5" i="18"/>
  <c r="AV5" i="18"/>
  <c r="AP5" i="18"/>
  <c r="AJ5" i="18"/>
  <c r="AD5" i="18"/>
  <c r="X5" i="18"/>
  <c r="O5" i="18"/>
  <c r="P5" i="18" s="1"/>
  <c r="Q5" i="18" s="1"/>
  <c r="R5" i="18" s="1"/>
  <c r="N5" i="18"/>
  <c r="L5" i="18"/>
  <c r="J5" i="18"/>
  <c r="BW4" i="18"/>
  <c r="BQ4" i="18"/>
  <c r="BK4" i="18"/>
  <c r="BE4" i="18"/>
  <c r="AY4" i="18"/>
  <c r="AS4" i="18"/>
  <c r="AM4" i="18"/>
  <c r="AG4" i="18"/>
  <c r="AA4" i="18"/>
  <c r="U4" i="18"/>
  <c r="J4" i="18"/>
  <c r="BT3" i="18"/>
  <c r="AV3" i="18"/>
  <c r="BB3" i="18" s="1"/>
  <c r="W3" i="18"/>
  <c r="AC3" i="18" s="1"/>
  <c r="AI3" i="18" s="1"/>
  <c r="AO3" i="18" s="1"/>
  <c r="AU3" i="18" s="1"/>
  <c r="BA3" i="18" s="1"/>
  <c r="BG3" i="18" s="1"/>
  <c r="BM3" i="18" s="1"/>
  <c r="BS3" i="18" s="1"/>
  <c r="BY3" i="18" s="1"/>
  <c r="V3" i="18"/>
  <c r="AB3" i="18" s="1"/>
  <c r="AH3" i="18" s="1"/>
  <c r="AN3" i="18" s="1"/>
  <c r="AT3" i="18" s="1"/>
  <c r="AZ3" i="18" s="1"/>
  <c r="BF3" i="18" s="1"/>
  <c r="BL3" i="18" s="1"/>
  <c r="BR3" i="18" s="1"/>
  <c r="BX3" i="18" s="1"/>
  <c r="U3" i="18"/>
  <c r="AA3" i="18" s="1"/>
  <c r="AG3" i="18" s="1"/>
  <c r="AM3" i="18" s="1"/>
  <c r="AS3" i="18" s="1"/>
  <c r="AY3" i="18" s="1"/>
  <c r="BE3" i="18" s="1"/>
  <c r="BK3" i="18" s="1"/>
  <c r="BQ3" i="18" s="1"/>
  <c r="BW3" i="18" s="1"/>
  <c r="T3" i="18"/>
  <c r="Z3" i="18" s="1"/>
  <c r="AF3" i="18" s="1"/>
  <c r="AL3" i="18" s="1"/>
  <c r="AR3" i="18" s="1"/>
  <c r="AX3" i="18" s="1"/>
  <c r="BD3" i="18" s="1"/>
  <c r="BJ3" i="18" s="1"/>
  <c r="BP3" i="18" s="1"/>
  <c r="BV3" i="18" s="1"/>
  <c r="E147" i="24"/>
  <c r="A144" i="24"/>
  <c r="A143" i="24"/>
  <c r="E130" i="24"/>
  <c r="D130" i="24" s="1"/>
  <c r="D119" i="24"/>
  <c r="D117" i="24"/>
  <c r="D115" i="24"/>
  <c r="D113" i="24"/>
  <c r="D112" i="24"/>
  <c r="D111" i="24"/>
  <c r="D110" i="24"/>
  <c r="D109" i="24"/>
  <c r="D108" i="24"/>
  <c r="F107" i="24"/>
  <c r="D107" i="24" s="1"/>
  <c r="F106" i="24"/>
  <c r="D106" i="24" s="1"/>
  <c r="F105" i="24"/>
  <c r="D105" i="24" s="1"/>
  <c r="E93" i="24"/>
  <c r="D93" i="24" s="1"/>
  <c r="D92" i="24"/>
  <c r="D90" i="24"/>
  <c r="D89" i="24"/>
  <c r="D88" i="24"/>
  <c r="P13" i="24"/>
  <c r="N107" i="25"/>
  <c r="M107" i="25"/>
  <c r="L107" i="25"/>
  <c r="K107" i="25"/>
  <c r="J107" i="25"/>
  <c r="I107" i="25"/>
  <c r="H107" i="25"/>
  <c r="G107" i="25"/>
  <c r="F107" i="25"/>
  <c r="E107" i="25"/>
  <c r="C107" i="25"/>
  <c r="N105" i="25"/>
  <c r="M105" i="25"/>
  <c r="L105" i="25"/>
  <c r="K105" i="25"/>
  <c r="J105" i="25"/>
  <c r="I105" i="25"/>
  <c r="H105" i="25"/>
  <c r="G105" i="25"/>
  <c r="F105" i="25"/>
  <c r="E105" i="25"/>
  <c r="C105" i="25"/>
  <c r="N103" i="25"/>
  <c r="M103" i="25"/>
  <c r="L103" i="25"/>
  <c r="K103" i="25"/>
  <c r="J103" i="25"/>
  <c r="I103" i="25"/>
  <c r="H103" i="25"/>
  <c r="G103" i="25"/>
  <c r="F103" i="25"/>
  <c r="E103" i="25"/>
  <c r="C103" i="25"/>
  <c r="N101" i="25"/>
  <c r="M101" i="25"/>
  <c r="L101" i="25"/>
  <c r="K101" i="25"/>
  <c r="J101" i="25"/>
  <c r="I101" i="25"/>
  <c r="H101" i="25"/>
  <c r="G101" i="25"/>
  <c r="F101" i="25"/>
  <c r="E101" i="25"/>
  <c r="C101" i="25"/>
  <c r="N99" i="25"/>
  <c r="M99" i="25"/>
  <c r="L99" i="25"/>
  <c r="K99" i="25"/>
  <c r="J99" i="25"/>
  <c r="I99" i="25"/>
  <c r="H99" i="25"/>
  <c r="G99" i="25"/>
  <c r="F99" i="25"/>
  <c r="E99" i="25"/>
  <c r="C99" i="25"/>
  <c r="N97" i="25"/>
  <c r="M97" i="25"/>
  <c r="L97" i="25"/>
  <c r="K97" i="25"/>
  <c r="J97" i="25"/>
  <c r="I97" i="25"/>
  <c r="H97" i="25"/>
  <c r="G97" i="25"/>
  <c r="F97" i="25"/>
  <c r="E97" i="25"/>
  <c r="C97" i="25"/>
  <c r="N95" i="25"/>
  <c r="M95" i="25"/>
  <c r="L95" i="25"/>
  <c r="K95" i="25"/>
  <c r="J95" i="25"/>
  <c r="I95" i="25"/>
  <c r="H95" i="25"/>
  <c r="G95" i="25"/>
  <c r="F95" i="25"/>
  <c r="E95" i="25"/>
  <c r="C95" i="25"/>
  <c r="C93" i="25"/>
  <c r="C92" i="25"/>
  <c r="C91" i="25"/>
  <c r="C90" i="25"/>
  <c r="C89" i="25"/>
  <c r="N88" i="25"/>
  <c r="M88" i="25"/>
  <c r="L88" i="25"/>
  <c r="K88" i="25"/>
  <c r="J88" i="25"/>
  <c r="I88" i="25"/>
  <c r="H88" i="25"/>
  <c r="G88" i="25"/>
  <c r="F88" i="25"/>
  <c r="E88" i="25"/>
  <c r="C87" i="25"/>
  <c r="N86" i="25"/>
  <c r="M86" i="25"/>
  <c r="L86" i="25"/>
  <c r="K86" i="25"/>
  <c r="J86" i="25"/>
  <c r="I86" i="25"/>
  <c r="H86" i="25"/>
  <c r="G86" i="25"/>
  <c r="F86" i="25"/>
  <c r="E86" i="25"/>
  <c r="N85" i="25"/>
  <c r="M85" i="25"/>
  <c r="L85" i="25"/>
  <c r="K85" i="25"/>
  <c r="J85" i="25"/>
  <c r="I85" i="25"/>
  <c r="H85" i="25"/>
  <c r="G85" i="25"/>
  <c r="F85" i="25"/>
  <c r="E85" i="25"/>
  <c r="C84" i="25"/>
  <c r="C83" i="25"/>
  <c r="C82" i="25"/>
  <c r="N81" i="25"/>
  <c r="M81" i="25"/>
  <c r="L81" i="25"/>
  <c r="K81" i="25"/>
  <c r="J81" i="25"/>
  <c r="I81" i="25"/>
  <c r="H81" i="25"/>
  <c r="G81" i="25"/>
  <c r="F81" i="25"/>
  <c r="E81" i="25"/>
  <c r="N80" i="25"/>
  <c r="M80" i="25"/>
  <c r="L80" i="25"/>
  <c r="K80" i="25"/>
  <c r="J80" i="25"/>
  <c r="I80" i="25"/>
  <c r="H80" i="25"/>
  <c r="G80" i="25"/>
  <c r="F80" i="25"/>
  <c r="E80" i="25"/>
  <c r="C79" i="25"/>
  <c r="C78" i="25"/>
  <c r="N77" i="25"/>
  <c r="M77" i="25"/>
  <c r="L77" i="25"/>
  <c r="K77" i="25"/>
  <c r="J77" i="25"/>
  <c r="I77" i="25"/>
  <c r="H77" i="25"/>
  <c r="G77" i="25"/>
  <c r="F77" i="25"/>
  <c r="E77" i="25"/>
  <c r="N76" i="25"/>
  <c r="M76" i="25"/>
  <c r="L76" i="25"/>
  <c r="K76" i="25"/>
  <c r="J76" i="25"/>
  <c r="I76" i="25"/>
  <c r="H76" i="25"/>
  <c r="G76" i="25"/>
  <c r="F76" i="25"/>
  <c r="E76" i="25"/>
  <c r="M75" i="25"/>
  <c r="L75" i="25"/>
  <c r="G75" i="25"/>
  <c r="C75" i="25"/>
  <c r="C74" i="25"/>
  <c r="C73" i="25"/>
  <c r="C72" i="25"/>
  <c r="C71" i="25"/>
  <c r="N70" i="25"/>
  <c r="M70" i="25"/>
  <c r="L70" i="25"/>
  <c r="K70" i="25"/>
  <c r="J70" i="25"/>
  <c r="I70" i="25"/>
  <c r="H70" i="25"/>
  <c r="G70" i="25"/>
  <c r="F70" i="25"/>
  <c r="E70" i="25"/>
  <c r="N69" i="25"/>
  <c r="M69" i="25"/>
  <c r="L69" i="25"/>
  <c r="K69" i="25"/>
  <c r="J69" i="25"/>
  <c r="I69" i="25"/>
  <c r="H69" i="25"/>
  <c r="G69" i="25"/>
  <c r="F69" i="25"/>
  <c r="E69" i="25"/>
  <c r="C68" i="25"/>
  <c r="N67" i="25"/>
  <c r="M67" i="25"/>
  <c r="L67" i="25"/>
  <c r="K67" i="25"/>
  <c r="J67" i="25"/>
  <c r="I67" i="25"/>
  <c r="H67" i="25"/>
  <c r="G67" i="25"/>
  <c r="F67" i="25"/>
  <c r="E67" i="25"/>
  <c r="C67" i="25"/>
  <c r="N66" i="25"/>
  <c r="M66" i="25"/>
  <c r="L66" i="25"/>
  <c r="K66" i="25"/>
  <c r="J66" i="25"/>
  <c r="I66" i="25"/>
  <c r="H66" i="25"/>
  <c r="G66" i="25"/>
  <c r="F66" i="25"/>
  <c r="E66" i="25"/>
  <c r="C66" i="25"/>
  <c r="C65" i="25"/>
  <c r="C64" i="25"/>
  <c r="C63" i="25"/>
  <c r="C62" i="25"/>
  <c r="C61" i="25"/>
  <c r="C60" i="25"/>
  <c r="C59" i="25"/>
  <c r="C58" i="25"/>
  <c r="C57" i="25"/>
  <c r="C56" i="25"/>
  <c r="N55" i="25"/>
  <c r="M55" i="25"/>
  <c r="L55" i="25"/>
  <c r="K55" i="25"/>
  <c r="J55" i="25"/>
  <c r="I55" i="25"/>
  <c r="H55" i="25"/>
  <c r="G55" i="25"/>
  <c r="F55" i="25"/>
  <c r="E55" i="25"/>
  <c r="N54" i="25"/>
  <c r="M54" i="25"/>
  <c r="L54" i="25"/>
  <c r="K54" i="25"/>
  <c r="J54" i="25"/>
  <c r="I54" i="25"/>
  <c r="H54" i="25"/>
  <c r="G54" i="25"/>
  <c r="F54" i="25"/>
  <c r="E54" i="25"/>
  <c r="C53" i="25"/>
  <c r="N52" i="25"/>
  <c r="M52" i="25"/>
  <c r="L52" i="25"/>
  <c r="K52" i="25"/>
  <c r="J52" i="25"/>
  <c r="I52" i="25"/>
  <c r="H52" i="25"/>
  <c r="G52" i="25"/>
  <c r="F52" i="25"/>
  <c r="E52" i="25"/>
  <c r="N51" i="25"/>
  <c r="M51" i="25"/>
  <c r="L51" i="25"/>
  <c r="K51" i="25"/>
  <c r="J51" i="25"/>
  <c r="I51" i="25"/>
  <c r="H51" i="25"/>
  <c r="G51" i="25"/>
  <c r="F51" i="25"/>
  <c r="E51" i="25"/>
  <c r="C50" i="25"/>
  <c r="C49" i="25"/>
  <c r="C48" i="25"/>
  <c r="C47" i="25"/>
  <c r="C46" i="25"/>
  <c r="N45" i="25"/>
  <c r="M45" i="25"/>
  <c r="L45" i="25"/>
  <c r="K45" i="25"/>
  <c r="J45" i="25"/>
  <c r="I45" i="25"/>
  <c r="H45" i="25"/>
  <c r="G45" i="25"/>
  <c r="F45" i="25"/>
  <c r="E45" i="25"/>
  <c r="C45" i="25"/>
  <c r="C44" i="25"/>
  <c r="C43" i="25"/>
  <c r="C42" i="25"/>
  <c r="C41" i="25"/>
  <c r="C40" i="25"/>
  <c r="C39" i="25"/>
  <c r="C38" i="25"/>
  <c r="C37" i="25"/>
  <c r="C34" i="25"/>
  <c r="C33" i="25"/>
  <c r="C32" i="25"/>
  <c r="C31" i="25"/>
  <c r="C30" i="25"/>
  <c r="C29" i="25"/>
  <c r="C28" i="25"/>
  <c r="C25" i="25"/>
  <c r="C22" i="25"/>
  <c r="C21" i="25"/>
  <c r="C20" i="25"/>
  <c r="C19" i="25"/>
  <c r="C16" i="25"/>
  <c r="C13" i="25"/>
  <c r="C10" i="25"/>
  <c r="C9" i="25"/>
  <c r="C8" i="25"/>
  <c r="C7" i="25"/>
  <c r="C6" i="25"/>
  <c r="C5" i="25"/>
  <c r="C4" i="25"/>
  <c r="C3" i="25"/>
  <c r="C2" i="25"/>
  <c r="C125" i="26"/>
  <c r="C124" i="26"/>
  <c r="G123" i="26"/>
  <c r="H123" i="26" s="1"/>
  <c r="C123" i="26"/>
  <c r="G122" i="26"/>
  <c r="H122" i="26" s="1"/>
  <c r="C122" i="26"/>
  <c r="C121" i="26"/>
  <c r="H120" i="26"/>
  <c r="C120" i="26"/>
  <c r="H119" i="26"/>
  <c r="C119" i="26"/>
  <c r="C118" i="26"/>
  <c r="H117" i="26"/>
  <c r="C117" i="26"/>
  <c r="C116" i="26"/>
  <c r="H115" i="26"/>
  <c r="C115" i="26"/>
  <c r="C114" i="26"/>
  <c r="H113" i="26"/>
  <c r="C113" i="26"/>
  <c r="C112" i="26"/>
  <c r="G111" i="26"/>
  <c r="C111" i="26"/>
  <c r="C110" i="26"/>
  <c r="G109" i="26"/>
  <c r="C109" i="26"/>
  <c r="G108" i="26"/>
  <c r="C108" i="26"/>
  <c r="H107" i="26"/>
  <c r="C107" i="26"/>
  <c r="G106" i="26"/>
  <c r="C106" i="26"/>
  <c r="G105" i="26"/>
  <c r="C105" i="26"/>
  <c r="C104" i="26"/>
  <c r="H103" i="26"/>
  <c r="C103" i="26"/>
  <c r="G102" i="26"/>
  <c r="H102" i="26" s="1"/>
  <c r="C102" i="26"/>
  <c r="G101" i="26"/>
  <c r="H101" i="26" s="1"/>
  <c r="C101" i="26"/>
  <c r="C100" i="26"/>
  <c r="C99" i="26"/>
  <c r="H98" i="26"/>
  <c r="G98" i="26"/>
  <c r="C98" i="26"/>
  <c r="C97" i="26"/>
  <c r="C73" i="26"/>
  <c r="C72" i="26"/>
  <c r="C71" i="26"/>
  <c r="C70" i="26"/>
  <c r="C69" i="26"/>
  <c r="C68" i="26"/>
  <c r="C67" i="26"/>
  <c r="C66" i="26"/>
  <c r="F65" i="26"/>
  <c r="C65" i="26"/>
  <c r="F64" i="26"/>
  <c r="C64" i="26"/>
  <c r="C63" i="26"/>
  <c r="E62" i="26"/>
  <c r="C62" i="26"/>
  <c r="E61" i="26"/>
  <c r="C61" i="26"/>
  <c r="C60" i="26"/>
  <c r="C59" i="26"/>
  <c r="C58" i="26"/>
  <c r="C57" i="26"/>
  <c r="C56" i="26"/>
  <c r="E54" i="26"/>
  <c r="C54" i="26"/>
  <c r="C53" i="26"/>
  <c r="C52" i="26"/>
  <c r="E50" i="26"/>
  <c r="C50" i="26"/>
  <c r="G48" i="26"/>
  <c r="E48" i="26"/>
  <c r="C48" i="26"/>
  <c r="C47" i="26"/>
  <c r="E45" i="26"/>
  <c r="C45" i="26"/>
  <c r="E43" i="26"/>
  <c r="C43" i="26"/>
  <c r="C42" i="26"/>
  <c r="E40" i="26"/>
  <c r="C40" i="26"/>
  <c r="E38" i="26"/>
  <c r="C38" i="26"/>
  <c r="E36" i="26"/>
  <c r="C36" i="26"/>
  <c r="E35" i="26"/>
  <c r="C35" i="26"/>
  <c r="E34" i="26"/>
  <c r="C34" i="26"/>
  <c r="E32" i="26"/>
  <c r="C32" i="26"/>
  <c r="E31" i="26"/>
  <c r="C31" i="26"/>
  <c r="E30" i="26"/>
  <c r="C30" i="26"/>
  <c r="E29" i="26"/>
  <c r="C29" i="26"/>
  <c r="E28" i="26"/>
  <c r="C28" i="26"/>
  <c r="E27" i="26"/>
  <c r="C27" i="26"/>
  <c r="E25" i="26"/>
  <c r="C25" i="26"/>
  <c r="E23" i="26"/>
  <c r="C23" i="26"/>
  <c r="E21" i="26"/>
  <c r="C21" i="26"/>
  <c r="C20" i="26"/>
  <c r="C18" i="26"/>
  <c r="C17" i="26"/>
  <c r="C16" i="26"/>
  <c r="E14" i="26"/>
  <c r="C14" i="26"/>
  <c r="C13" i="26"/>
  <c r="E12" i="26"/>
  <c r="C12" i="26"/>
  <c r="C11" i="26"/>
  <c r="C10" i="26"/>
  <c r="C9" i="26"/>
  <c r="C8" i="26"/>
  <c r="C7" i="26"/>
  <c r="C81" i="27"/>
  <c r="C80" i="27"/>
  <c r="C79" i="27"/>
  <c r="C78" i="27"/>
  <c r="J77" i="27"/>
  <c r="J80" i="27" s="1"/>
  <c r="I77" i="27"/>
  <c r="I80" i="27" s="1"/>
  <c r="H77" i="27"/>
  <c r="H80" i="27" s="1"/>
  <c r="G77" i="27"/>
  <c r="G80" i="27" s="1"/>
  <c r="F77" i="27"/>
  <c r="F80" i="27" s="1"/>
  <c r="C77" i="27"/>
  <c r="C74" i="27"/>
  <c r="C73" i="27"/>
  <c r="C72" i="27"/>
  <c r="J71" i="27"/>
  <c r="I71" i="27"/>
  <c r="H71" i="27"/>
  <c r="F71" i="27"/>
  <c r="C71" i="27"/>
  <c r="C70" i="27"/>
  <c r="C69" i="27"/>
  <c r="C68" i="27"/>
  <c r="C67" i="27"/>
  <c r="C66" i="27"/>
  <c r="C65" i="27"/>
  <c r="C64" i="27"/>
  <c r="C63" i="27"/>
  <c r="C62" i="27"/>
  <c r="C61" i="27"/>
  <c r="C60" i="27"/>
  <c r="C59" i="27"/>
  <c r="C58" i="27"/>
  <c r="C57" i="27"/>
  <c r="C56" i="27"/>
  <c r="C55" i="27"/>
  <c r="C54" i="27"/>
  <c r="C53" i="27"/>
  <c r="E52" i="27"/>
  <c r="C52" i="27"/>
  <c r="C51" i="27"/>
  <c r="C50" i="27"/>
  <c r="C49" i="27"/>
  <c r="C48" i="27"/>
  <c r="C47" i="27"/>
  <c r="C46" i="27"/>
  <c r="C45" i="27"/>
  <c r="C44" i="27"/>
  <c r="C43" i="27"/>
  <c r="C42" i="27"/>
  <c r="C41" i="27"/>
  <c r="C40" i="27"/>
  <c r="C39" i="27"/>
  <c r="C37" i="27"/>
  <c r="C36" i="27"/>
  <c r="C35" i="27"/>
  <c r="C34" i="27"/>
  <c r="C33" i="27"/>
  <c r="C32" i="27"/>
  <c r="C31" i="27"/>
  <c r="C30" i="27"/>
  <c r="C29" i="27"/>
  <c r="C28" i="27"/>
  <c r="C27" i="27"/>
  <c r="C26" i="27"/>
  <c r="J25" i="27"/>
  <c r="I25" i="27"/>
  <c r="H25" i="27"/>
  <c r="G25" i="27"/>
  <c r="C25" i="27"/>
  <c r="C24" i="27"/>
  <c r="J23" i="27"/>
  <c r="I23" i="27"/>
  <c r="H23" i="27"/>
  <c r="G23" i="27"/>
  <c r="C23" i="27"/>
  <c r="C22" i="27"/>
  <c r="C21" i="27"/>
  <c r="C20" i="27"/>
  <c r="C18" i="27"/>
  <c r="C17" i="27"/>
  <c r="E16" i="27"/>
  <c r="C16" i="27"/>
  <c r="J15" i="27"/>
  <c r="I15" i="27"/>
  <c r="H15" i="27"/>
  <c r="G15" i="27"/>
  <c r="F15" i="27"/>
  <c r="C15" i="27"/>
  <c r="J14" i="27"/>
  <c r="I14" i="27"/>
  <c r="H14" i="27"/>
  <c r="G14" i="27"/>
  <c r="F14" i="27"/>
  <c r="C14" i="27"/>
  <c r="J13" i="27"/>
  <c r="I13" i="27"/>
  <c r="H13" i="27"/>
  <c r="G13" i="27"/>
  <c r="F13" i="27"/>
  <c r="C13" i="27"/>
  <c r="J12" i="27"/>
  <c r="I12" i="27"/>
  <c r="H12" i="27"/>
  <c r="G12" i="27"/>
  <c r="F12" i="27"/>
  <c r="C12" i="27"/>
  <c r="J11" i="27"/>
  <c r="I11" i="27"/>
  <c r="H11" i="27"/>
  <c r="G11" i="27"/>
  <c r="F11" i="27"/>
  <c r="C11" i="27"/>
  <c r="J10" i="27"/>
  <c r="I10" i="27"/>
  <c r="H10" i="27"/>
  <c r="G10" i="27"/>
  <c r="F10" i="27"/>
  <c r="C10" i="27"/>
  <c r="C9" i="27"/>
  <c r="C8" i="27"/>
  <c r="C6" i="27"/>
  <c r="J5" i="27"/>
  <c r="I5" i="27"/>
  <c r="H5" i="27"/>
  <c r="G5" i="27"/>
  <c r="C4" i="27"/>
  <c r="C3" i="27"/>
  <c r="C2" i="27"/>
  <c r="G2" i="33"/>
  <c r="H2" i="33" s="1"/>
  <c r="E51" i="30"/>
  <c r="F51" i="30" s="1"/>
  <c r="E50" i="30"/>
  <c r="F50" i="30" s="1"/>
  <c r="E49" i="30"/>
  <c r="F49" i="30" s="1"/>
  <c r="E48" i="30"/>
  <c r="F48" i="30" s="1"/>
  <c r="E47" i="30"/>
  <c r="F47" i="30" s="1"/>
  <c r="E46" i="30"/>
  <c r="F46" i="30" s="1"/>
  <c r="E45" i="30"/>
  <c r="F45" i="30" s="1"/>
  <c r="E42" i="30"/>
  <c r="F42" i="30" s="1"/>
  <c r="E41" i="30"/>
  <c r="F41" i="30" s="1"/>
  <c r="E40" i="30"/>
  <c r="F40" i="30" s="1"/>
  <c r="E39" i="30"/>
  <c r="F39" i="30" s="1"/>
  <c r="E37" i="30"/>
  <c r="F37" i="30" s="1"/>
  <c r="E36" i="30"/>
  <c r="F36" i="30" s="1"/>
  <c r="E32" i="30"/>
  <c r="F32" i="30" s="1"/>
  <c r="E31" i="30"/>
  <c r="F31" i="30" s="1"/>
  <c r="E30" i="30"/>
  <c r="F30" i="30" s="1"/>
  <c r="E29" i="30"/>
  <c r="F29" i="30" s="1"/>
  <c r="E28" i="30"/>
  <c r="F28" i="30" s="1"/>
  <c r="E27" i="30"/>
  <c r="F27" i="30" s="1"/>
  <c r="E26" i="30"/>
  <c r="F26" i="30" s="1"/>
  <c r="E25" i="30"/>
  <c r="F25" i="30" s="1"/>
  <c r="E22" i="30"/>
  <c r="F22" i="30" s="1"/>
  <c r="E21" i="30"/>
  <c r="F21" i="30" s="1"/>
  <c r="E19" i="30"/>
  <c r="F19" i="30" s="1"/>
  <c r="E17" i="30"/>
  <c r="F17" i="30" s="1"/>
  <c r="E16" i="30"/>
  <c r="F16" i="30" s="1"/>
  <c r="E15" i="30"/>
  <c r="F15" i="30" s="1"/>
  <c r="E12" i="30"/>
  <c r="F12" i="30" s="1"/>
  <c r="E11" i="30"/>
  <c r="F11" i="30" s="1"/>
  <c r="E9" i="30"/>
  <c r="F9" i="30" s="1"/>
  <c r="E8" i="30"/>
  <c r="F8" i="30" s="1"/>
  <c r="E7" i="30"/>
  <c r="F7" i="30" s="1"/>
  <c r="E6" i="30"/>
  <c r="F6" i="30" s="1"/>
  <c r="E5" i="30"/>
  <c r="F5" i="30" s="1"/>
  <c r="E4" i="30"/>
  <c r="F4" i="30" s="1"/>
  <c r="E2" i="30"/>
  <c r="F2" i="30" s="1"/>
  <c r="E51" i="29"/>
  <c r="F51" i="29" s="1"/>
  <c r="E50" i="29"/>
  <c r="F50" i="29" s="1"/>
  <c r="E49" i="29"/>
  <c r="F49" i="29" s="1"/>
  <c r="E48" i="29"/>
  <c r="F48" i="29" s="1"/>
  <c r="E47" i="29"/>
  <c r="F47" i="29" s="1"/>
  <c r="E46" i="29"/>
  <c r="F46" i="29" s="1"/>
  <c r="E45" i="29"/>
  <c r="F45" i="29" s="1"/>
  <c r="E42" i="29"/>
  <c r="F42" i="29" s="1"/>
  <c r="E41" i="29"/>
  <c r="F41" i="29" s="1"/>
  <c r="E40" i="29"/>
  <c r="F40" i="29" s="1"/>
  <c r="E39" i="29"/>
  <c r="F39" i="29" s="1"/>
  <c r="E37" i="29"/>
  <c r="F37" i="29" s="1"/>
  <c r="E36" i="29"/>
  <c r="F36" i="29" s="1"/>
  <c r="E31" i="29"/>
  <c r="F31" i="29" s="1"/>
  <c r="E30" i="29"/>
  <c r="F30" i="29" s="1"/>
  <c r="E29" i="29"/>
  <c r="F29" i="29" s="1"/>
  <c r="E28" i="29"/>
  <c r="F28" i="29" s="1"/>
  <c r="E27" i="29"/>
  <c r="F27" i="29" s="1"/>
  <c r="E26" i="29"/>
  <c r="F26" i="29" s="1"/>
  <c r="E25" i="29"/>
  <c r="F25" i="29" s="1"/>
  <c r="E22" i="29"/>
  <c r="F22" i="29" s="1"/>
  <c r="E21" i="29"/>
  <c r="F21" i="29" s="1"/>
  <c r="E19" i="29"/>
  <c r="F19" i="29" s="1"/>
  <c r="E17" i="29"/>
  <c r="F17" i="29" s="1"/>
  <c r="E16" i="29"/>
  <c r="F16" i="29" s="1"/>
  <c r="E15" i="29"/>
  <c r="F15" i="29" s="1"/>
  <c r="E11" i="29"/>
  <c r="F11" i="29" s="1"/>
  <c r="E9" i="29"/>
  <c r="F9" i="29" s="1"/>
  <c r="E8" i="29"/>
  <c r="F8" i="29" s="1"/>
  <c r="E7" i="29"/>
  <c r="F7" i="29" s="1"/>
  <c r="E6" i="29"/>
  <c r="F6" i="29" s="1"/>
  <c r="E5" i="29"/>
  <c r="F5" i="29" s="1"/>
  <c r="E4" i="29"/>
  <c r="F4" i="29" s="1"/>
  <c r="F61" i="28"/>
  <c r="G61" i="28" s="1"/>
  <c r="F60" i="28"/>
  <c r="G60" i="28" s="1"/>
  <c r="F59" i="28"/>
  <c r="G59" i="28" s="1"/>
  <c r="F58" i="28"/>
  <c r="G58" i="28" s="1"/>
  <c r="F57" i="28"/>
  <c r="G57" i="28" s="1"/>
  <c r="F56" i="28"/>
  <c r="G56" i="28" s="1"/>
  <c r="F55" i="28"/>
  <c r="G55" i="28" s="1"/>
  <c r="G54" i="28"/>
  <c r="F53" i="28"/>
  <c r="G53" i="28" s="1"/>
  <c r="F51" i="28"/>
  <c r="G51" i="28" s="1"/>
  <c r="F50" i="28"/>
  <c r="G50" i="28" s="1"/>
  <c r="F49" i="28"/>
  <c r="G49" i="28" s="1"/>
  <c r="F48" i="28"/>
  <c r="G48" i="28" s="1"/>
  <c r="F47" i="28"/>
  <c r="G47" i="28" s="1"/>
  <c r="F46" i="28"/>
  <c r="G46" i="28" s="1"/>
  <c r="F45" i="28"/>
  <c r="G45" i="28" s="1"/>
  <c r="F43" i="28"/>
  <c r="G43" i="28" s="1"/>
  <c r="F40" i="28"/>
  <c r="G40" i="28" s="1"/>
  <c r="F39" i="28"/>
  <c r="G39" i="28" s="1"/>
  <c r="F38" i="28"/>
  <c r="G38" i="28" s="1"/>
  <c r="F31" i="28"/>
  <c r="G31" i="28" s="1"/>
  <c r="F30" i="28"/>
  <c r="G30" i="28" s="1"/>
  <c r="F29" i="28"/>
  <c r="G29" i="28" s="1"/>
  <c r="F28" i="28"/>
  <c r="G28" i="28" s="1"/>
  <c r="F27" i="28"/>
  <c r="G27" i="28" s="1"/>
  <c r="F26" i="28"/>
  <c r="G26" i="28" s="1"/>
  <c r="F25" i="28"/>
  <c r="G25" i="28" s="1"/>
  <c r="F23" i="28"/>
  <c r="G23" i="28" s="1"/>
  <c r="F22" i="28"/>
  <c r="G22" i="28" s="1"/>
  <c r="F21" i="28"/>
  <c r="G21" i="28" s="1"/>
  <c r="F20" i="28"/>
  <c r="G20" i="28" s="1"/>
  <c r="F19" i="28"/>
  <c r="G19" i="28" s="1"/>
  <c r="F18" i="28"/>
  <c r="G18" i="28" s="1"/>
  <c r="F15" i="28"/>
  <c r="G15" i="28" s="1"/>
  <c r="F14" i="28"/>
  <c r="G14" i="28" s="1"/>
  <c r="F13" i="28"/>
  <c r="G13" i="28" s="1"/>
  <c r="F11" i="28"/>
  <c r="G11" i="28" s="1"/>
  <c r="F10" i="28"/>
  <c r="G10" i="28" s="1"/>
  <c r="F9" i="28"/>
  <c r="G9" i="28" s="1"/>
  <c r="F8" i="28"/>
  <c r="G8" i="28" s="1"/>
  <c r="F7" i="28"/>
  <c r="G7" i="28" s="1"/>
  <c r="F6" i="28"/>
  <c r="G6" i="28" s="1"/>
  <c r="F5" i="28"/>
  <c r="G5" i="28" s="1"/>
  <c r="F4" i="28"/>
  <c r="G4" i="28" s="1"/>
  <c r="F3" i="28"/>
  <c r="G3" i="28" s="1"/>
  <c r="V8" i="2"/>
  <c r="W8" i="2" s="1"/>
  <c r="X8" i="2" s="1"/>
  <c r="Y8" i="2" s="1"/>
  <c r="B12" i="23"/>
  <c r="B11" i="23"/>
  <c r="B10" i="23"/>
  <c r="B9" i="23"/>
  <c r="B8" i="23"/>
  <c r="D13" i="23"/>
  <c r="D11" i="23"/>
  <c r="D12" i="23"/>
  <c r="D9" i="23"/>
  <c r="D10" i="23"/>
  <c r="D8" i="23"/>
  <c r="D5" i="23"/>
  <c r="I27" i="27"/>
  <c r="F28" i="27"/>
  <c r="E17" i="27"/>
  <c r="G32" i="27"/>
  <c r="G17" i="27"/>
  <c r="H32" i="27"/>
  <c r="F30" i="27"/>
  <c r="J28" i="27"/>
  <c r="F32" i="27"/>
  <c r="G28" i="27"/>
  <c r="H17" i="27"/>
  <c r="H28" i="27"/>
  <c r="I30" i="27"/>
  <c r="F27" i="27"/>
  <c r="I17" i="27"/>
  <c r="J32" i="27"/>
  <c r="I28" i="27"/>
  <c r="H27" i="27"/>
  <c r="J17" i="27"/>
  <c r="I32" i="27"/>
  <c r="G27" i="27"/>
  <c r="J27" i="27"/>
  <c r="H30" i="27"/>
  <c r="F17" i="27"/>
  <c r="J4" i="25" l="1"/>
  <c r="BA10" i="18"/>
  <c r="Q4" i="24"/>
  <c r="E65" i="24"/>
  <c r="R43" i="2"/>
  <c r="U16" i="2"/>
  <c r="V16" i="2" s="1"/>
  <c r="W16" i="2" s="1"/>
  <c r="X16" i="2" s="1"/>
  <c r="R39" i="2"/>
  <c r="I58" i="26"/>
  <c r="N18" i="6"/>
  <c r="AC18" i="6" s="1"/>
  <c r="S36" i="5"/>
  <c r="T36" i="5" s="1"/>
  <c r="U36" i="5" s="1"/>
  <c r="V36" i="5" s="1"/>
  <c r="Q42" i="5"/>
  <c r="Q43" i="5" s="1"/>
  <c r="Q48" i="5" s="1"/>
  <c r="S44" i="5"/>
  <c r="T44" i="5" s="1"/>
  <c r="U44" i="5" s="1"/>
  <c r="V44" i="5" s="1"/>
  <c r="P13" i="6"/>
  <c r="Q13" i="6" s="1"/>
  <c r="R13" i="6" s="1"/>
  <c r="S13" i="6" s="1"/>
  <c r="Z13" i="6"/>
  <c r="P41" i="5"/>
  <c r="P45" i="5" s="1"/>
  <c r="F9" i="23"/>
  <c r="S11" i="5"/>
  <c r="T11" i="5" s="1"/>
  <c r="U11" i="5" s="1"/>
  <c r="V11" i="5" s="1"/>
  <c r="S17" i="5"/>
  <c r="T17" i="5" s="1"/>
  <c r="U17" i="5" s="1"/>
  <c r="V17" i="5" s="1"/>
  <c r="J67" i="24"/>
  <c r="R54" i="25"/>
  <c r="L66" i="24"/>
  <c r="AC12" i="20"/>
  <c r="F65" i="25" s="1"/>
  <c r="I66" i="24"/>
  <c r="L4" i="6"/>
  <c r="G112" i="26"/>
  <c r="R17" i="5"/>
  <c r="G81" i="27"/>
  <c r="E42" i="27"/>
  <c r="N16" i="6"/>
  <c r="P16" i="6" s="1"/>
  <c r="Q16" i="6" s="1"/>
  <c r="R16" i="6" s="1"/>
  <c r="S16" i="6" s="1"/>
  <c r="F73" i="26"/>
  <c r="F71" i="26"/>
  <c r="R29" i="5"/>
  <c r="H81" i="27"/>
  <c r="F3" i="23"/>
  <c r="F13" i="23"/>
  <c r="BH19" i="19"/>
  <c r="E53" i="26"/>
  <c r="AP48" i="18"/>
  <c r="AD63" i="18"/>
  <c r="AJ19" i="19"/>
  <c r="F72" i="26"/>
  <c r="G110" i="26"/>
  <c r="H110" i="26" s="1"/>
  <c r="N12" i="19"/>
  <c r="X19" i="19"/>
  <c r="BN23" i="20"/>
  <c r="O17" i="6"/>
  <c r="R57" i="25"/>
  <c r="BB16" i="18"/>
  <c r="AD45" i="18"/>
  <c r="M9" i="4"/>
  <c r="E16" i="26" s="1"/>
  <c r="O16" i="20"/>
  <c r="P16" i="20" s="1"/>
  <c r="Q16" i="20" s="1"/>
  <c r="R16" i="20" s="1"/>
  <c r="I65" i="24"/>
  <c r="R11" i="5"/>
  <c r="R36" i="5"/>
  <c r="O18" i="4"/>
  <c r="I60" i="26"/>
  <c r="P56" i="4"/>
  <c r="Q4" i="4"/>
  <c r="R4" i="4" s="1"/>
  <c r="S4" i="4" s="1"/>
  <c r="T4" i="4" s="1"/>
  <c r="E50" i="27"/>
  <c r="BY32" i="20"/>
  <c r="N75" i="25" s="1"/>
  <c r="N15" i="20"/>
  <c r="N16" i="20"/>
  <c r="F8" i="23"/>
  <c r="M31" i="19"/>
  <c r="E65" i="27" s="1"/>
  <c r="AC22" i="19"/>
  <c r="F49" i="25" s="1"/>
  <c r="AV63" i="18"/>
  <c r="BN45" i="18"/>
  <c r="BM28" i="20"/>
  <c r="L74" i="25" s="1"/>
  <c r="BZ9" i="20"/>
  <c r="AU40" i="20"/>
  <c r="I83" i="25" s="1"/>
  <c r="AC28" i="20"/>
  <c r="F74" i="25" s="1"/>
  <c r="BY23" i="20"/>
  <c r="N73" i="25" s="1"/>
  <c r="W40" i="20"/>
  <c r="E83" i="25" s="1"/>
  <c r="H38" i="27"/>
  <c r="AJ25" i="18"/>
  <c r="J38" i="27"/>
  <c r="Q23" i="7"/>
  <c r="P21" i="6"/>
  <c r="Q21" i="6" s="1"/>
  <c r="R21" i="6" s="1"/>
  <c r="S21" i="6" s="1"/>
  <c r="O25" i="5"/>
  <c r="R23" i="5"/>
  <c r="E18" i="26"/>
  <c r="P4" i="4"/>
  <c r="BA12" i="20"/>
  <c r="J65" i="25" s="1"/>
  <c r="F11" i="23"/>
  <c r="M38" i="19"/>
  <c r="O38" i="19" s="1"/>
  <c r="P38" i="19" s="1"/>
  <c r="Q38" i="19" s="1"/>
  <c r="R38" i="19" s="1"/>
  <c r="AJ7" i="19"/>
  <c r="H99" i="26"/>
  <c r="P59" i="4"/>
  <c r="P53" i="4"/>
  <c r="P17" i="3"/>
  <c r="Q17" i="3" s="1"/>
  <c r="R17" i="3" s="1"/>
  <c r="S17" i="3" s="1"/>
  <c r="L7" i="3"/>
  <c r="G79" i="26"/>
  <c r="BY40" i="20"/>
  <c r="N83" i="25" s="1"/>
  <c r="AD5" i="20"/>
  <c r="F12" i="23"/>
  <c r="F6" i="23"/>
  <c r="AI22" i="19"/>
  <c r="G49" i="25" s="1"/>
  <c r="K25" i="19"/>
  <c r="N66" i="24"/>
  <c r="E55" i="27"/>
  <c r="W22" i="19"/>
  <c r="E49" i="25" s="1"/>
  <c r="AD22" i="18"/>
  <c r="AV45" i="18"/>
  <c r="BT16" i="18"/>
  <c r="AJ19" i="18"/>
  <c r="AD25" i="18"/>
  <c r="BH52" i="18"/>
  <c r="AJ57" i="18"/>
  <c r="BY57" i="18"/>
  <c r="N32" i="25" s="1"/>
  <c r="I82" i="27"/>
  <c r="O36" i="5"/>
  <c r="H100" i="26"/>
  <c r="O11" i="5"/>
  <c r="O7" i="5"/>
  <c r="S7" i="5"/>
  <c r="T7" i="5" s="1"/>
  <c r="U7" i="5" s="1"/>
  <c r="V7" i="5" s="1"/>
  <c r="R7" i="5"/>
  <c r="T23" i="2"/>
  <c r="Q8" i="2"/>
  <c r="T22" i="2"/>
  <c r="Q41" i="2"/>
  <c r="T29" i="2"/>
  <c r="BZ19" i="19"/>
  <c r="BN19" i="19"/>
  <c r="BB19" i="19"/>
  <c r="J66" i="24"/>
  <c r="BN13" i="19"/>
  <c r="AD19" i="19"/>
  <c r="K66" i="24"/>
  <c r="AU47" i="19"/>
  <c r="N86" i="24" s="1"/>
  <c r="AJ22" i="18"/>
  <c r="BB22" i="18"/>
  <c r="BH25" i="18"/>
  <c r="X4" i="18"/>
  <c r="AP38" i="18"/>
  <c r="AJ52" i="18"/>
  <c r="BT4" i="18"/>
  <c r="BB10" i="18"/>
  <c r="BZ19" i="18"/>
  <c r="BH22" i="18"/>
  <c r="J65" i="24"/>
  <c r="BH43" i="20"/>
  <c r="AJ43" i="20"/>
  <c r="M52" i="20"/>
  <c r="I95" i="26" s="1"/>
  <c r="BY12" i="20"/>
  <c r="N65" i="25" s="1"/>
  <c r="BB23" i="20"/>
  <c r="K17" i="20"/>
  <c r="K22" i="20"/>
  <c r="BZ5" i="20"/>
  <c r="BT23" i="20"/>
  <c r="BM40" i="20"/>
  <c r="L83" i="25" s="1"/>
  <c r="BN9" i="20"/>
  <c r="BN5" i="20"/>
  <c r="BG32" i="20"/>
  <c r="K75" i="25" s="1"/>
  <c r="AU32" i="20"/>
  <c r="I75" i="25" s="1"/>
  <c r="AP23" i="20"/>
  <c r="AD23" i="20"/>
  <c r="H137" i="12"/>
  <c r="H138" i="12" s="1"/>
  <c r="K137" i="12"/>
  <c r="K138" i="12" s="1"/>
  <c r="E132" i="24" s="1"/>
  <c r="D132" i="24" s="1"/>
  <c r="Z9" i="6"/>
  <c r="O8" i="6"/>
  <c r="S31" i="5"/>
  <c r="T31" i="5" s="1"/>
  <c r="U31" i="5" s="1"/>
  <c r="V31" i="5" s="1"/>
  <c r="Q12" i="4"/>
  <c r="R12" i="4" s="1"/>
  <c r="S12" i="4" s="1"/>
  <c r="T12" i="4" s="1"/>
  <c r="O12" i="4"/>
  <c r="P47" i="4"/>
  <c r="N63" i="4"/>
  <c r="I57" i="26"/>
  <c r="Q52" i="4"/>
  <c r="R52" i="4" s="1"/>
  <c r="S52" i="4" s="1"/>
  <c r="T52" i="4" s="1"/>
  <c r="P60" i="4"/>
  <c r="P12" i="4"/>
  <c r="P52" i="4"/>
  <c r="P57" i="4"/>
  <c r="P58" i="4"/>
  <c r="U40" i="2"/>
  <c r="V40" i="2" s="1"/>
  <c r="W40" i="2" s="1"/>
  <c r="X40" i="2" s="1"/>
  <c r="AP43" i="20"/>
  <c r="BG40" i="20"/>
  <c r="K83" i="25" s="1"/>
  <c r="AP9" i="20"/>
  <c r="AI12" i="20"/>
  <c r="G65" i="25" s="1"/>
  <c r="G78" i="26"/>
  <c r="K37" i="20"/>
  <c r="W43" i="20"/>
  <c r="E84" i="25" s="1"/>
  <c r="BB13" i="19"/>
  <c r="AS41" i="19"/>
  <c r="K38" i="19"/>
  <c r="AD13" i="19"/>
  <c r="K34" i="19"/>
  <c r="X63" i="18"/>
  <c r="X10" i="18"/>
  <c r="BN22" i="18"/>
  <c r="BN52" i="18"/>
  <c r="AD35" i="18"/>
  <c r="AC19" i="18"/>
  <c r="F8" i="25" s="1"/>
  <c r="H126" i="26"/>
  <c r="T28" i="2"/>
  <c r="N15" i="3"/>
  <c r="O15" i="3" s="1"/>
  <c r="E48" i="27"/>
  <c r="L25" i="3"/>
  <c r="M22" i="3"/>
  <c r="E26" i="24" s="1"/>
  <c r="W32" i="20"/>
  <c r="E75" i="25" s="1"/>
  <c r="BA32" i="20"/>
  <c r="J75" i="25" s="1"/>
  <c r="AJ23" i="20"/>
  <c r="M37" i="20"/>
  <c r="AV9" i="20"/>
  <c r="L23" i="20"/>
  <c r="BA63" i="20"/>
  <c r="N87" i="24" s="1"/>
  <c r="AP13" i="19"/>
  <c r="BZ7" i="19"/>
  <c r="W4" i="19"/>
  <c r="O46" i="19"/>
  <c r="P46" i="19" s="1"/>
  <c r="Q46" i="19" s="1"/>
  <c r="R46" i="19" s="1"/>
  <c r="BH13" i="19"/>
  <c r="AJ13" i="19"/>
  <c r="BH7" i="19"/>
  <c r="AU22" i="19"/>
  <c r="I49" i="25" s="1"/>
  <c r="BM22" i="19"/>
  <c r="L49" i="25" s="1"/>
  <c r="BG22" i="19"/>
  <c r="K49" i="25" s="1"/>
  <c r="M37" i="19"/>
  <c r="E69" i="27" s="1"/>
  <c r="AV13" i="19"/>
  <c r="BY22" i="19"/>
  <c r="N49" i="25" s="1"/>
  <c r="BY4" i="19"/>
  <c r="R66" i="24"/>
  <c r="K13" i="19"/>
  <c r="AD57" i="18"/>
  <c r="I40" i="27"/>
  <c r="J40" i="27"/>
  <c r="K14" i="18"/>
  <c r="N14" i="18" s="1"/>
  <c r="AJ16" i="18"/>
  <c r="H40" i="27"/>
  <c r="G38" i="27"/>
  <c r="BN38" i="18"/>
  <c r="AD48" i="18"/>
  <c r="X7" i="18"/>
  <c r="BB48" i="18"/>
  <c r="BN35" i="18"/>
  <c r="X52" i="18"/>
  <c r="BS19" i="18"/>
  <c r="M8" i="25" s="1"/>
  <c r="F32" i="15"/>
  <c r="J31" i="10"/>
  <c r="J33" i="10" s="1"/>
  <c r="J36" i="10" s="1"/>
  <c r="J40" i="10" s="1"/>
  <c r="K140" i="12"/>
  <c r="B5" i="23" s="1"/>
  <c r="F5" i="23" s="1"/>
  <c r="M23" i="3"/>
  <c r="M28" i="3" s="1"/>
  <c r="Q24" i="3"/>
  <c r="R24" i="3" s="1"/>
  <c r="S24" i="3" s="1"/>
  <c r="P19" i="3"/>
  <c r="Q19" i="3" s="1"/>
  <c r="R19" i="3" s="1"/>
  <c r="S19" i="3" s="1"/>
  <c r="BG63" i="20"/>
  <c r="O87" i="24" s="1"/>
  <c r="O67" i="24"/>
  <c r="AU12" i="20"/>
  <c r="I65" i="25" s="1"/>
  <c r="BB5" i="20"/>
  <c r="AJ5" i="20"/>
  <c r="K40" i="20"/>
  <c r="K43" i="20"/>
  <c r="K48" i="20"/>
  <c r="F7" i="23"/>
  <c r="F10" i="23"/>
  <c r="BT13" i="19"/>
  <c r="X13" i="19"/>
  <c r="AP7" i="19"/>
  <c r="BT19" i="19"/>
  <c r="AO4" i="19"/>
  <c r="AV4" i="19"/>
  <c r="BQ41" i="19"/>
  <c r="K7" i="19"/>
  <c r="BT16" i="19"/>
  <c r="K19" i="19"/>
  <c r="L7" i="19"/>
  <c r="BS4" i="19"/>
  <c r="AV19" i="19"/>
  <c r="AC4" i="19"/>
  <c r="AM41" i="19"/>
  <c r="X16" i="19"/>
  <c r="L61" i="25"/>
  <c r="U44" i="19"/>
  <c r="U45" i="19" s="1"/>
  <c r="U49" i="19" s="1"/>
  <c r="K11" i="19"/>
  <c r="BK44" i="19"/>
  <c r="BK45" i="19" s="1"/>
  <c r="BK49" i="19" s="1"/>
  <c r="K31" i="19"/>
  <c r="N15" i="18"/>
  <c r="AJ4" i="18"/>
  <c r="AV10" i="18"/>
  <c r="AD16" i="18"/>
  <c r="AV19" i="18"/>
  <c r="BT25" i="18"/>
  <c r="BZ35" i="18"/>
  <c r="BH45" i="18"/>
  <c r="AV57" i="18"/>
  <c r="BN57" i="18"/>
  <c r="AP63" i="18"/>
  <c r="N72" i="18"/>
  <c r="J93" i="25"/>
  <c r="F82" i="27"/>
  <c r="X19" i="18"/>
  <c r="AD4" i="18"/>
  <c r="BH4" i="18"/>
  <c r="AP16" i="18"/>
  <c r="BZ25" i="18"/>
  <c r="BB63" i="18"/>
  <c r="H9" i="25"/>
  <c r="K25" i="18"/>
  <c r="BT52" i="18"/>
  <c r="I38" i="27"/>
  <c r="O15" i="18"/>
  <c r="P15" i="18" s="1"/>
  <c r="Q15" i="18" s="1"/>
  <c r="R15" i="18" s="1"/>
  <c r="F38" i="27"/>
  <c r="G40" i="27"/>
  <c r="O72" i="18"/>
  <c r="P72" i="18" s="1"/>
  <c r="Q72" i="18" s="1"/>
  <c r="R72" i="18" s="1"/>
  <c r="AV4" i="18"/>
  <c r="BB38" i="18"/>
  <c r="X45" i="18"/>
  <c r="AJ48" i="18"/>
  <c r="AV48" i="18"/>
  <c r="BZ52" i="18"/>
  <c r="AO25" i="18"/>
  <c r="H10" i="25" s="1"/>
  <c r="F81" i="11"/>
  <c r="F82" i="11" s="1"/>
  <c r="F83" i="11" s="1"/>
  <c r="F84" i="11" s="1"/>
  <c r="I31" i="10"/>
  <c r="I33" i="10" s="1"/>
  <c r="I36" i="10" s="1"/>
  <c r="I40" i="10" s="1"/>
  <c r="K31" i="10"/>
  <c r="K32" i="10" s="1"/>
  <c r="K34" i="10" s="1"/>
  <c r="H31" i="10"/>
  <c r="H33" i="10" s="1"/>
  <c r="D37" i="24" s="1"/>
  <c r="D16" i="24" s="1"/>
  <c r="F16" i="24" s="1"/>
  <c r="G16" i="24" s="1"/>
  <c r="O9" i="24" s="1"/>
  <c r="S9" i="24" s="1"/>
  <c r="H140" i="12"/>
  <c r="O13" i="6"/>
  <c r="F69" i="26"/>
  <c r="AC13" i="6"/>
  <c r="R31" i="5"/>
  <c r="H114" i="26"/>
  <c r="E20" i="26"/>
  <c r="S39" i="2"/>
  <c r="S45" i="2" s="1"/>
  <c r="S38" i="2"/>
  <c r="Q16" i="2"/>
  <c r="T30" i="2"/>
  <c r="T16" i="2"/>
  <c r="E7" i="27"/>
  <c r="E8" i="27" s="1"/>
  <c r="T27" i="2"/>
  <c r="AI63" i="20"/>
  <c r="K87" i="24" s="1"/>
  <c r="K67" i="24"/>
  <c r="BS63" i="20"/>
  <c r="Q87" i="24" s="1"/>
  <c r="Q67" i="24"/>
  <c r="M50" i="20"/>
  <c r="O50" i="20" s="1"/>
  <c r="P50" i="20" s="1"/>
  <c r="Q50" i="20" s="1"/>
  <c r="R50" i="20" s="1"/>
  <c r="AC40" i="20"/>
  <c r="F83" i="25" s="1"/>
  <c r="M48" i="20"/>
  <c r="H92" i="26" s="1"/>
  <c r="K35" i="20"/>
  <c r="BS43" i="20"/>
  <c r="M84" i="25" s="1"/>
  <c r="M46" i="20"/>
  <c r="H91" i="26" s="1"/>
  <c r="K52" i="20"/>
  <c r="BN43" i="20"/>
  <c r="BG12" i="20"/>
  <c r="K65" i="25" s="1"/>
  <c r="AO12" i="20"/>
  <c r="H65" i="25" s="1"/>
  <c r="BH5" i="20"/>
  <c r="AV5" i="20"/>
  <c r="BW60" i="20"/>
  <c r="BW61" i="20" s="1"/>
  <c r="BW65" i="20" s="1"/>
  <c r="AG57" i="20"/>
  <c r="AS57" i="20"/>
  <c r="BE57" i="20"/>
  <c r="X28" i="20"/>
  <c r="F93" i="25"/>
  <c r="AU43" i="20"/>
  <c r="I84" i="25" s="1"/>
  <c r="BA40" i="20"/>
  <c r="J83" i="25" s="1"/>
  <c r="N91" i="25"/>
  <c r="BG28" i="20"/>
  <c r="K74" i="25" s="1"/>
  <c r="BS28" i="20"/>
  <c r="M74" i="25" s="1"/>
  <c r="BK60" i="20"/>
  <c r="BK61" i="20" s="1"/>
  <c r="BK65" i="20" s="1"/>
  <c r="AS79" i="18"/>
  <c r="AS80" i="18" s="1"/>
  <c r="AS84" i="18" s="1"/>
  <c r="AJ10" i="18"/>
  <c r="BH10" i="18"/>
  <c r="K41" i="18"/>
  <c r="X57" i="18"/>
  <c r="L4" i="18"/>
  <c r="BH38" i="18"/>
  <c r="K57" i="18"/>
  <c r="M32" i="18"/>
  <c r="F25" i="27" s="1"/>
  <c r="K4" i="18"/>
  <c r="K22" i="18"/>
  <c r="AV25" i="18"/>
  <c r="AD52" i="18"/>
  <c r="BZ7" i="18"/>
  <c r="AP10" i="18"/>
  <c r="K10" i="18"/>
  <c r="AP22" i="18"/>
  <c r="X25" i="18"/>
  <c r="AJ38" i="18"/>
  <c r="BZ38" i="18"/>
  <c r="K70" i="18"/>
  <c r="BM63" i="18"/>
  <c r="L33" i="25" s="1"/>
  <c r="M41" i="18"/>
  <c r="O41" i="18" s="1"/>
  <c r="P41" i="18" s="1"/>
  <c r="Q41" i="18" s="1"/>
  <c r="R41" i="18" s="1"/>
  <c r="M34" i="18"/>
  <c r="BM25" i="18"/>
  <c r="AO52" i="18"/>
  <c r="H31" i="25" s="1"/>
  <c r="W16" i="18"/>
  <c r="E7" i="25" s="1"/>
  <c r="H93" i="25"/>
  <c r="L93" i="25"/>
  <c r="K93" i="25"/>
  <c r="H82" i="27"/>
  <c r="G35" i="15"/>
  <c r="E53" i="24"/>
  <c r="D53" i="24" s="1"/>
  <c r="J28" i="16"/>
  <c r="E133" i="24" s="1"/>
  <c r="D133" i="24" s="1"/>
  <c r="S18" i="24"/>
  <c r="AC15" i="6"/>
  <c r="P15" i="6"/>
  <c r="Q15" i="6" s="1"/>
  <c r="R15" i="6" s="1"/>
  <c r="S15" i="6" s="1"/>
  <c r="N12" i="6"/>
  <c r="O12" i="6" s="1"/>
  <c r="P17" i="6"/>
  <c r="Q17" i="6" s="1"/>
  <c r="R17" i="6" s="1"/>
  <c r="S17" i="6" s="1"/>
  <c r="M19" i="6"/>
  <c r="Z15" i="6"/>
  <c r="F70" i="26"/>
  <c r="F67" i="26"/>
  <c r="Z4" i="6"/>
  <c r="O15" i="6"/>
  <c r="L9" i="6"/>
  <c r="Z17" i="6"/>
  <c r="N14" i="6"/>
  <c r="R25" i="5"/>
  <c r="S33" i="5"/>
  <c r="T33" i="5" s="1"/>
  <c r="U33" i="5" s="1"/>
  <c r="V33" i="5" s="1"/>
  <c r="H118" i="26"/>
  <c r="P42" i="4"/>
  <c r="E47" i="26"/>
  <c r="P6" i="4"/>
  <c r="E42" i="26"/>
  <c r="I59" i="26"/>
  <c r="E13" i="26"/>
  <c r="E126" i="26"/>
  <c r="P16" i="4"/>
  <c r="Q56" i="4"/>
  <c r="R56" i="4" s="1"/>
  <c r="S56" i="4" s="1"/>
  <c r="T56" i="4" s="1"/>
  <c r="E49" i="27"/>
  <c r="O16" i="3"/>
  <c r="P16" i="3"/>
  <c r="N21" i="3"/>
  <c r="O19" i="3"/>
  <c r="P21" i="3"/>
  <c r="Q21" i="3" s="1"/>
  <c r="R21" i="3" s="1"/>
  <c r="S21" i="3" s="1"/>
  <c r="E85" i="24"/>
  <c r="T35" i="2"/>
  <c r="L43" i="20"/>
  <c r="M38" i="20"/>
  <c r="BS5" i="20"/>
  <c r="L5" i="20"/>
  <c r="I93" i="25"/>
  <c r="K23" i="20"/>
  <c r="AJ28" i="20"/>
  <c r="AM60" i="20"/>
  <c r="AM61" i="20" s="1"/>
  <c r="AM65" i="20" s="1"/>
  <c r="AM57" i="20"/>
  <c r="BK57" i="20"/>
  <c r="X12" i="20"/>
  <c r="W12" i="20"/>
  <c r="E65" i="25" s="1"/>
  <c r="K12" i="20"/>
  <c r="M22" i="20"/>
  <c r="W23" i="20"/>
  <c r="E73" i="25" s="1"/>
  <c r="X23" i="20"/>
  <c r="AU23" i="20"/>
  <c r="I73" i="25" s="1"/>
  <c r="AV23" i="20"/>
  <c r="BG23" i="20"/>
  <c r="K73" i="25" s="1"/>
  <c r="BH23" i="20"/>
  <c r="AJ40" i="20"/>
  <c r="AI40" i="20"/>
  <c r="G83" i="25" s="1"/>
  <c r="K50" i="20"/>
  <c r="BM63" i="20"/>
  <c r="P87" i="24" s="1"/>
  <c r="P67" i="24"/>
  <c r="AA57" i="20"/>
  <c r="AA60" i="20"/>
  <c r="AA61" i="20" s="1"/>
  <c r="AA65" i="20" s="1"/>
  <c r="AY60" i="20"/>
  <c r="AY61" i="20" s="1"/>
  <c r="AY65" i="20" s="1"/>
  <c r="AY57" i="20"/>
  <c r="BQ60" i="20"/>
  <c r="BQ61" i="20" s="1"/>
  <c r="BQ65" i="20" s="1"/>
  <c r="BQ57" i="20"/>
  <c r="W9" i="20"/>
  <c r="E64" i="25" s="1"/>
  <c r="X9" i="20"/>
  <c r="AI9" i="20"/>
  <c r="G64" i="25" s="1"/>
  <c r="AJ9" i="20"/>
  <c r="BG9" i="20"/>
  <c r="K64" i="25" s="1"/>
  <c r="BH9" i="20"/>
  <c r="BS9" i="20"/>
  <c r="M64" i="25" s="1"/>
  <c r="L9" i="20"/>
  <c r="BZ28" i="20"/>
  <c r="BY28" i="20"/>
  <c r="N78" i="25"/>
  <c r="N93" i="25" s="1"/>
  <c r="M35" i="20"/>
  <c r="K46" i="20"/>
  <c r="BT12" i="20"/>
  <c r="L12" i="20"/>
  <c r="K20" i="20"/>
  <c r="E93" i="25"/>
  <c r="K38" i="20"/>
  <c r="AS60" i="20"/>
  <c r="AS61" i="20" s="1"/>
  <c r="AS65" i="20" s="1"/>
  <c r="M20" i="20"/>
  <c r="K4" i="20"/>
  <c r="K5" i="20"/>
  <c r="AG60" i="20"/>
  <c r="AG61" i="20" s="1"/>
  <c r="AG65" i="20" s="1"/>
  <c r="BW57" i="20"/>
  <c r="AU63" i="20"/>
  <c r="M87" i="24" s="1"/>
  <c r="L32" i="20"/>
  <c r="BY63" i="20"/>
  <c r="R87" i="24" s="1"/>
  <c r="X5" i="20"/>
  <c r="BT5" i="20"/>
  <c r="G93" i="25"/>
  <c r="BE60" i="20"/>
  <c r="BE61" i="20" s="1"/>
  <c r="BE65" i="20" s="1"/>
  <c r="M4" i="20"/>
  <c r="AO5" i="20"/>
  <c r="H63" i="25" s="1"/>
  <c r="AP5" i="20"/>
  <c r="N63" i="25"/>
  <c r="K9" i="20"/>
  <c r="BN12" i="20"/>
  <c r="BM12" i="20"/>
  <c r="AP28" i="20"/>
  <c r="AO28" i="20"/>
  <c r="H74" i="25" s="1"/>
  <c r="BB28" i="20"/>
  <c r="BA28" i="20"/>
  <c r="J74" i="25" s="1"/>
  <c r="K28" i="20"/>
  <c r="AD32" i="20"/>
  <c r="K32" i="20"/>
  <c r="BT40" i="20"/>
  <c r="BS40" i="20"/>
  <c r="M83" i="25" s="1"/>
  <c r="AC43" i="20"/>
  <c r="F84" i="25" s="1"/>
  <c r="BA43" i="20"/>
  <c r="J84" i="25" s="1"/>
  <c r="BY43" i="20"/>
  <c r="BZ43" i="20"/>
  <c r="W63" i="20"/>
  <c r="I87" i="24" s="1"/>
  <c r="I67" i="24"/>
  <c r="K46" i="25"/>
  <c r="U41" i="19"/>
  <c r="BN7" i="19"/>
  <c r="BS22" i="19"/>
  <c r="M49" i="25" s="1"/>
  <c r="L22" i="19"/>
  <c r="BA22" i="19"/>
  <c r="J49" i="25" s="1"/>
  <c r="O66" i="24"/>
  <c r="BQ44" i="19"/>
  <c r="BQ45" i="19" s="1"/>
  <c r="BQ49" i="19" s="1"/>
  <c r="AD7" i="19"/>
  <c r="R51" i="25"/>
  <c r="AP19" i="19"/>
  <c r="M29" i="19"/>
  <c r="R53" i="25"/>
  <c r="M11" i="19"/>
  <c r="BM4" i="19"/>
  <c r="R56" i="25"/>
  <c r="P66" i="24"/>
  <c r="J86" i="24"/>
  <c r="AY41" i="19"/>
  <c r="BK41" i="19"/>
  <c r="BA4" i="19"/>
  <c r="BB7" i="19"/>
  <c r="L19" i="19"/>
  <c r="M25" i="19"/>
  <c r="AO22" i="19"/>
  <c r="H49" i="25" s="1"/>
  <c r="G61" i="25"/>
  <c r="E61" i="25"/>
  <c r="I61" i="25"/>
  <c r="M61" i="25"/>
  <c r="Q66" i="24"/>
  <c r="AJ7" i="18"/>
  <c r="AV7" i="18"/>
  <c r="BT10" i="18"/>
  <c r="BW79" i="18"/>
  <c r="BW80" i="18" s="1"/>
  <c r="BW84" i="18" s="1"/>
  <c r="AJ45" i="18"/>
  <c r="BT48" i="18"/>
  <c r="AP4" i="18"/>
  <c r="BB4" i="18"/>
  <c r="BN4" i="18"/>
  <c r="K7" i="18"/>
  <c r="BE79" i="18"/>
  <c r="BE80" i="18" s="1"/>
  <c r="BE84" i="18" s="1"/>
  <c r="BT22" i="18"/>
  <c r="X35" i="18"/>
  <c r="BT35" i="18"/>
  <c r="X48" i="18"/>
  <c r="BH48" i="18"/>
  <c r="AP57" i="18"/>
  <c r="BT63" i="18"/>
  <c r="BQ76" i="18"/>
  <c r="BN16" i="18"/>
  <c r="AD38" i="18"/>
  <c r="U76" i="18"/>
  <c r="L7" i="18"/>
  <c r="AD7" i="18"/>
  <c r="AP7" i="18"/>
  <c r="BB7" i="18"/>
  <c r="BT7" i="18"/>
  <c r="AD10" i="18"/>
  <c r="BN10" i="18"/>
  <c r="AV16" i="18"/>
  <c r="BH16" i="18"/>
  <c r="BH19" i="18"/>
  <c r="X22" i="18"/>
  <c r="L25" i="18"/>
  <c r="BB25" i="18"/>
  <c r="AP35" i="18"/>
  <c r="BK79" i="18"/>
  <c r="BK80" i="18" s="1"/>
  <c r="BK84" i="18" s="1"/>
  <c r="X38" i="18"/>
  <c r="AP45" i="18"/>
  <c r="BH57" i="18"/>
  <c r="AJ63" i="18"/>
  <c r="BH63" i="18"/>
  <c r="K63" i="18"/>
  <c r="BA35" i="18"/>
  <c r="J21" i="25" s="1"/>
  <c r="D114" i="24"/>
  <c r="D118" i="24" s="1"/>
  <c r="D120" i="24" s="1"/>
  <c r="D102" i="24" s="1"/>
  <c r="C144" i="24" s="1"/>
  <c r="R12" i="24"/>
  <c r="N61" i="25"/>
  <c r="K61" i="25"/>
  <c r="H61" i="25"/>
  <c r="J61" i="25"/>
  <c r="D108" i="25"/>
  <c r="M93" i="25"/>
  <c r="G41" i="25"/>
  <c r="I126" i="26"/>
  <c r="G82" i="27"/>
  <c r="BH35" i="18"/>
  <c r="BG35" i="18"/>
  <c r="L35" i="18"/>
  <c r="BA45" i="18"/>
  <c r="J29" i="25" s="1"/>
  <c r="BB45" i="18"/>
  <c r="U79" i="18"/>
  <c r="U80" i="18" s="1"/>
  <c r="U84" i="18" s="1"/>
  <c r="M41" i="25"/>
  <c r="L25" i="25"/>
  <c r="L20" i="25"/>
  <c r="BS45" i="18"/>
  <c r="M29" i="25" s="1"/>
  <c r="BT45" i="18"/>
  <c r="AV52" i="18"/>
  <c r="AU52" i="18"/>
  <c r="M43" i="18"/>
  <c r="H28" i="25"/>
  <c r="AI82" i="18"/>
  <c r="K85" i="24" s="1"/>
  <c r="K65" i="24"/>
  <c r="O81" i="18"/>
  <c r="P81" i="18" s="1"/>
  <c r="Q81" i="18" s="1"/>
  <c r="R81" i="18" s="1"/>
  <c r="AA76" i="18"/>
  <c r="AA79" i="18"/>
  <c r="AA80" i="18" s="1"/>
  <c r="AA84" i="18" s="1"/>
  <c r="K19" i="18"/>
  <c r="K34" i="18"/>
  <c r="BB57" i="18"/>
  <c r="AU82" i="18"/>
  <c r="M85" i="24" s="1"/>
  <c r="M65" i="24"/>
  <c r="K43" i="18"/>
  <c r="N43" i="18" s="1"/>
  <c r="BY22" i="18"/>
  <c r="L22" i="18"/>
  <c r="L19" i="18"/>
  <c r="BM19" i="18"/>
  <c r="L8" i="25" s="1"/>
  <c r="BN19" i="18"/>
  <c r="BA19" i="18"/>
  <c r="J8" i="25" s="1"/>
  <c r="BB19" i="18"/>
  <c r="K32" i="18"/>
  <c r="K35" i="18"/>
  <c r="BY63" i="18"/>
  <c r="BZ63" i="18"/>
  <c r="L63" i="18"/>
  <c r="BY45" i="18"/>
  <c r="L45" i="18"/>
  <c r="BZ45" i="18"/>
  <c r="M30" i="18"/>
  <c r="G24" i="27" s="1"/>
  <c r="N16" i="25"/>
  <c r="BT38" i="18"/>
  <c r="BS38" i="18"/>
  <c r="L38" i="18"/>
  <c r="BM82" i="18"/>
  <c r="P85" i="24" s="1"/>
  <c r="P65" i="24"/>
  <c r="BM48" i="18"/>
  <c r="L30" i="25" s="1"/>
  <c r="BN48" i="18"/>
  <c r="AM79" i="18"/>
  <c r="AM80" i="18" s="1"/>
  <c r="AM84" i="18" s="1"/>
  <c r="AY79" i="18"/>
  <c r="AY80" i="18" s="1"/>
  <c r="AY84" i="18" s="1"/>
  <c r="K30" i="18"/>
  <c r="K38" i="18"/>
  <c r="N66" i="18"/>
  <c r="O66" i="18"/>
  <c r="P66" i="18" s="1"/>
  <c r="Q66" i="18" s="1"/>
  <c r="R66" i="18" s="1"/>
  <c r="K67" i="18"/>
  <c r="BY4" i="18"/>
  <c r="M4" i="18" s="1"/>
  <c r="O4" i="18" s="1"/>
  <c r="P4" i="18" s="1"/>
  <c r="Q4" i="18" s="1"/>
  <c r="R4" i="18" s="1"/>
  <c r="BZ4" i="18"/>
  <c r="AV38" i="18"/>
  <c r="AU38" i="18"/>
  <c r="I22" i="25" s="1"/>
  <c r="E35" i="27"/>
  <c r="BH7" i="18"/>
  <c r="K16" i="18"/>
  <c r="AV22" i="18"/>
  <c r="BB52" i="18"/>
  <c r="M67" i="18"/>
  <c r="Q65" i="24"/>
  <c r="L16" i="18"/>
  <c r="BY16" i="18"/>
  <c r="AU35" i="18"/>
  <c r="I21" i="25" s="1"/>
  <c r="AV35" i="18"/>
  <c r="AG76" i="18"/>
  <c r="BQ79" i="18"/>
  <c r="BQ80" i="18" s="1"/>
  <c r="BQ84" i="18" s="1"/>
  <c r="AG79" i="18"/>
  <c r="AG80" i="18" s="1"/>
  <c r="AG84" i="18" s="1"/>
  <c r="L52" i="18"/>
  <c r="L48" i="18"/>
  <c r="BY48" i="18"/>
  <c r="BY10" i="18"/>
  <c r="L10" i="18"/>
  <c r="BS57" i="18"/>
  <c r="L57" i="18"/>
  <c r="M28" i="18"/>
  <c r="BM7" i="18"/>
  <c r="BN7" i="18"/>
  <c r="AI35" i="18"/>
  <c r="AJ35" i="18"/>
  <c r="K52" i="18"/>
  <c r="BW76" i="18"/>
  <c r="K4" i="19"/>
  <c r="AS44" i="19"/>
  <c r="AS45" i="19" s="1"/>
  <c r="AS49" i="19" s="1"/>
  <c r="BY13" i="19"/>
  <c r="BZ13" i="19"/>
  <c r="L13" i="19"/>
  <c r="BN16" i="19"/>
  <c r="R58" i="25"/>
  <c r="K48" i="25"/>
  <c r="M48" i="25"/>
  <c r="M19" i="19"/>
  <c r="AG41" i="19"/>
  <c r="AG44" i="19"/>
  <c r="AG45" i="19" s="1"/>
  <c r="AG49" i="19" s="1"/>
  <c r="K22" i="19"/>
  <c r="I68" i="25"/>
  <c r="M17" i="20"/>
  <c r="M65" i="25"/>
  <c r="AM76" i="18"/>
  <c r="AY76" i="18"/>
  <c r="BK76" i="18"/>
  <c r="AS76" i="18"/>
  <c r="BE41" i="19"/>
  <c r="BE44" i="19"/>
  <c r="BE45" i="19" s="1"/>
  <c r="BE49" i="19" s="1"/>
  <c r="K29" i="19"/>
  <c r="BW41" i="19"/>
  <c r="I58" i="25"/>
  <c r="M34" i="19"/>
  <c r="N64" i="4"/>
  <c r="N66" i="4" s="1"/>
  <c r="P18" i="4"/>
  <c r="J82" i="27"/>
  <c r="E82" i="27"/>
  <c r="G126" i="26"/>
  <c r="F126" i="26"/>
  <c r="K45" i="18"/>
  <c r="K48" i="18"/>
  <c r="AI4" i="19"/>
  <c r="AJ4" i="19"/>
  <c r="AA41" i="19"/>
  <c r="AA44" i="19"/>
  <c r="AA45" i="19" s="1"/>
  <c r="AA49" i="19" s="1"/>
  <c r="AM44" i="19"/>
  <c r="AM45" i="19" s="1"/>
  <c r="AM49" i="19" s="1"/>
  <c r="AY44" i="19"/>
  <c r="AY45" i="19" s="1"/>
  <c r="AY49" i="19" s="1"/>
  <c r="BW44" i="19"/>
  <c r="BW45" i="19" s="1"/>
  <c r="BW49" i="19" s="1"/>
  <c r="U60" i="20"/>
  <c r="U61" i="20" s="1"/>
  <c r="U65" i="20" s="1"/>
  <c r="U57" i="20"/>
  <c r="S10" i="7"/>
  <c r="T10" i="7" s="1"/>
  <c r="U10" i="7" s="1"/>
  <c r="R23" i="7"/>
  <c r="S23" i="7" s="1"/>
  <c r="T23" i="7" s="1"/>
  <c r="U23" i="7" s="1"/>
  <c r="BE76" i="18"/>
  <c r="K28" i="18"/>
  <c r="M36" i="19"/>
  <c r="N59" i="25"/>
  <c r="AV28" i="20"/>
  <c r="L28" i="20"/>
  <c r="AP40" i="20"/>
  <c r="AO40" i="20"/>
  <c r="L40" i="20"/>
  <c r="F61" i="25"/>
  <c r="L4" i="19"/>
  <c r="BH4" i="19"/>
  <c r="X7" i="19"/>
  <c r="W7" i="19"/>
  <c r="AV7" i="19"/>
  <c r="AU7" i="19"/>
  <c r="BT7" i="19"/>
  <c r="BS7" i="19"/>
  <c r="R50" i="25"/>
  <c r="AD16" i="19"/>
  <c r="L16" i="19"/>
  <c r="R48" i="25" s="1"/>
  <c r="T48" i="25" s="1"/>
  <c r="BZ16" i="19"/>
  <c r="AD9" i="20"/>
  <c r="AC9" i="20"/>
  <c r="H64" i="25"/>
  <c r="BB9" i="20"/>
  <c r="BA9" i="20"/>
  <c r="L67" i="24"/>
  <c r="O62" i="20"/>
  <c r="P62" i="20" s="1"/>
  <c r="Q62" i="20" s="1"/>
  <c r="R62" i="20" s="1"/>
  <c r="I41" i="25"/>
  <c r="R13" i="24"/>
  <c r="S13" i="24"/>
  <c r="N41" i="25"/>
  <c r="BY82" i="18"/>
  <c r="R85" i="24" s="1"/>
  <c r="R65" i="24"/>
  <c r="N10" i="25"/>
  <c r="AO82" i="18"/>
  <c r="F10" i="25"/>
  <c r="E41" i="25"/>
  <c r="F41" i="25"/>
  <c r="H41" i="25"/>
  <c r="BG82" i="18"/>
  <c r="O65" i="24"/>
  <c r="V22" i="2"/>
  <c r="W22" i="2" s="1"/>
  <c r="X22" i="2" s="1"/>
  <c r="R38" i="2"/>
  <c r="E25" i="24" s="1"/>
  <c r="L41" i="25"/>
  <c r="S14" i="24"/>
  <c r="R14" i="24"/>
  <c r="N65" i="24"/>
  <c r="J41" i="25"/>
  <c r="K41" i="25"/>
  <c r="R15" i="24"/>
  <c r="S15" i="24"/>
  <c r="M70" i="18"/>
  <c r="O18" i="6" l="1"/>
  <c r="P18" i="6"/>
  <c r="Q18" i="6" s="1"/>
  <c r="R18" i="6" s="1"/>
  <c r="S18" i="6" s="1"/>
  <c r="AC44" i="19"/>
  <c r="AC45" i="19" s="1"/>
  <c r="J46" i="24" s="1"/>
  <c r="K33" i="10"/>
  <c r="K36" i="10" s="1"/>
  <c r="K40" i="10" s="1"/>
  <c r="U39" i="2"/>
  <c r="E125" i="24" s="1"/>
  <c r="U38" i="2"/>
  <c r="V38" i="2" s="1"/>
  <c r="W38" i="2" s="1"/>
  <c r="X38" i="2" s="1"/>
  <c r="Q9" i="4"/>
  <c r="R9" i="4" s="1"/>
  <c r="S9" i="4" s="1"/>
  <c r="T9" i="4" s="1"/>
  <c r="M63" i="4"/>
  <c r="E28" i="24" s="1"/>
  <c r="D28" i="24" s="1"/>
  <c r="D7" i="24" s="1"/>
  <c r="F7" i="24" s="1"/>
  <c r="G7" i="24" s="1"/>
  <c r="P9" i="4"/>
  <c r="M64" i="4"/>
  <c r="E48" i="24" s="1"/>
  <c r="D48" i="24" s="1"/>
  <c r="G95" i="26"/>
  <c r="O16" i="6"/>
  <c r="AC16" i="6"/>
  <c r="N31" i="19"/>
  <c r="P42" i="5"/>
  <c r="R42" i="5" s="1"/>
  <c r="H124" i="26"/>
  <c r="G124" i="26"/>
  <c r="AC79" i="18"/>
  <c r="AC80" i="18" s="1"/>
  <c r="J45" i="24" s="1"/>
  <c r="O31" i="19"/>
  <c r="P31" i="19" s="1"/>
  <c r="Q31" i="19" s="1"/>
  <c r="R31" i="19" s="1"/>
  <c r="Q40" i="2"/>
  <c r="F127" i="26"/>
  <c r="F128" i="26" s="1"/>
  <c r="D136" i="26" s="1"/>
  <c r="BG44" i="19"/>
  <c r="BG45" i="19" s="1"/>
  <c r="BG49" i="19" s="1"/>
  <c r="O126" i="24" s="1"/>
  <c r="E52" i="24"/>
  <c r="D52" i="24" s="1"/>
  <c r="J32" i="10"/>
  <c r="J34" i="10" s="1"/>
  <c r="M25" i="18"/>
  <c r="O25" i="18" s="1"/>
  <c r="P25" i="18" s="1"/>
  <c r="Q25" i="18" s="1"/>
  <c r="R25" i="18" s="1"/>
  <c r="BG41" i="19"/>
  <c r="O26" i="24" s="1"/>
  <c r="H24" i="27"/>
  <c r="N4" i="18"/>
  <c r="N38" i="19"/>
  <c r="O52" i="20"/>
  <c r="P52" i="20" s="1"/>
  <c r="Q52" i="20" s="1"/>
  <c r="R52" i="20" s="1"/>
  <c r="N37" i="19"/>
  <c r="AC76" i="18"/>
  <c r="J25" i="24" s="1"/>
  <c r="H32" i="10"/>
  <c r="H34" i="10" s="1"/>
  <c r="I32" i="10"/>
  <c r="I34" i="10" s="1"/>
  <c r="I125" i="26"/>
  <c r="E32" i="24"/>
  <c r="D32" i="24" s="1"/>
  <c r="D11" i="24" s="1"/>
  <c r="F11" i="24" s="1"/>
  <c r="G11" i="24" s="1"/>
  <c r="O8" i="24" s="1"/>
  <c r="S8" i="24" s="1"/>
  <c r="N19" i="6"/>
  <c r="N20" i="6" s="1"/>
  <c r="N24" i="6" s="1"/>
  <c r="N37" i="20"/>
  <c r="E127" i="26"/>
  <c r="E128" i="26" s="1"/>
  <c r="D133" i="26" s="1"/>
  <c r="O47" i="19"/>
  <c r="P47" i="19" s="1"/>
  <c r="Q47" i="19" s="1"/>
  <c r="R47" i="19" s="1"/>
  <c r="BS44" i="19"/>
  <c r="BS45" i="19" s="1"/>
  <c r="Q46" i="24" s="1"/>
  <c r="BM41" i="19"/>
  <c r="P26" i="24" s="1"/>
  <c r="M86" i="24"/>
  <c r="F86" i="24" s="1"/>
  <c r="D86" i="24" s="1"/>
  <c r="W79" i="18"/>
  <c r="W80" i="18" s="1"/>
  <c r="I45" i="24" s="1"/>
  <c r="AO76" i="18"/>
  <c r="L25" i="24" s="1"/>
  <c r="AO79" i="18"/>
  <c r="AO80" i="18" s="1"/>
  <c r="L45" i="24" s="1"/>
  <c r="BA79" i="18"/>
  <c r="BA80" i="18" s="1"/>
  <c r="N41" i="18"/>
  <c r="H95" i="26"/>
  <c r="AO60" i="20"/>
  <c r="AO61" i="20" s="1"/>
  <c r="L47" i="24" s="1"/>
  <c r="AU60" i="20"/>
  <c r="AU61" i="20" s="1"/>
  <c r="M47" i="24" s="1"/>
  <c r="N46" i="20"/>
  <c r="N52" i="20"/>
  <c r="M32" i="20"/>
  <c r="H85" i="26" s="1"/>
  <c r="D57" i="24"/>
  <c r="M40" i="20"/>
  <c r="H78" i="27" s="1"/>
  <c r="N50" i="20"/>
  <c r="O46" i="20"/>
  <c r="P46" i="20" s="1"/>
  <c r="Q46" i="20" s="1"/>
  <c r="R46" i="20" s="1"/>
  <c r="G91" i="26"/>
  <c r="I94" i="26"/>
  <c r="T38" i="2"/>
  <c r="E46" i="24"/>
  <c r="N23" i="3"/>
  <c r="N28" i="3" s="1"/>
  <c r="N22" i="3"/>
  <c r="AU57" i="20"/>
  <c r="M27" i="24" s="1"/>
  <c r="G94" i="26"/>
  <c r="G87" i="26"/>
  <c r="O37" i="20"/>
  <c r="P37" i="20" s="1"/>
  <c r="Q37" i="20" s="1"/>
  <c r="R37" i="20" s="1"/>
  <c r="H94" i="26"/>
  <c r="F66" i="24"/>
  <c r="D66" i="24" s="1"/>
  <c r="I10" i="26"/>
  <c r="O37" i="19"/>
  <c r="P37" i="19" s="1"/>
  <c r="Q37" i="19" s="1"/>
  <c r="R37" i="19" s="1"/>
  <c r="N32" i="18"/>
  <c r="BS76" i="18"/>
  <c r="Q25" i="24" s="1"/>
  <c r="H36" i="10"/>
  <c r="H40" i="10" s="1"/>
  <c r="D137" i="24" s="1"/>
  <c r="C147" i="24" s="1"/>
  <c r="Z26" i="6"/>
  <c r="B4" i="23" s="1"/>
  <c r="F4" i="23" s="1"/>
  <c r="AC41" i="19"/>
  <c r="J26" i="24" s="1"/>
  <c r="N34" i="18"/>
  <c r="W76" i="18"/>
  <c r="I25" i="24" s="1"/>
  <c r="O30" i="18"/>
  <c r="P30" i="18" s="1"/>
  <c r="Q30" i="18" s="1"/>
  <c r="R30" i="18" s="1"/>
  <c r="I24" i="27"/>
  <c r="L10" i="25"/>
  <c r="N30" i="18"/>
  <c r="O32" i="18"/>
  <c r="P32" i="18" s="1"/>
  <c r="Q32" i="18" s="1"/>
  <c r="R32" i="18" s="1"/>
  <c r="O34" i="18"/>
  <c r="P34" i="18" s="1"/>
  <c r="Q34" i="18" s="1"/>
  <c r="R34" i="18" s="1"/>
  <c r="E26" i="27"/>
  <c r="R9" i="24"/>
  <c r="O21" i="3"/>
  <c r="O22" i="3" s="1"/>
  <c r="P23" i="3"/>
  <c r="L23" i="3" s="1"/>
  <c r="O48" i="20"/>
  <c r="P48" i="20" s="1"/>
  <c r="Q48" i="20" s="1"/>
  <c r="R48" i="20" s="1"/>
  <c r="N48" i="20"/>
  <c r="N67" i="18"/>
  <c r="F87" i="24"/>
  <c r="D135" i="24"/>
  <c r="C146" i="24" s="1"/>
  <c r="D55" i="24"/>
  <c r="AC14" i="6"/>
  <c r="O14" i="6"/>
  <c r="P14" i="6"/>
  <c r="Q14" i="6" s="1"/>
  <c r="R14" i="6" s="1"/>
  <c r="S14" i="6" s="1"/>
  <c r="P12" i="6"/>
  <c r="AC12" i="6"/>
  <c r="E31" i="24"/>
  <c r="D31" i="24" s="1"/>
  <c r="D10" i="24" s="1"/>
  <c r="F10" i="24" s="1"/>
  <c r="G10" i="24" s="1"/>
  <c r="O17" i="24" s="1"/>
  <c r="P19" i="6"/>
  <c r="Q19" i="6" s="1"/>
  <c r="R19" i="6" s="1"/>
  <c r="S19" i="6" s="1"/>
  <c r="M20" i="6"/>
  <c r="S43" i="5"/>
  <c r="S42" i="5"/>
  <c r="T42" i="5" s="1"/>
  <c r="U42" i="5" s="1"/>
  <c r="V42" i="5" s="1"/>
  <c r="P22" i="3"/>
  <c r="Q22" i="3" s="1"/>
  <c r="R22" i="3" s="1"/>
  <c r="S22" i="3" s="1"/>
  <c r="Q16" i="3"/>
  <c r="R16" i="3" s="1"/>
  <c r="S16" i="3" s="1"/>
  <c r="BG57" i="20"/>
  <c r="O27" i="24" s="1"/>
  <c r="BG60" i="20"/>
  <c r="BG61" i="20" s="1"/>
  <c r="BG65" i="20" s="1"/>
  <c r="O127" i="24" s="1"/>
  <c r="O4" i="20"/>
  <c r="P4" i="20" s="1"/>
  <c r="Q4" i="20" s="1"/>
  <c r="R4" i="20" s="1"/>
  <c r="G74" i="26"/>
  <c r="N4" i="20"/>
  <c r="H74" i="26"/>
  <c r="N74" i="25"/>
  <c r="BY57" i="20"/>
  <c r="R27" i="24" s="1"/>
  <c r="N38" i="20"/>
  <c r="H88" i="26"/>
  <c r="O38" i="20"/>
  <c r="P38" i="20" s="1"/>
  <c r="Q38" i="20" s="1"/>
  <c r="R38" i="20" s="1"/>
  <c r="W57" i="20"/>
  <c r="I27" i="24" s="1"/>
  <c r="M43" i="20"/>
  <c r="N84" i="25"/>
  <c r="BM57" i="20"/>
  <c r="P27" i="24" s="1"/>
  <c r="L65" i="25"/>
  <c r="BM60" i="20"/>
  <c r="BM61" i="20" s="1"/>
  <c r="BY60" i="20"/>
  <c r="BY61" i="20" s="1"/>
  <c r="N20" i="20"/>
  <c r="O20" i="20"/>
  <c r="P20" i="20" s="1"/>
  <c r="Q20" i="20" s="1"/>
  <c r="R20" i="20" s="1"/>
  <c r="H81" i="26"/>
  <c r="M23" i="20"/>
  <c r="M63" i="25"/>
  <c r="M5" i="20"/>
  <c r="F67" i="24"/>
  <c r="W60" i="20"/>
  <c r="W61" i="20" s="1"/>
  <c r="G71" i="27"/>
  <c r="N22" i="20"/>
  <c r="G82" i="26"/>
  <c r="O22" i="20"/>
  <c r="P22" i="20" s="1"/>
  <c r="Q22" i="20" s="1"/>
  <c r="R22" i="20" s="1"/>
  <c r="O63" i="20"/>
  <c r="P63" i="20" s="1"/>
  <c r="Q63" i="20" s="1"/>
  <c r="R63" i="20" s="1"/>
  <c r="BS57" i="20"/>
  <c r="Q27" i="24" s="1"/>
  <c r="BS60" i="20"/>
  <c r="BS61" i="20" s="1"/>
  <c r="Q47" i="24" s="1"/>
  <c r="AI60" i="20"/>
  <c r="AI61" i="20" s="1"/>
  <c r="K47" i="24" s="1"/>
  <c r="M12" i="20"/>
  <c r="N12" i="20" s="1"/>
  <c r="M28" i="20"/>
  <c r="F73" i="27" s="1"/>
  <c r="G86" i="26"/>
  <c r="O35" i="20"/>
  <c r="P35" i="20" s="1"/>
  <c r="Q35" i="20" s="1"/>
  <c r="R35" i="20" s="1"/>
  <c r="AI57" i="20"/>
  <c r="K27" i="24" s="1"/>
  <c r="N35" i="20"/>
  <c r="E64" i="27"/>
  <c r="E70" i="27" s="1"/>
  <c r="O29" i="19"/>
  <c r="P29" i="19" s="1"/>
  <c r="Q29" i="19" s="1"/>
  <c r="R29" i="19" s="1"/>
  <c r="BA44" i="19"/>
  <c r="BA45" i="19" s="1"/>
  <c r="BA49" i="19" s="1"/>
  <c r="N126" i="24" s="1"/>
  <c r="BM44" i="19"/>
  <c r="BM45" i="19" s="1"/>
  <c r="BM49" i="19" s="1"/>
  <c r="P126" i="24" s="1"/>
  <c r="AO44" i="19"/>
  <c r="AO45" i="19" s="1"/>
  <c r="AO49" i="19" s="1"/>
  <c r="L126" i="24" s="1"/>
  <c r="M22" i="19"/>
  <c r="E59" i="27" s="1"/>
  <c r="BA41" i="19"/>
  <c r="N26" i="24" s="1"/>
  <c r="O11" i="19"/>
  <c r="P11" i="19" s="1"/>
  <c r="Q11" i="19" s="1"/>
  <c r="R11" i="19" s="1"/>
  <c r="E54" i="27"/>
  <c r="N11" i="19"/>
  <c r="E60" i="27"/>
  <c r="N25" i="19"/>
  <c r="O25" i="19"/>
  <c r="P25" i="19" s="1"/>
  <c r="Q25" i="19" s="1"/>
  <c r="R25" i="19" s="1"/>
  <c r="N29" i="19"/>
  <c r="AO41" i="19"/>
  <c r="L26" i="24" s="1"/>
  <c r="BM76" i="18"/>
  <c r="P25" i="24" s="1"/>
  <c r="BY76" i="18"/>
  <c r="R25" i="24" s="1"/>
  <c r="BA76" i="18"/>
  <c r="N25" i="24" s="1"/>
  <c r="F65" i="24"/>
  <c r="D65" i="24" s="1"/>
  <c r="O28" i="18"/>
  <c r="P28" i="18" s="1"/>
  <c r="Q28" i="18" s="1"/>
  <c r="R28" i="18" s="1"/>
  <c r="F23" i="27"/>
  <c r="N4" i="25"/>
  <c r="M10" i="18"/>
  <c r="F22" i="27"/>
  <c r="M22" i="25"/>
  <c r="M38" i="18"/>
  <c r="N38" i="18" s="1"/>
  <c r="I31" i="25"/>
  <c r="M52" i="18"/>
  <c r="O52" i="18" s="1"/>
  <c r="P52" i="18" s="1"/>
  <c r="Q52" i="18" s="1"/>
  <c r="R52" i="18" s="1"/>
  <c r="K21" i="25"/>
  <c r="M35" i="18"/>
  <c r="G21" i="25"/>
  <c r="G108" i="25" s="1"/>
  <c r="G109" i="25" s="1"/>
  <c r="G113" i="25" s="1"/>
  <c r="D124" i="25" s="1"/>
  <c r="AI79" i="18"/>
  <c r="AI80" i="18" s="1"/>
  <c r="N30" i="25"/>
  <c r="M48" i="18"/>
  <c r="O48" i="18" s="1"/>
  <c r="P48" i="18" s="1"/>
  <c r="Q48" i="18" s="1"/>
  <c r="R48" i="18" s="1"/>
  <c r="BG79" i="18"/>
  <c r="BG80" i="18" s="1"/>
  <c r="O45" i="24" s="1"/>
  <c r="E36" i="27"/>
  <c r="O67" i="18"/>
  <c r="P67" i="18" s="1"/>
  <c r="Q67" i="18" s="1"/>
  <c r="R67" i="18" s="1"/>
  <c r="N33" i="25"/>
  <c r="M63" i="18"/>
  <c r="M22" i="18"/>
  <c r="N9" i="25"/>
  <c r="BY79" i="18"/>
  <c r="BY80" i="18" s="1"/>
  <c r="BY84" i="18" s="1"/>
  <c r="R125" i="24" s="1"/>
  <c r="AU76" i="18"/>
  <c r="M25" i="24" s="1"/>
  <c r="N28" i="18"/>
  <c r="AI76" i="18"/>
  <c r="K25" i="24" s="1"/>
  <c r="M32" i="25"/>
  <c r="M57" i="18"/>
  <c r="N7" i="25"/>
  <c r="M16" i="18"/>
  <c r="M19" i="18"/>
  <c r="N19" i="18" s="1"/>
  <c r="M45" i="18"/>
  <c r="O45" i="18" s="1"/>
  <c r="P45" i="18" s="1"/>
  <c r="Q45" i="18" s="1"/>
  <c r="R45" i="18" s="1"/>
  <c r="N29" i="25"/>
  <c r="F29" i="27"/>
  <c r="J29" i="27"/>
  <c r="J41" i="27" s="1"/>
  <c r="G29" i="27"/>
  <c r="E29" i="27"/>
  <c r="H29" i="27"/>
  <c r="I29" i="27"/>
  <c r="O43" i="18"/>
  <c r="P43" i="18" s="1"/>
  <c r="Q43" i="18" s="1"/>
  <c r="R43" i="18" s="1"/>
  <c r="BS79" i="18"/>
  <c r="BS80" i="18" s="1"/>
  <c r="BM79" i="18"/>
  <c r="BM80" i="18" s="1"/>
  <c r="BG76" i="18"/>
  <c r="O25" i="24" s="1"/>
  <c r="G41" i="27"/>
  <c r="M7" i="18"/>
  <c r="AU79" i="18"/>
  <c r="AU80" i="18" s="1"/>
  <c r="I7" i="26"/>
  <c r="H39" i="27"/>
  <c r="N70" i="18"/>
  <c r="J39" i="27"/>
  <c r="F39" i="27"/>
  <c r="O70" i="18"/>
  <c r="P70" i="18" s="1"/>
  <c r="Q70" i="18" s="1"/>
  <c r="R70" i="18" s="1"/>
  <c r="E39" i="27"/>
  <c r="I39" i="27"/>
  <c r="G39" i="27"/>
  <c r="O36" i="19"/>
  <c r="P36" i="19" s="1"/>
  <c r="Q36" i="19" s="1"/>
  <c r="R36" i="19" s="1"/>
  <c r="I9" i="26"/>
  <c r="E68" i="27"/>
  <c r="N36" i="19"/>
  <c r="O19" i="19"/>
  <c r="P19" i="19" s="1"/>
  <c r="Q19" i="19" s="1"/>
  <c r="R19" i="19" s="1"/>
  <c r="E58" i="27"/>
  <c r="N19" i="19"/>
  <c r="N46" i="25"/>
  <c r="M13" i="19"/>
  <c r="BY44" i="19"/>
  <c r="BY45" i="19" s="1"/>
  <c r="BY41" i="19"/>
  <c r="R26" i="24" s="1"/>
  <c r="P46" i="5"/>
  <c r="E87" i="24" s="1"/>
  <c r="E67" i="24"/>
  <c r="V39" i="2"/>
  <c r="W39" i="2" s="1"/>
  <c r="X39" i="2" s="1"/>
  <c r="O85" i="24"/>
  <c r="AI41" i="19"/>
  <c r="K26" i="24" s="1"/>
  <c r="AI44" i="19"/>
  <c r="AI45" i="19" s="1"/>
  <c r="N17" i="20"/>
  <c r="H80" i="26"/>
  <c r="O17" i="20"/>
  <c r="P17" i="20" s="1"/>
  <c r="Q17" i="20" s="1"/>
  <c r="R17" i="20" s="1"/>
  <c r="R45" i="2"/>
  <c r="E45" i="24"/>
  <c r="Q39" i="2"/>
  <c r="M43" i="25"/>
  <c r="BS41" i="19"/>
  <c r="Q26" i="24" s="1"/>
  <c r="E43" i="25"/>
  <c r="W41" i="19"/>
  <c r="I26" i="24" s="1"/>
  <c r="W44" i="19"/>
  <c r="X48" i="25"/>
  <c r="V48" i="25"/>
  <c r="L85" i="24"/>
  <c r="O82" i="18"/>
  <c r="P82" i="18" s="1"/>
  <c r="Q82" i="18" s="1"/>
  <c r="R82" i="18" s="1"/>
  <c r="J64" i="25"/>
  <c r="M9" i="20"/>
  <c r="BA60" i="20"/>
  <c r="BA61" i="20" s="1"/>
  <c r="BA57" i="20"/>
  <c r="N27" i="24" s="1"/>
  <c r="F64" i="25"/>
  <c r="AC57" i="20"/>
  <c r="J27" i="24" s="1"/>
  <c r="AC60" i="20"/>
  <c r="AC61" i="20" s="1"/>
  <c r="I43" i="25"/>
  <c r="AU41" i="19"/>
  <c r="M26" i="24" s="1"/>
  <c r="AU44" i="19"/>
  <c r="AU45" i="19" s="1"/>
  <c r="H83" i="25"/>
  <c r="AO57" i="20"/>
  <c r="L27" i="24" s="1"/>
  <c r="M7" i="19"/>
  <c r="O34" i="19"/>
  <c r="P34" i="19" s="1"/>
  <c r="Q34" i="19" s="1"/>
  <c r="R34" i="19" s="1"/>
  <c r="I8" i="26"/>
  <c r="E67" i="27"/>
  <c r="N34" i="19"/>
  <c r="M4" i="19"/>
  <c r="AC49" i="19" l="1"/>
  <c r="J126" i="24" s="1"/>
  <c r="P63" i="4"/>
  <c r="M66" i="4"/>
  <c r="Q64" i="4"/>
  <c r="R64" i="4" s="1"/>
  <c r="S64" i="4" s="1"/>
  <c r="T64" i="4" s="1"/>
  <c r="P43" i="5"/>
  <c r="P48" i="5" s="1"/>
  <c r="Q63" i="4"/>
  <c r="R63" i="4" s="1"/>
  <c r="S63" i="4" s="1"/>
  <c r="T63" i="4" s="1"/>
  <c r="AC26" i="6"/>
  <c r="AC29" i="6" s="1"/>
  <c r="G4" i="23" s="1"/>
  <c r="E27" i="24"/>
  <c r="F27" i="24"/>
  <c r="O19" i="6"/>
  <c r="Q23" i="3"/>
  <c r="R23" i="3" s="1"/>
  <c r="S23" i="3" s="1"/>
  <c r="AC84" i="18"/>
  <c r="J125" i="24" s="1"/>
  <c r="N48" i="18"/>
  <c r="AU65" i="20"/>
  <c r="M127" i="24" s="1"/>
  <c r="O46" i="24"/>
  <c r="N25" i="18"/>
  <c r="H41" i="27"/>
  <c r="G89" i="26"/>
  <c r="AO65" i="20"/>
  <c r="L127" i="24" s="1"/>
  <c r="R8" i="24"/>
  <c r="O32" i="20"/>
  <c r="P32" i="20" s="1"/>
  <c r="Q32" i="20" s="1"/>
  <c r="R32" i="20" s="1"/>
  <c r="L46" i="24"/>
  <c r="F85" i="24"/>
  <c r="D85" i="24" s="1"/>
  <c r="BS49" i="19"/>
  <c r="Q126" i="24" s="1"/>
  <c r="W84" i="18"/>
  <c r="I125" i="24" s="1"/>
  <c r="N45" i="24"/>
  <c r="BA84" i="18"/>
  <c r="N125" i="24" s="1"/>
  <c r="AO84" i="18"/>
  <c r="L125" i="24" s="1"/>
  <c r="G96" i="26"/>
  <c r="G74" i="27"/>
  <c r="O47" i="24"/>
  <c r="N32" i="20"/>
  <c r="N40" i="20"/>
  <c r="O40" i="20"/>
  <c r="P40" i="20" s="1"/>
  <c r="Q40" i="20" s="1"/>
  <c r="R40" i="20" s="1"/>
  <c r="J73" i="27"/>
  <c r="G73" i="27"/>
  <c r="H84" i="26"/>
  <c r="H77" i="26"/>
  <c r="O28" i="20"/>
  <c r="P28" i="20" s="1"/>
  <c r="Q28" i="20" s="1"/>
  <c r="R28" i="20" s="1"/>
  <c r="I73" i="27"/>
  <c r="N46" i="24"/>
  <c r="O22" i="19"/>
  <c r="P22" i="19" s="1"/>
  <c r="Q22" i="19" s="1"/>
  <c r="R22" i="19" s="1"/>
  <c r="N22" i="19"/>
  <c r="E126" i="24"/>
  <c r="H73" i="27"/>
  <c r="BS65" i="20"/>
  <c r="Q127" i="24" s="1"/>
  <c r="N28" i="20"/>
  <c r="AI65" i="20"/>
  <c r="K127" i="24" s="1"/>
  <c r="D67" i="24"/>
  <c r="D74" i="24" s="1"/>
  <c r="D78" i="24" s="1"/>
  <c r="D80" i="24" s="1"/>
  <c r="D62" i="24" s="1"/>
  <c r="R45" i="24"/>
  <c r="M77" i="18"/>
  <c r="BG84" i="18"/>
  <c r="O125" i="24" s="1"/>
  <c r="I41" i="27"/>
  <c r="E41" i="27"/>
  <c r="H96" i="26"/>
  <c r="D87" i="24"/>
  <c r="F25" i="24"/>
  <c r="D25" i="24" s="1"/>
  <c r="D4" i="24" s="1"/>
  <c r="F4" i="24" s="1"/>
  <c r="G4" i="24" s="1"/>
  <c r="P20" i="6"/>
  <c r="Q12" i="6"/>
  <c r="R12" i="6" s="1"/>
  <c r="S12" i="6" s="1"/>
  <c r="S17" i="24"/>
  <c r="R17" i="24"/>
  <c r="E51" i="24"/>
  <c r="D51" i="24" s="1"/>
  <c r="M24" i="6"/>
  <c r="E127" i="24"/>
  <c r="T43" i="5"/>
  <c r="U43" i="5" s="1"/>
  <c r="V43" i="5" s="1"/>
  <c r="E128" i="24"/>
  <c r="D128" i="24" s="1"/>
  <c r="Q66" i="4"/>
  <c r="R66" i="4" s="1"/>
  <c r="S66" i="4" s="1"/>
  <c r="T66" i="4" s="1"/>
  <c r="G77" i="26"/>
  <c r="I72" i="27"/>
  <c r="G72" i="27"/>
  <c r="H83" i="26"/>
  <c r="N23" i="20"/>
  <c r="H72" i="27"/>
  <c r="O23" i="20"/>
  <c r="P23" i="20" s="1"/>
  <c r="Q23" i="20" s="1"/>
  <c r="R23" i="20" s="1"/>
  <c r="F72" i="27"/>
  <c r="J72" i="27"/>
  <c r="R47" i="24"/>
  <c r="BY65" i="20"/>
  <c r="R127" i="24" s="1"/>
  <c r="O12" i="20"/>
  <c r="P12" i="20" s="1"/>
  <c r="Q12" i="20" s="1"/>
  <c r="R12" i="20" s="1"/>
  <c r="O5" i="20"/>
  <c r="P5" i="20" s="1"/>
  <c r="Q5" i="20" s="1"/>
  <c r="R5" i="20" s="1"/>
  <c r="G75" i="26"/>
  <c r="H75" i="26"/>
  <c r="N5" i="20"/>
  <c r="BM65" i="20"/>
  <c r="P127" i="24" s="1"/>
  <c r="P47" i="24"/>
  <c r="G79" i="27"/>
  <c r="H79" i="27"/>
  <c r="G90" i="26"/>
  <c r="N43" i="20"/>
  <c r="O43" i="20"/>
  <c r="P43" i="20" s="1"/>
  <c r="Q43" i="20" s="1"/>
  <c r="R43" i="20" s="1"/>
  <c r="P46" i="24"/>
  <c r="N52" i="18"/>
  <c r="O79" i="18"/>
  <c r="J20" i="27"/>
  <c r="G20" i="27"/>
  <c r="I20" i="27"/>
  <c r="O19" i="18"/>
  <c r="P19" i="18" s="1"/>
  <c r="Q19" i="18" s="1"/>
  <c r="R19" i="18" s="1"/>
  <c r="F20" i="27"/>
  <c r="H20" i="27"/>
  <c r="P45" i="24"/>
  <c r="BM84" i="18"/>
  <c r="P125" i="24" s="1"/>
  <c r="G19" i="27"/>
  <c r="H19" i="27"/>
  <c r="O16" i="18"/>
  <c r="P16" i="18" s="1"/>
  <c r="Q16" i="18" s="1"/>
  <c r="R16" i="18" s="1"/>
  <c r="I19" i="27"/>
  <c r="N16" i="18"/>
  <c r="I21" i="27"/>
  <c r="F21" i="27"/>
  <c r="E21" i="27"/>
  <c r="H21" i="27"/>
  <c r="O22" i="18"/>
  <c r="P22" i="18" s="1"/>
  <c r="Q22" i="18" s="1"/>
  <c r="R22" i="18" s="1"/>
  <c r="N22" i="18"/>
  <c r="O38" i="18"/>
  <c r="P38" i="18" s="1"/>
  <c r="Q38" i="18" s="1"/>
  <c r="R38" i="18" s="1"/>
  <c r="E28" i="27"/>
  <c r="BS84" i="18"/>
  <c r="Q125" i="24" s="1"/>
  <c r="Q45" i="24"/>
  <c r="O63" i="18"/>
  <c r="P63" i="18" s="1"/>
  <c r="Q63" i="18" s="1"/>
  <c r="R63" i="18" s="1"/>
  <c r="E34" i="27"/>
  <c r="N63" i="18"/>
  <c r="E31" i="27"/>
  <c r="N45" i="18"/>
  <c r="N7" i="18"/>
  <c r="J18" i="27"/>
  <c r="F18" i="27"/>
  <c r="E18" i="27"/>
  <c r="G18" i="27"/>
  <c r="O7" i="18"/>
  <c r="H18" i="27"/>
  <c r="I18" i="27"/>
  <c r="K45" i="24"/>
  <c r="AI84" i="18"/>
  <c r="K125" i="24" s="1"/>
  <c r="N35" i="18"/>
  <c r="E27" i="27"/>
  <c r="O35" i="18"/>
  <c r="P35" i="18" s="1"/>
  <c r="Q35" i="18" s="1"/>
  <c r="R35" i="18" s="1"/>
  <c r="O10" i="18"/>
  <c r="P10" i="18" s="1"/>
  <c r="Q10" i="18" s="1"/>
  <c r="R10" i="18" s="1"/>
  <c r="N10" i="18"/>
  <c r="M45" i="24"/>
  <c r="AU84" i="18"/>
  <c r="M125" i="24" s="1"/>
  <c r="N57" i="18"/>
  <c r="F33" i="27"/>
  <c r="H33" i="27"/>
  <c r="O57" i="18"/>
  <c r="P57" i="18" s="1"/>
  <c r="Q57" i="18" s="1"/>
  <c r="R57" i="18" s="1"/>
  <c r="G33" i="27"/>
  <c r="J33" i="27"/>
  <c r="I33" i="27"/>
  <c r="F41" i="27"/>
  <c r="O80" i="18"/>
  <c r="E53" i="27"/>
  <c r="O7" i="19"/>
  <c r="P7" i="19" s="1"/>
  <c r="Q7" i="19" s="1"/>
  <c r="R7" i="19" s="1"/>
  <c r="N7" i="19"/>
  <c r="AC65" i="20"/>
  <c r="J127" i="24" s="1"/>
  <c r="J47" i="24"/>
  <c r="W45" i="19"/>
  <c r="O44" i="19"/>
  <c r="O60" i="20"/>
  <c r="W65" i="20"/>
  <c r="I47" i="24"/>
  <c r="O61" i="20"/>
  <c r="S54" i="25"/>
  <c r="I47" i="25" s="1"/>
  <c r="I108" i="25" s="1"/>
  <c r="I109" i="25" s="1"/>
  <c r="I113" i="25" s="1"/>
  <c r="D122" i="25" s="1"/>
  <c r="S57" i="25"/>
  <c r="K47" i="25" s="1"/>
  <c r="K108" i="25" s="1"/>
  <c r="K109" i="25" s="1"/>
  <c r="K113" i="25" s="1"/>
  <c r="D125" i="25" s="1"/>
  <c r="S51" i="25"/>
  <c r="S60" i="25"/>
  <c r="N47" i="25" s="1"/>
  <c r="N108" i="25" s="1"/>
  <c r="N109" i="25" s="1"/>
  <c r="N113" i="25" s="1"/>
  <c r="D117" i="25" s="1"/>
  <c r="S59" i="25"/>
  <c r="M47" i="25" s="1"/>
  <c r="M108" i="25" s="1"/>
  <c r="M109" i="25" s="1"/>
  <c r="M113" i="25" s="1"/>
  <c r="D120" i="25" s="1"/>
  <c r="S49" i="25"/>
  <c r="E47" i="25" s="1"/>
  <c r="E108" i="25" s="1"/>
  <c r="E109" i="25" s="1"/>
  <c r="E113" i="25" s="1"/>
  <c r="D123" i="25" s="1"/>
  <c r="S56" i="25"/>
  <c r="J47" i="25" s="1"/>
  <c r="J108" i="25" s="1"/>
  <c r="J109" i="25" s="1"/>
  <c r="J113" i="25" s="1"/>
  <c r="D118" i="25" s="1"/>
  <c r="S53" i="25"/>
  <c r="H47" i="25" s="1"/>
  <c r="H108" i="25" s="1"/>
  <c r="H109" i="25" s="1"/>
  <c r="H113" i="25" s="1"/>
  <c r="D126" i="25" s="1"/>
  <c r="S58" i="25"/>
  <c r="L47" i="25" s="1"/>
  <c r="L108" i="25" s="1"/>
  <c r="L109" i="25" s="1"/>
  <c r="L113" i="25" s="1"/>
  <c r="D119" i="25" s="1"/>
  <c r="I127" i="26"/>
  <c r="I128" i="26" s="1"/>
  <c r="D137" i="26" s="1"/>
  <c r="BY49" i="19"/>
  <c r="R126" i="24" s="1"/>
  <c r="R46" i="24"/>
  <c r="N47" i="24"/>
  <c r="BA65" i="20"/>
  <c r="N127" i="24" s="1"/>
  <c r="O4" i="19"/>
  <c r="N4" i="19"/>
  <c r="M42" i="19"/>
  <c r="M41" i="19"/>
  <c r="M46" i="24"/>
  <c r="AU49" i="19"/>
  <c r="M126" i="24" s="1"/>
  <c r="M58" i="20"/>
  <c r="N9" i="20"/>
  <c r="M57" i="20"/>
  <c r="O9" i="20"/>
  <c r="F26" i="24"/>
  <c r="D26" i="24" s="1"/>
  <c r="D5" i="24" s="1"/>
  <c r="F5" i="24" s="1"/>
  <c r="G5" i="24" s="1"/>
  <c r="O6" i="24" s="1"/>
  <c r="S50" i="25"/>
  <c r="F47" i="25" s="1"/>
  <c r="F108" i="25" s="1"/>
  <c r="F109" i="25" s="1"/>
  <c r="F113" i="25" s="1"/>
  <c r="D121" i="25" s="1"/>
  <c r="AI49" i="19"/>
  <c r="K126" i="24" s="1"/>
  <c r="K46" i="24"/>
  <c r="N13" i="19"/>
  <c r="E56" i="27"/>
  <c r="O13" i="19"/>
  <c r="P13" i="19" s="1"/>
  <c r="Q13" i="19" s="1"/>
  <c r="R13" i="19" s="1"/>
  <c r="E47" i="24" l="1"/>
  <c r="D27" i="24"/>
  <c r="D6" i="24" s="1"/>
  <c r="F6" i="24" s="1"/>
  <c r="G6" i="24" s="1"/>
  <c r="O7" i="24" s="1"/>
  <c r="R7" i="24" s="1"/>
  <c r="D94" i="24"/>
  <c r="D98" i="24" s="1"/>
  <c r="D100" i="24" s="1"/>
  <c r="D82" i="24" s="1"/>
  <c r="C143" i="24" s="1"/>
  <c r="G127" i="26"/>
  <c r="G128" i="26" s="1"/>
  <c r="D134" i="26" s="1"/>
  <c r="N57" i="20"/>
  <c r="H127" i="26"/>
  <c r="H128" i="26" s="1"/>
  <c r="D135" i="26" s="1"/>
  <c r="H83" i="27"/>
  <c r="H84" i="27" s="1"/>
  <c r="D91" i="27" s="1"/>
  <c r="I83" i="27"/>
  <c r="I84" i="27" s="1"/>
  <c r="D87" i="27" s="1"/>
  <c r="O77" i="18"/>
  <c r="P77" i="18" s="1"/>
  <c r="Q77" i="18" s="1"/>
  <c r="R77" i="18" s="1"/>
  <c r="F45" i="24"/>
  <c r="D45" i="24" s="1"/>
  <c r="F125" i="24"/>
  <c r="D125" i="24" s="1"/>
  <c r="Q20" i="6"/>
  <c r="R20" i="6" s="1"/>
  <c r="S20" i="6" s="1"/>
  <c r="E131" i="24"/>
  <c r="D131" i="24" s="1"/>
  <c r="G83" i="27"/>
  <c r="G84" i="27" s="1"/>
  <c r="D89" i="27" s="1"/>
  <c r="E83" i="27"/>
  <c r="E84" i="27" s="1"/>
  <c r="D90" i="27" s="1"/>
  <c r="F83" i="27"/>
  <c r="F84" i="27" s="1"/>
  <c r="D92" i="27" s="1"/>
  <c r="J83" i="27"/>
  <c r="J84" i="27" s="1"/>
  <c r="D88" i="27" s="1"/>
  <c r="P7" i="18"/>
  <c r="Q7" i="18" s="1"/>
  <c r="R7" i="18" s="1"/>
  <c r="O76" i="18"/>
  <c r="P76" i="18" s="1"/>
  <c r="Q76" i="18" s="1"/>
  <c r="R76" i="18" s="1"/>
  <c r="O84" i="18"/>
  <c r="O5" i="24"/>
  <c r="O65" i="20"/>
  <c r="I127" i="24"/>
  <c r="F127" i="24" s="1"/>
  <c r="D127" i="24" s="1"/>
  <c r="P9" i="20"/>
  <c r="Q9" i="20" s="1"/>
  <c r="R9" i="20" s="1"/>
  <c r="O57" i="20"/>
  <c r="P57" i="20" s="1"/>
  <c r="Q57" i="20" s="1"/>
  <c r="R57" i="20" s="1"/>
  <c r="O58" i="20"/>
  <c r="P58" i="20" s="1"/>
  <c r="Q58" i="20" s="1"/>
  <c r="R58" i="20" s="1"/>
  <c r="W49" i="19"/>
  <c r="O45" i="19"/>
  <c r="I46" i="24"/>
  <c r="F46" i="24" s="1"/>
  <c r="D46" i="24" s="1"/>
  <c r="O42" i="19"/>
  <c r="P42" i="19" s="1"/>
  <c r="Q42" i="19" s="1"/>
  <c r="R42" i="19" s="1"/>
  <c r="P4" i="19"/>
  <c r="Q4" i="19" s="1"/>
  <c r="R4" i="19" s="1"/>
  <c r="O41" i="19"/>
  <c r="P41" i="19" s="1"/>
  <c r="Q41" i="19" s="1"/>
  <c r="R41" i="19" s="1"/>
  <c r="R6" i="24"/>
  <c r="S6" i="24"/>
  <c r="F47" i="24"/>
  <c r="D47" i="24" s="1"/>
  <c r="O10" i="24" l="1"/>
  <c r="S7" i="24"/>
  <c r="D34" i="24"/>
  <c r="D38" i="24" s="1"/>
  <c r="D40" i="24" s="1"/>
  <c r="G13" i="24"/>
  <c r="D54" i="24"/>
  <c r="D58" i="24" s="1"/>
  <c r="D60" i="24" s="1"/>
  <c r="D42" i="24" s="1"/>
  <c r="F22" i="24" s="1"/>
  <c r="S5" i="24"/>
  <c r="Q5" i="24" s="1"/>
  <c r="R5" i="24"/>
  <c r="I126" i="24"/>
  <c r="F126" i="24" s="1"/>
  <c r="D126" i="24" s="1"/>
  <c r="D134" i="24" s="1"/>
  <c r="O49" i="19"/>
  <c r="D17" i="24" l="1"/>
  <c r="D13" i="24"/>
  <c r="F13" i="24" s="1"/>
  <c r="Q6" i="24"/>
  <c r="Q7" i="24" s="1"/>
  <c r="C145" i="24"/>
  <c r="D138" i="24"/>
  <c r="D140" i="24" s="1"/>
  <c r="D122" i="24" s="1"/>
  <c r="D22" i="24"/>
  <c r="E22" i="24" s="1"/>
  <c r="D19" i="24"/>
  <c r="F19" i="24" s="1"/>
  <c r="Q13" i="24" l="1"/>
  <c r="Q8" i="24"/>
  <c r="Q9" i="24" s="1"/>
  <c r="Q10" i="24" s="1"/>
  <c r="Q15" i="24"/>
  <c r="Q17" i="24" s="1"/>
  <c r="Q18" i="24" s="1"/>
  <c r="Q14" i="24" s="1"/>
  <c r="Q12" i="24" l="1"/>
  <c r="K11" i="2"/>
  <c r="Q11" i="2" s="1"/>
  <c r="Q13" i="2"/>
  <c r="Q12" i="2"/>
</calcChain>
</file>

<file path=xl/comments1.xml><?xml version="1.0" encoding="utf-8"?>
<comments xmlns="http://schemas.openxmlformats.org/spreadsheetml/2006/main">
  <authors>
    <author>徐梦薇/Mengwei Xu</author>
  </authors>
  <commentList>
    <comment ref="B17"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t>
        </r>
        <r>
          <rPr>
            <sz val="9"/>
            <color indexed="81"/>
            <rFont val="Tahoma"/>
            <family val="2"/>
          </rPr>
          <t>HR</t>
        </r>
        <r>
          <rPr>
            <sz val="9"/>
            <color indexed="81"/>
            <rFont val="宋体"/>
            <family val="3"/>
            <charset val="134"/>
          </rPr>
          <t>提供分公司数据得出结论</t>
        </r>
      </text>
    </comment>
    <comment ref="B27"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根据客服提供数据得出</t>
        </r>
      </text>
    </comment>
    <comment ref="B2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根据客服提供数据得出</t>
        </r>
      </text>
    </comment>
    <comment ref="B32"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找财务刘敏和</t>
        </r>
        <r>
          <rPr>
            <sz val="9"/>
            <color indexed="81"/>
            <rFont val="Tahoma"/>
            <family val="2"/>
          </rPr>
          <t>IT</t>
        </r>
        <r>
          <rPr>
            <sz val="9"/>
            <color indexed="81"/>
            <rFont val="宋体"/>
            <family val="3"/>
            <charset val="134"/>
          </rPr>
          <t xml:space="preserve">刷数
</t>
        </r>
      </text>
    </comment>
    <comment ref="B75"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查台账</t>
        </r>
      </text>
    </comment>
  </commentList>
</comments>
</file>

<file path=xl/comments10.xml><?xml version="1.0" encoding="utf-8"?>
<comments xmlns="http://schemas.openxmlformats.org/spreadsheetml/2006/main">
  <authors>
    <author>徐梦薇/Mengwei Xu</author>
    <author>刘辉</author>
  </authors>
  <commentList>
    <comment ref="H33" authorId="0" shapeId="0">
      <text>
        <r>
          <rPr>
            <b/>
            <sz val="9"/>
            <color indexed="81"/>
            <rFont val="宋体"/>
            <family val="3"/>
            <charset val="134"/>
          </rPr>
          <t>徐梦薇</t>
        </r>
        <r>
          <rPr>
            <b/>
            <sz val="9"/>
            <color indexed="81"/>
            <rFont val="Tahoma"/>
            <family val="2"/>
            <charset val="134"/>
          </rPr>
          <t>/Mengwei Xu:</t>
        </r>
        <r>
          <rPr>
            <sz val="9"/>
            <color indexed="81"/>
            <rFont val="Tahoma"/>
            <family val="2"/>
            <charset val="134"/>
          </rPr>
          <t xml:space="preserve">
Q4评价标准中删除了监管评价的10分，流动性满分变为90. 保监会群中有人问是否计算方法变为：实际得分/90*100？ 回答：是的。</t>
        </r>
      </text>
    </comment>
    <comment ref="I33" authorId="1" shape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J33" authorId="1" shape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K33" authorId="1" shape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List>
</comments>
</file>

<file path=xl/comments11.xml><?xml version="1.0" encoding="utf-8"?>
<comments xmlns="http://schemas.openxmlformats.org/spreadsheetml/2006/main">
  <authors>
    <author>徐梦薇</author>
  </authors>
  <commentList>
    <comment ref="H18" authorId="0" shapeId="0">
      <text>
        <r>
          <rPr>
            <b/>
            <sz val="9"/>
            <color indexed="81"/>
            <rFont val="宋体"/>
            <family val="3"/>
            <charset val="134"/>
          </rPr>
          <t>徐梦薇</t>
        </r>
        <r>
          <rPr>
            <b/>
            <sz val="9"/>
            <color indexed="81"/>
            <rFont val="Tahoma"/>
            <family val="2"/>
          </rPr>
          <t>:</t>
        </r>
        <r>
          <rPr>
            <sz val="9"/>
            <color indexed="81"/>
            <rFont val="Tahoma"/>
            <family val="2"/>
          </rPr>
          <t xml:space="preserve">
2071</t>
        </r>
        <r>
          <rPr>
            <sz val="9"/>
            <color indexed="81"/>
            <rFont val="宋体"/>
            <family val="3"/>
            <charset val="134"/>
          </rPr>
          <t>年</t>
        </r>
        <r>
          <rPr>
            <sz val="9"/>
            <color indexed="81"/>
            <rFont val="Tahoma"/>
            <family val="2"/>
          </rPr>
          <t>6</t>
        </r>
        <r>
          <rPr>
            <sz val="9"/>
            <color indexed="81"/>
            <rFont val="宋体"/>
            <family val="3"/>
            <charset val="134"/>
          </rPr>
          <t>月</t>
        </r>
        <r>
          <rPr>
            <sz val="9"/>
            <color indexed="81"/>
            <rFont val="Tahoma"/>
            <family val="2"/>
          </rPr>
          <t>21</t>
        </r>
        <r>
          <rPr>
            <sz val="9"/>
            <color indexed="81"/>
            <rFont val="宋体"/>
            <family val="3"/>
            <charset val="134"/>
          </rPr>
          <t>日发布、</t>
        </r>
        <r>
          <rPr>
            <sz val="9"/>
            <color indexed="81"/>
            <rFont val="Tahoma"/>
            <family val="2"/>
          </rPr>
          <t>2017</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t>
        </r>
        <r>
          <rPr>
            <sz val="9"/>
            <color indexed="81"/>
            <rFont val="宋体"/>
            <family val="3"/>
            <charset val="134"/>
          </rPr>
          <t>日生效
《恒安标准人寿董事及高管人员培训管理办法》（负责部门</t>
        </r>
        <r>
          <rPr>
            <sz val="9"/>
            <color indexed="81"/>
            <rFont val="Tahoma"/>
            <family val="2"/>
          </rPr>
          <t>:</t>
        </r>
        <r>
          <rPr>
            <sz val="9"/>
            <color indexed="81"/>
            <rFont val="宋体"/>
            <family val="3"/>
            <charset val="134"/>
          </rPr>
          <t xml:space="preserve">人力资源部）
</t>
        </r>
      </text>
    </comment>
    <comment ref="J18" authorId="0" shapeId="0">
      <text>
        <r>
          <rPr>
            <b/>
            <sz val="9"/>
            <color indexed="81"/>
            <rFont val="宋体"/>
            <family val="3"/>
            <charset val="134"/>
          </rPr>
          <t>徐梦薇</t>
        </r>
        <r>
          <rPr>
            <b/>
            <sz val="9"/>
            <color indexed="81"/>
            <rFont val="Tahoma"/>
            <family val="2"/>
          </rPr>
          <t>:</t>
        </r>
        <r>
          <rPr>
            <sz val="9"/>
            <color indexed="81"/>
            <rFont val="Tahoma"/>
            <family val="2"/>
          </rPr>
          <t xml:space="preserve">
2071</t>
        </r>
        <r>
          <rPr>
            <sz val="9"/>
            <color indexed="81"/>
            <rFont val="宋体"/>
            <family val="3"/>
            <charset val="134"/>
          </rPr>
          <t>年</t>
        </r>
        <r>
          <rPr>
            <sz val="9"/>
            <color indexed="81"/>
            <rFont val="Tahoma"/>
            <family val="2"/>
          </rPr>
          <t>6</t>
        </r>
        <r>
          <rPr>
            <sz val="9"/>
            <color indexed="81"/>
            <rFont val="宋体"/>
            <family val="3"/>
            <charset val="134"/>
          </rPr>
          <t>月</t>
        </r>
        <r>
          <rPr>
            <sz val="9"/>
            <color indexed="81"/>
            <rFont val="Tahoma"/>
            <family val="2"/>
          </rPr>
          <t>21</t>
        </r>
        <r>
          <rPr>
            <sz val="9"/>
            <color indexed="81"/>
            <rFont val="宋体"/>
            <family val="3"/>
            <charset val="134"/>
          </rPr>
          <t>日发布、</t>
        </r>
        <r>
          <rPr>
            <sz val="9"/>
            <color indexed="81"/>
            <rFont val="Tahoma"/>
            <family val="2"/>
          </rPr>
          <t>2017</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t>
        </r>
        <r>
          <rPr>
            <sz val="9"/>
            <color indexed="81"/>
            <rFont val="宋体"/>
            <family val="3"/>
            <charset val="134"/>
          </rPr>
          <t>日生效
《恒安标准人寿董事及高管人员培训管理办法》（负责部门</t>
        </r>
        <r>
          <rPr>
            <sz val="9"/>
            <color indexed="81"/>
            <rFont val="Tahoma"/>
            <family val="2"/>
          </rPr>
          <t>:</t>
        </r>
        <r>
          <rPr>
            <sz val="9"/>
            <color indexed="81"/>
            <rFont val="宋体"/>
            <family val="3"/>
            <charset val="134"/>
          </rPr>
          <t xml:space="preserve">人力资源部）
</t>
        </r>
      </text>
    </comment>
  </commentList>
</comments>
</file>

<file path=xl/comments2.xml><?xml version="1.0" encoding="utf-8"?>
<comments xmlns="http://schemas.openxmlformats.org/spreadsheetml/2006/main">
  <authors>
    <author>徐梦薇/Mengwei Xu</author>
  </authors>
  <commentList>
    <comment ref="G82"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江苏</t>
        </r>
      </text>
    </comment>
  </commentList>
</comments>
</file>

<file path=xl/comments3.xml><?xml version="1.0" encoding="utf-8"?>
<comments xmlns="http://schemas.openxmlformats.org/spreadsheetml/2006/main">
  <authors>
    <author>徐梦薇/Mengwei Xu</author>
  </authors>
  <commentList>
    <comment ref="H1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有监管发现的</t>
        </r>
      </text>
    </comment>
    <comment ref="B41"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更新公式
</t>
        </r>
      </text>
    </comment>
    <comment ref="B47" authorId="0" shapeId="0">
      <text>
        <r>
          <rPr>
            <b/>
            <sz val="9"/>
            <color indexed="81"/>
            <rFont val="宋体"/>
            <family val="3"/>
            <charset val="134"/>
          </rPr>
          <t>徐梦薇</t>
        </r>
        <r>
          <rPr>
            <b/>
            <sz val="9"/>
            <color indexed="81"/>
            <rFont val="Tahoma"/>
            <family val="2"/>
          </rPr>
          <t>/Mengwei Xu:</t>
        </r>
        <r>
          <rPr>
            <sz val="9"/>
            <color indexed="81"/>
            <rFont val="Tahoma"/>
            <family val="2"/>
          </rPr>
          <t xml:space="preserve">
10</t>
        </r>
        <r>
          <rPr>
            <sz val="9"/>
            <color indexed="81"/>
            <rFont val="宋体"/>
            <family val="3"/>
            <charset val="134"/>
          </rPr>
          <t xml:space="preserve">家分公司排序
</t>
        </r>
      </text>
    </comment>
    <comment ref="B9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每季度找</t>
        </r>
        <r>
          <rPr>
            <sz val="9"/>
            <color indexed="81"/>
            <rFont val="Tahoma"/>
            <family val="2"/>
          </rPr>
          <t>HR</t>
        </r>
        <r>
          <rPr>
            <sz val="9"/>
            <color indexed="81"/>
            <rFont val="宋体"/>
            <family val="3"/>
            <charset val="134"/>
          </rPr>
          <t>王晨提供追责台账</t>
        </r>
      </text>
    </comment>
    <comment ref="B96"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 ref="B10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List>
</comments>
</file>

<file path=xl/comments4.xml><?xml version="1.0" encoding="utf-8"?>
<comments xmlns="http://schemas.openxmlformats.org/spreadsheetml/2006/main">
  <authors>
    <author>徐梦薇/Mengwei Xu</author>
    <author>徐梦薇</author>
    <author>pe0826</author>
    <author>刘辉</author>
  </authors>
  <commentList>
    <comment ref="D4" authorId="0" shapeId="0">
      <text>
        <r>
          <rPr>
            <b/>
            <sz val="9"/>
            <color indexed="81"/>
            <rFont val="宋体"/>
            <family val="3"/>
            <charset val="134"/>
          </rPr>
          <t>徐梦薇</t>
        </r>
        <r>
          <rPr>
            <b/>
            <sz val="9"/>
            <color indexed="81"/>
            <rFont val="Tahoma"/>
            <family val="2"/>
            <charset val="134"/>
          </rPr>
          <t>/Mengwei Xu:</t>
        </r>
        <r>
          <rPr>
            <sz val="9"/>
            <color indexed="81"/>
            <rFont val="Tahoma"/>
            <family val="2"/>
            <charset val="134"/>
          </rPr>
          <t xml:space="preserve">
青岛失分</t>
        </r>
      </text>
    </comment>
    <comment ref="AT5" authorId="0" shapeId="0">
      <text>
        <r>
          <rPr>
            <b/>
            <sz val="9"/>
            <color indexed="81"/>
            <rFont val="宋体"/>
            <family val="3"/>
            <charset val="134"/>
          </rPr>
          <t>徐梦薇</t>
        </r>
        <r>
          <rPr>
            <b/>
            <sz val="9"/>
            <color indexed="81"/>
            <rFont val="Tahoma"/>
            <family val="2"/>
            <charset val="134"/>
          </rPr>
          <t>/Mengwei Xu:</t>
        </r>
        <r>
          <rPr>
            <sz val="9"/>
            <color indexed="81"/>
            <rFont val="Tahoma"/>
            <family val="2"/>
            <charset val="134"/>
          </rPr>
          <t xml:space="preserve">
评估期内分公司总经理助理（分管个险）方炜、南通中心支公司总经理（负责人）钟耀国离职。</t>
        </r>
      </text>
    </comment>
    <comment ref="AX5"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临沂：王展</t>
        </r>
        <r>
          <rPr>
            <sz val="9"/>
            <color indexed="81"/>
            <rFont val="Tahoma"/>
            <family val="2"/>
          </rPr>
          <t xml:space="preserve">2017/10/15  </t>
        </r>
        <r>
          <rPr>
            <sz val="9"/>
            <color indexed="81"/>
            <rFont val="宋体"/>
            <family val="3"/>
            <charset val="134"/>
          </rPr>
          <t>济南：齐宏杰</t>
        </r>
        <r>
          <rPr>
            <sz val="9"/>
            <color indexed="81"/>
            <rFont val="Tahoma"/>
            <family val="2"/>
          </rPr>
          <t xml:space="preserve">2017/11/28  </t>
        </r>
        <r>
          <rPr>
            <sz val="9"/>
            <color indexed="81"/>
            <rFont val="宋体"/>
            <family val="3"/>
            <charset val="134"/>
          </rPr>
          <t>淄博：车杰</t>
        </r>
        <r>
          <rPr>
            <sz val="9"/>
            <color indexed="81"/>
            <rFont val="Tahoma"/>
            <family val="2"/>
          </rPr>
          <t xml:space="preserve">2018/5/10        </t>
        </r>
        <r>
          <rPr>
            <sz val="9"/>
            <color indexed="81"/>
            <rFont val="宋体"/>
            <family val="3"/>
            <charset val="134"/>
          </rPr>
          <t>临沂：刘勇</t>
        </r>
        <r>
          <rPr>
            <sz val="9"/>
            <color indexed="81"/>
            <rFont val="Tahoma"/>
            <family val="2"/>
          </rPr>
          <t>2018/9/2</t>
        </r>
      </text>
    </comment>
    <comment ref="BB5" authorId="0" shapeId="0">
      <text>
        <r>
          <rPr>
            <b/>
            <sz val="9"/>
            <color indexed="81"/>
            <rFont val="宋体"/>
            <family val="3"/>
            <charset val="134"/>
          </rPr>
          <t>徐梦薇/Mengwei Xu:</t>
        </r>
        <r>
          <rPr>
            <sz val="9"/>
            <color indexed="81"/>
            <rFont val="宋体"/>
            <family val="3"/>
            <charset val="134"/>
          </rPr>
          <t xml:space="preserve">
三季度中心支公司主要负责人离职1人，王静转外</t>
        </r>
      </text>
    </comment>
    <comment ref="BH5" authorId="0" shapeId="0">
      <text>
        <r>
          <rPr>
            <b/>
            <sz val="9"/>
            <color indexed="81"/>
            <rFont val="宋体"/>
            <family val="3"/>
            <charset val="134"/>
          </rPr>
          <t>徐梦薇/Mengwei Xu:</t>
        </r>
        <r>
          <rPr>
            <sz val="9"/>
            <color indexed="81"/>
            <rFont val="宋体"/>
            <family val="3"/>
            <charset val="134"/>
          </rPr>
          <t xml:space="preserve">
过期</t>
        </r>
      </text>
    </comment>
    <comment ref="BN5" authorId="0" shape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、漯河中支负责人段可、三门峡中支负责人朱林最后工作日均为</t>
        </r>
        <r>
          <rPr>
            <sz val="9"/>
            <color indexed="81"/>
            <rFont val="Tahoma"/>
            <family val="2"/>
          </rPr>
          <t xml:space="preserve">2018-8-31( </t>
        </r>
        <r>
          <rPr>
            <sz val="9"/>
            <color indexed="81"/>
            <rFont val="宋体"/>
            <family val="3"/>
            <charset val="134"/>
          </rPr>
          <t>免职文号</t>
        </r>
        <r>
          <rPr>
            <sz val="9"/>
            <color indexed="81"/>
            <rFont val="Tahoma"/>
            <family val="2"/>
          </rPr>
          <t xml:space="preserve">: </t>
        </r>
        <r>
          <rPr>
            <sz val="9"/>
            <color indexed="81"/>
            <rFont val="宋体"/>
            <family val="3"/>
            <charset val="134"/>
          </rPr>
          <t>恒安标准发</t>
        </r>
        <r>
          <rPr>
            <sz val="9"/>
            <color indexed="81"/>
            <rFont val="Tahoma"/>
            <family val="2"/>
          </rPr>
          <t>[2018]177</t>
        </r>
        <r>
          <rPr>
            <sz val="9"/>
            <color indexed="81"/>
            <rFont val="宋体"/>
            <family val="3"/>
            <charset val="134"/>
          </rPr>
          <t>号</t>
        </r>
        <r>
          <rPr>
            <sz val="9"/>
            <color indexed="81"/>
            <rFont val="Tahoma"/>
            <family val="2"/>
          </rPr>
          <t xml:space="preserve">) </t>
        </r>
        <r>
          <rPr>
            <sz val="9"/>
            <color indexed="81"/>
            <rFont val="宋体"/>
            <family val="3"/>
            <charset val="134"/>
          </rPr>
          <t>；</t>
        </r>
        <r>
          <rPr>
            <sz val="9"/>
            <color indexed="81"/>
            <rFont val="Tahoma"/>
            <family val="2"/>
          </rPr>
          <t xml:space="preserve">                 2</t>
        </r>
        <r>
          <rPr>
            <sz val="9"/>
            <color indexed="81"/>
            <rFont val="宋体"/>
            <family val="3"/>
            <charset val="134"/>
          </rPr>
          <t>、焦作中支负责人马宁最后工作日为</t>
        </r>
        <r>
          <rPr>
            <sz val="9"/>
            <color indexed="81"/>
            <rFont val="Tahoma"/>
            <family val="2"/>
          </rPr>
          <t xml:space="preserve">2019-5-31( </t>
        </r>
        <r>
          <rPr>
            <sz val="9"/>
            <color indexed="81"/>
            <rFont val="宋体"/>
            <family val="3"/>
            <charset val="134"/>
          </rPr>
          <t>免职文号</t>
        </r>
        <r>
          <rPr>
            <sz val="9"/>
            <color indexed="81"/>
            <rFont val="Tahoma"/>
            <family val="2"/>
          </rPr>
          <t xml:space="preserve">: </t>
        </r>
        <r>
          <rPr>
            <sz val="9"/>
            <color indexed="81"/>
            <rFont val="宋体"/>
            <family val="3"/>
            <charset val="134"/>
          </rPr>
          <t>恒安标准发</t>
        </r>
        <r>
          <rPr>
            <sz val="9"/>
            <color indexed="81"/>
            <rFont val="Tahoma"/>
            <family val="2"/>
          </rPr>
          <t>[2019]176</t>
        </r>
        <r>
          <rPr>
            <sz val="9"/>
            <color indexed="81"/>
            <rFont val="宋体"/>
            <family val="3"/>
            <charset val="134"/>
          </rPr>
          <t>号</t>
        </r>
        <r>
          <rPr>
            <sz val="9"/>
            <color indexed="81"/>
            <rFont val="Tahoma"/>
            <family val="2"/>
          </rPr>
          <t>)</t>
        </r>
        <r>
          <rPr>
            <sz val="9"/>
            <color indexed="81"/>
            <rFont val="宋体"/>
            <family val="3"/>
            <charset val="134"/>
          </rPr>
          <t>。</t>
        </r>
      </text>
    </comment>
    <comment ref="BP5"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广分总经理助理兼银保渠道负责人梁巧玲</t>
        </r>
        <r>
          <rPr>
            <sz val="9"/>
            <color indexed="81"/>
            <rFont val="Tahoma"/>
            <family val="2"/>
          </rPr>
          <t>2017-12-29</t>
        </r>
        <r>
          <rPr>
            <sz val="9"/>
            <color indexed="81"/>
            <rFont val="宋体"/>
            <family val="3"/>
            <charset val="134"/>
          </rPr>
          <t>离职
广分江门中心支公司总经理甘建荣</t>
        </r>
        <r>
          <rPr>
            <sz val="9"/>
            <color indexed="81"/>
            <rFont val="Tahoma"/>
            <family val="2"/>
          </rPr>
          <t>2018-03-16</t>
        </r>
        <r>
          <rPr>
            <sz val="9"/>
            <color indexed="81"/>
            <rFont val="宋体"/>
            <family val="3"/>
            <charset val="134"/>
          </rPr>
          <t>离职</t>
        </r>
      </text>
    </comment>
    <comment ref="BT5" authorId="0" shapeId="0">
      <text>
        <r>
          <rPr>
            <b/>
            <sz val="9"/>
            <color indexed="81"/>
            <rFont val="宋体"/>
            <family val="3"/>
            <charset val="134"/>
          </rPr>
          <t>徐梦薇</t>
        </r>
        <r>
          <rPr>
            <b/>
            <sz val="9"/>
            <color indexed="81"/>
            <rFont val="Tahoma"/>
            <family val="2"/>
            <charset val="134"/>
          </rPr>
          <t>/Mengwei Xu:</t>
        </r>
        <r>
          <rPr>
            <sz val="9"/>
            <color indexed="81"/>
            <rFont val="Tahoma"/>
            <family val="2"/>
            <charset val="134"/>
          </rPr>
          <t xml:space="preserve">
18Q3-19Q2</t>
        </r>
        <r>
          <rPr>
            <sz val="9"/>
            <color indexed="81"/>
            <rFont val="宋体"/>
            <family val="3"/>
            <charset val="134"/>
          </rPr>
          <t>离职人员：李晖（</t>
        </r>
        <r>
          <rPr>
            <sz val="9"/>
            <color indexed="81"/>
            <rFont val="Tahoma"/>
            <family val="2"/>
            <charset val="134"/>
          </rPr>
          <t>19Q2</t>
        </r>
        <r>
          <rPr>
            <sz val="9"/>
            <color indexed="81"/>
            <rFont val="宋体"/>
            <family val="3"/>
            <charset val="134"/>
          </rPr>
          <t>）</t>
        </r>
      </text>
    </comment>
    <comment ref="AD6" authorId="0" shapeId="0">
      <text>
        <r>
          <rPr>
            <b/>
            <sz val="9"/>
            <color indexed="81"/>
            <rFont val="宋体"/>
            <family val="3"/>
            <charset val="134"/>
          </rPr>
          <t>徐梦薇/Mengwei Xu:</t>
        </r>
        <r>
          <rPr>
            <sz val="9"/>
            <color indexed="81"/>
            <rFont val="宋体"/>
            <family val="3"/>
            <charset val="134"/>
          </rPr>
          <t xml:space="preserve">
2019.7.9天分银保渠道负责人乔雪茜、团险渠道负责人王昕任命为分公司总经理助理</t>
        </r>
      </text>
    </comment>
    <comment ref="AX6"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山分：崔涛、郑恒永、王洪燕</t>
        </r>
        <r>
          <rPr>
            <sz val="9"/>
            <color indexed="81"/>
            <rFont val="Tahoma"/>
            <family val="2"/>
          </rPr>
          <t xml:space="preserve">                               </t>
        </r>
        <r>
          <rPr>
            <sz val="9"/>
            <color indexed="81"/>
            <rFont val="宋体"/>
            <family val="3"/>
            <charset val="134"/>
          </rPr>
          <t>济南：潘若建</t>
        </r>
        <r>
          <rPr>
            <sz val="9"/>
            <color indexed="81"/>
            <rFont val="Tahoma"/>
            <family val="2"/>
          </rPr>
          <t xml:space="preserve">                                                           </t>
        </r>
        <r>
          <rPr>
            <sz val="9"/>
            <color indexed="81"/>
            <rFont val="宋体"/>
            <family val="3"/>
            <charset val="134"/>
          </rPr>
          <t>烟台：刘敬斌
济宁：李建英
潍坊：董海东
威海：郑寿智
泰安：王竣
枣庄：王静
德州：秦文霞</t>
        </r>
        <r>
          <rPr>
            <sz val="9"/>
            <color indexed="81"/>
            <rFont val="Tahoma"/>
            <family val="2"/>
          </rPr>
          <t xml:space="preserve">            </t>
        </r>
        <r>
          <rPr>
            <sz val="9"/>
            <color indexed="81"/>
            <rFont val="宋体"/>
            <family val="3"/>
            <charset val="134"/>
          </rPr>
          <t>淄博：许森</t>
        </r>
      </text>
    </comment>
    <comment ref="BB6" authorId="0" shapeId="0">
      <text>
        <r>
          <rPr>
            <b/>
            <sz val="9"/>
            <color indexed="81"/>
            <rFont val="宋体"/>
            <family val="3"/>
            <charset val="134"/>
          </rPr>
          <t>徐梦薇/Mengwei Xu:</t>
        </r>
        <r>
          <rPr>
            <sz val="9"/>
            <color indexed="81"/>
            <rFont val="宋体"/>
            <family val="3"/>
            <charset val="134"/>
          </rPr>
          <t xml:space="preserve">
原潍坊负责人异动到分公司业发，现任临时负责人为周磊（9月20日任命。</t>
        </r>
      </text>
    </comment>
    <comment ref="BP6"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省级分公司总经理室成员为</t>
        </r>
        <r>
          <rPr>
            <sz val="9"/>
            <color indexed="81"/>
            <rFont val="Tahoma"/>
            <family val="2"/>
          </rPr>
          <t>2</t>
        </r>
        <r>
          <rPr>
            <sz val="9"/>
            <color indexed="81"/>
            <rFont val="宋体"/>
            <family val="3"/>
            <charset val="134"/>
          </rPr>
          <t>人，中心支公司主要负责人为</t>
        </r>
        <r>
          <rPr>
            <sz val="9"/>
            <color indexed="81"/>
            <rFont val="Tahoma"/>
            <family val="2"/>
          </rPr>
          <t>2</t>
        </r>
        <r>
          <rPr>
            <sz val="9"/>
            <color indexed="81"/>
            <rFont val="宋体"/>
            <family val="3"/>
            <charset val="134"/>
          </rPr>
          <t>人，合共</t>
        </r>
        <r>
          <rPr>
            <sz val="9"/>
            <color indexed="81"/>
            <rFont val="Tahoma"/>
            <family val="2"/>
          </rPr>
          <t>4</t>
        </r>
        <r>
          <rPr>
            <sz val="9"/>
            <color indexed="81"/>
            <rFont val="宋体"/>
            <family val="3"/>
            <charset val="134"/>
          </rPr>
          <t>人</t>
        </r>
      </text>
    </comment>
    <comment ref="Z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去除了石家庄人数，其次，原个险培训负责人白春蕊</t>
        </r>
        <r>
          <rPr>
            <sz val="9"/>
            <color indexed="81"/>
            <rFont val="Tahoma"/>
            <family val="2"/>
          </rPr>
          <t>6.15</t>
        </r>
        <r>
          <rPr>
            <sz val="9"/>
            <color indexed="81"/>
            <rFont val="宋体"/>
            <family val="3"/>
            <charset val="134"/>
          </rPr>
          <t>离职</t>
        </r>
      </text>
    </comment>
    <comment ref="AF8"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分公司</t>
        </r>
        <r>
          <rPr>
            <sz val="9"/>
            <color indexed="81"/>
            <rFont val="Tahoma"/>
            <family val="2"/>
          </rPr>
          <t>ID3</t>
        </r>
        <r>
          <rPr>
            <sz val="9"/>
            <color indexed="81"/>
            <rFont val="宋体"/>
            <family val="3"/>
            <charset val="134"/>
          </rPr>
          <t>、分公司</t>
        </r>
        <r>
          <rPr>
            <sz val="9"/>
            <color indexed="81"/>
            <rFont val="Tahoma"/>
            <family val="2"/>
          </rPr>
          <t>AD1</t>
        </r>
        <r>
          <rPr>
            <sz val="9"/>
            <color indexed="81"/>
            <rFont val="宋体"/>
            <family val="3"/>
            <charset val="134"/>
          </rPr>
          <t>、分公司</t>
        </r>
        <r>
          <rPr>
            <sz val="9"/>
            <color indexed="81"/>
            <rFont val="Tahoma"/>
            <family val="2"/>
          </rPr>
          <t>RP1</t>
        </r>
        <r>
          <rPr>
            <sz val="9"/>
            <color indexed="81"/>
            <rFont val="宋体"/>
            <family val="3"/>
            <charset val="134"/>
          </rPr>
          <t>、分公司</t>
        </r>
        <r>
          <rPr>
            <sz val="9"/>
            <color indexed="81"/>
            <rFont val="Tahoma"/>
            <family val="2"/>
          </rPr>
          <t>CS1</t>
        </r>
        <r>
          <rPr>
            <sz val="9"/>
            <color indexed="81"/>
            <rFont val="宋体"/>
            <family val="3"/>
            <charset val="134"/>
          </rPr>
          <t>、沈阳</t>
        </r>
        <r>
          <rPr>
            <sz val="9"/>
            <color indexed="81"/>
            <rFont val="Tahoma"/>
            <family val="2"/>
          </rPr>
          <t>1</t>
        </r>
        <r>
          <rPr>
            <sz val="9"/>
            <color indexed="81"/>
            <rFont val="宋体"/>
            <family val="3"/>
            <charset val="134"/>
          </rPr>
          <t>、铁岭</t>
        </r>
        <r>
          <rPr>
            <sz val="9"/>
            <color indexed="81"/>
            <rFont val="Tahoma"/>
            <family val="2"/>
          </rPr>
          <t>1</t>
        </r>
        <r>
          <rPr>
            <sz val="9"/>
            <color indexed="81"/>
            <rFont val="宋体"/>
            <family val="3"/>
            <charset val="134"/>
          </rPr>
          <t>、抚顺</t>
        </r>
        <r>
          <rPr>
            <sz val="9"/>
            <color indexed="81"/>
            <rFont val="Tahoma"/>
            <family val="2"/>
          </rPr>
          <t>1</t>
        </r>
        <r>
          <rPr>
            <sz val="9"/>
            <color indexed="81"/>
            <rFont val="宋体"/>
            <family val="3"/>
            <charset val="134"/>
          </rPr>
          <t>、锦州</t>
        </r>
        <r>
          <rPr>
            <sz val="9"/>
            <color indexed="81"/>
            <rFont val="Tahoma"/>
            <family val="2"/>
          </rPr>
          <t>2</t>
        </r>
        <r>
          <rPr>
            <sz val="9"/>
            <color indexed="81"/>
            <rFont val="宋体"/>
            <family val="3"/>
            <charset val="134"/>
          </rPr>
          <t>、丹东</t>
        </r>
        <r>
          <rPr>
            <sz val="9"/>
            <color indexed="81"/>
            <rFont val="Tahoma"/>
            <family val="2"/>
          </rPr>
          <t>2</t>
        </r>
        <r>
          <rPr>
            <sz val="9"/>
            <color indexed="81"/>
            <rFont val="宋体"/>
            <family val="3"/>
            <charset val="134"/>
          </rPr>
          <t>、辽阳</t>
        </r>
        <r>
          <rPr>
            <sz val="9"/>
            <color indexed="81"/>
            <rFont val="Tahoma"/>
            <family val="2"/>
          </rPr>
          <t>2</t>
        </r>
        <r>
          <rPr>
            <sz val="9"/>
            <color indexed="81"/>
            <rFont val="宋体"/>
            <family val="3"/>
            <charset val="134"/>
          </rPr>
          <t>、本溪</t>
        </r>
        <r>
          <rPr>
            <sz val="9"/>
            <color indexed="81"/>
            <rFont val="Tahoma"/>
            <family val="2"/>
          </rPr>
          <t>2</t>
        </r>
      </text>
    </comment>
    <comment ref="AR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新增保费部负责人徐祥寅、苏州临时负责胡堃；原保费部负责人郑小丽异动至南京中支个险培训部负责人</t>
        </r>
        <r>
          <rPr>
            <sz val="9"/>
            <color indexed="81"/>
            <rFont val="Tahoma"/>
            <family val="2"/>
          </rPr>
          <t>,</t>
        </r>
        <r>
          <rPr>
            <sz val="9"/>
            <color indexed="81"/>
            <rFont val="宋体"/>
            <family val="3"/>
            <charset val="134"/>
          </rPr>
          <t>原苏州中支负责人尤建芳离职</t>
        </r>
      </text>
    </comment>
    <comment ref="AX8" authorId="0" shapeId="0">
      <text>
        <r>
          <rPr>
            <b/>
            <sz val="9"/>
            <color indexed="81"/>
            <rFont val="宋体"/>
            <family val="3"/>
            <charset val="134"/>
          </rPr>
          <t>徐梦薇</t>
        </r>
        <r>
          <rPr>
            <b/>
            <sz val="9"/>
            <color indexed="81"/>
            <rFont val="Tahoma"/>
            <family val="2"/>
          </rPr>
          <t>/Mengwei Xu:</t>
        </r>
        <r>
          <rPr>
            <sz val="9"/>
            <color indexed="81"/>
            <rFont val="宋体"/>
            <family val="3"/>
            <charset val="134"/>
          </rPr>
          <t xml:space="preserve">
山东省分公司客户服务部负责人赵建元
山东省分公司多元行销负责人王洪燕
山东省分公司续期保费部负责人梁仕永
山东省分公司个险销售支持部负责人陈艳
山东省分公司个险培训部负责人杨凯
山东省分公司个险人力发展部负责人李庆福
山东省分公司个险业务发展部负责人刘震
</t>
        </r>
        <r>
          <rPr>
            <sz val="9"/>
            <color indexed="81"/>
            <rFont val="Tahoma"/>
            <family val="2"/>
          </rPr>
          <t xml:space="preserve"> </t>
        </r>
        <r>
          <rPr>
            <sz val="9"/>
            <color indexed="81"/>
            <rFont val="宋体"/>
            <family val="3"/>
            <charset val="134"/>
          </rPr>
          <t>烟台中心支公司个险业务发展部负责人焦修伟
烟台中心支公司团险渠道负责人曹爱文
烟台中心支公司个险培训部负责人于晓荣
济宁中心支公司团险渠道负责人刘小利
济宁中心支公司个险业务发展部负责人陈智川
潍坊中心支公司个险业务发展部负责人王俊娜
枣庄中心支公司个险业务发展部负责人周全伟
威海中心支公司个险业务发展部负责人李广升
德州中心支公司个险培训部负责人胡萍萍
德州中心支公司个险业务发展部负责人任龙飞
泰安中心支公司个险业务发展部负责人李明军
临沂中心支公司个险业务发展部负责人张杰</t>
        </r>
      </text>
    </comment>
    <comment ref="BD8"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 </t>
        </r>
        <r>
          <rPr>
            <sz val="9"/>
            <color indexed="81"/>
            <rFont val="宋体"/>
            <family val="3"/>
            <charset val="134"/>
          </rPr>
          <t>续期</t>
        </r>
        <r>
          <rPr>
            <sz val="9"/>
            <color indexed="81"/>
            <rFont val="Tahoma"/>
            <family val="2"/>
          </rPr>
          <t xml:space="preserve">1 </t>
        </r>
        <r>
          <rPr>
            <sz val="9"/>
            <color indexed="81"/>
            <rFont val="宋体"/>
            <family val="3"/>
            <charset val="134"/>
          </rPr>
          <t>客服</t>
        </r>
        <r>
          <rPr>
            <sz val="9"/>
            <color indexed="81"/>
            <rFont val="Tahoma"/>
            <family val="2"/>
          </rPr>
          <t>1</t>
        </r>
      </text>
    </comment>
    <comment ref="BJ8"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部门负责人个人简历</t>
        </r>
      </text>
    </comment>
    <comment ref="BV8"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t>
        </r>
        <r>
          <rPr>
            <sz val="9"/>
            <color indexed="81"/>
            <rFont val="宋体"/>
            <family val="3"/>
            <charset val="134"/>
          </rPr>
          <t>尹冬，银保</t>
        </r>
        <r>
          <rPr>
            <sz val="9"/>
            <color indexed="81"/>
            <rFont val="Tahoma"/>
            <family val="2"/>
          </rPr>
          <t>-</t>
        </r>
        <r>
          <rPr>
            <sz val="9"/>
            <color indexed="81"/>
            <rFont val="宋体"/>
            <family val="3"/>
            <charset val="134"/>
          </rPr>
          <t>黄娟，客户</t>
        </r>
        <r>
          <rPr>
            <sz val="9"/>
            <color indexed="81"/>
            <rFont val="Tahoma"/>
            <family val="2"/>
          </rPr>
          <t>-</t>
        </r>
        <r>
          <rPr>
            <sz val="9"/>
            <color indexed="81"/>
            <rFont val="宋体"/>
            <family val="3"/>
            <charset val="134"/>
          </rPr>
          <t>黎伟，</t>
        </r>
        <r>
          <rPr>
            <sz val="9"/>
            <color indexed="81"/>
            <rFont val="Tahoma"/>
            <family val="2"/>
          </rPr>
          <t>SC</t>
        </r>
        <r>
          <rPr>
            <sz val="9"/>
            <color indexed="81"/>
            <rFont val="宋体"/>
            <family val="3"/>
            <charset val="134"/>
          </rPr>
          <t>培训</t>
        </r>
        <r>
          <rPr>
            <sz val="9"/>
            <color indexed="81"/>
            <rFont val="Tahoma"/>
            <family val="2"/>
          </rPr>
          <t>-</t>
        </r>
        <r>
          <rPr>
            <sz val="9"/>
            <color indexed="81"/>
            <rFont val="宋体"/>
            <family val="3"/>
            <charset val="134"/>
          </rPr>
          <t>胡妲，</t>
        </r>
        <r>
          <rPr>
            <sz val="9"/>
            <color indexed="81"/>
            <rFont val="Tahoma"/>
            <family val="2"/>
          </rPr>
          <t>SC</t>
        </r>
        <r>
          <rPr>
            <sz val="9"/>
            <color indexed="81"/>
            <rFont val="宋体"/>
            <family val="3"/>
            <charset val="134"/>
          </rPr>
          <t>业务</t>
        </r>
        <r>
          <rPr>
            <sz val="9"/>
            <color indexed="81"/>
            <rFont val="Tahoma"/>
            <family val="2"/>
          </rPr>
          <t>-</t>
        </r>
        <r>
          <rPr>
            <sz val="9"/>
            <color indexed="81"/>
            <rFont val="宋体"/>
            <family val="3"/>
            <charset val="134"/>
          </rPr>
          <t>晏成怀；</t>
        </r>
        <r>
          <rPr>
            <sz val="9"/>
            <color indexed="81"/>
            <rFont val="Tahoma"/>
            <family val="2"/>
          </rPr>
          <t>SC</t>
        </r>
        <r>
          <rPr>
            <sz val="9"/>
            <color indexed="81"/>
            <rFont val="宋体"/>
            <family val="3"/>
            <charset val="134"/>
          </rPr>
          <t>人力</t>
        </r>
        <r>
          <rPr>
            <sz val="9"/>
            <color indexed="81"/>
            <rFont val="Tahoma"/>
            <family val="2"/>
          </rPr>
          <t>-</t>
        </r>
        <r>
          <rPr>
            <sz val="9"/>
            <color indexed="81"/>
            <rFont val="宋体"/>
            <family val="3"/>
            <charset val="134"/>
          </rPr>
          <t>甘勋；</t>
        </r>
        <r>
          <rPr>
            <sz val="9"/>
            <color indexed="81"/>
            <rFont val="Tahoma"/>
            <family val="2"/>
          </rPr>
          <t>LS</t>
        </r>
        <r>
          <rPr>
            <sz val="9"/>
            <color indexed="81"/>
            <rFont val="宋体"/>
            <family val="3"/>
            <charset val="134"/>
          </rPr>
          <t>业务</t>
        </r>
        <r>
          <rPr>
            <sz val="9"/>
            <color indexed="81"/>
            <rFont val="Tahoma"/>
            <family val="2"/>
          </rPr>
          <t>-</t>
        </r>
        <r>
          <rPr>
            <sz val="9"/>
            <color indexed="81"/>
            <rFont val="宋体"/>
            <family val="3"/>
            <charset val="134"/>
          </rPr>
          <t>张晓波，</t>
        </r>
        <r>
          <rPr>
            <sz val="9"/>
            <color indexed="81"/>
            <rFont val="Tahoma"/>
            <family val="2"/>
          </rPr>
          <t>LS</t>
        </r>
        <r>
          <rPr>
            <sz val="9"/>
            <color indexed="81"/>
            <rFont val="宋体"/>
            <family val="3"/>
            <charset val="134"/>
          </rPr>
          <t>培训</t>
        </r>
        <r>
          <rPr>
            <sz val="9"/>
            <color indexed="81"/>
            <rFont val="Tahoma"/>
            <family val="2"/>
          </rPr>
          <t>-</t>
        </r>
        <r>
          <rPr>
            <sz val="9"/>
            <color indexed="81"/>
            <rFont val="宋体"/>
            <family val="3"/>
            <charset val="134"/>
          </rPr>
          <t>唐文佳；</t>
        </r>
        <r>
          <rPr>
            <sz val="9"/>
            <color indexed="81"/>
            <rFont val="Tahoma"/>
            <family val="2"/>
          </rPr>
          <t>DZ-</t>
        </r>
        <r>
          <rPr>
            <sz val="9"/>
            <color indexed="81"/>
            <rFont val="宋体"/>
            <family val="3"/>
            <charset val="134"/>
          </rPr>
          <t>李美安，</t>
        </r>
        <r>
          <rPr>
            <sz val="9"/>
            <color indexed="81"/>
            <rFont val="Tahoma"/>
            <family val="2"/>
          </rPr>
          <t>NC-</t>
        </r>
        <r>
          <rPr>
            <sz val="9"/>
            <color indexed="81"/>
            <rFont val="宋体"/>
            <family val="3"/>
            <charset val="134"/>
          </rPr>
          <t>王蓉，</t>
        </r>
        <r>
          <rPr>
            <sz val="9"/>
            <color indexed="81"/>
            <rFont val="Tahoma"/>
            <family val="2"/>
          </rPr>
          <t>ZG-</t>
        </r>
        <r>
          <rPr>
            <sz val="9"/>
            <color indexed="81"/>
            <rFont val="宋体"/>
            <family val="3"/>
            <charset val="134"/>
          </rPr>
          <t>王强，</t>
        </r>
        <r>
          <rPr>
            <sz val="9"/>
            <color indexed="81"/>
            <rFont val="Tahoma"/>
            <family val="2"/>
          </rPr>
          <t>ZG</t>
        </r>
        <r>
          <rPr>
            <sz val="9"/>
            <color indexed="81"/>
            <rFont val="宋体"/>
            <family val="3"/>
            <charset val="134"/>
          </rPr>
          <t>：王梦兰</t>
        </r>
      </text>
    </comment>
    <comment ref="Z9"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AF9"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R9"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新增保费部负责人徐祥寅、苏州临时负责胡堃；原保费部负责人郑小丽异动至南京中支个险培训部负责人</t>
        </r>
        <r>
          <rPr>
            <sz val="9"/>
            <color indexed="81"/>
            <rFont val="Tahoma"/>
            <family val="2"/>
          </rPr>
          <t>,</t>
        </r>
        <r>
          <rPr>
            <sz val="9"/>
            <color indexed="81"/>
            <rFont val="宋体"/>
            <family val="3"/>
            <charset val="134"/>
          </rPr>
          <t>原苏州中支负责人尤建芳离职</t>
        </r>
      </text>
    </comment>
    <comment ref="AX9" authorId="2" shapeId="0">
      <text>
        <r>
          <rPr>
            <b/>
            <sz val="9"/>
            <color indexed="81"/>
            <rFont val="宋体"/>
            <family val="3"/>
            <charset val="134"/>
          </rPr>
          <t>同上</t>
        </r>
      </text>
    </comment>
    <comment ref="BD9"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J9"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相关部门负责人（叶红、张进林、吴畏、刘辉、张瑞强、芦培贞、刘博、孙昭海、姚梅、王艳丽、张建萍、彭波、李丽、李学双、吴小强）</t>
        </r>
      </text>
    </comment>
    <comment ref="BV9" authorId="1" shapeId="0">
      <text>
        <r>
          <rPr>
            <b/>
            <sz val="9"/>
            <color indexed="81"/>
            <rFont val="宋体"/>
            <family val="3"/>
            <charset val="134"/>
          </rPr>
          <t>徐梦薇</t>
        </r>
        <r>
          <rPr>
            <b/>
            <sz val="9"/>
            <color indexed="81"/>
            <rFont val="Tahoma"/>
            <family val="2"/>
          </rPr>
          <t xml:space="preserve">:
</t>
        </r>
        <r>
          <rPr>
            <b/>
            <sz val="9"/>
            <color indexed="81"/>
            <rFont val="宋体"/>
            <family val="3"/>
            <charset val="134"/>
          </rPr>
          <t>同上</t>
        </r>
      </text>
    </comment>
    <comment ref="D10" authorId="0" shapeId="0">
      <text>
        <r>
          <rPr>
            <b/>
            <sz val="9"/>
            <color indexed="81"/>
            <rFont val="宋体"/>
            <family val="3"/>
            <charset val="134"/>
          </rPr>
          <t>徐梦薇</t>
        </r>
        <r>
          <rPr>
            <b/>
            <sz val="9"/>
            <color indexed="81"/>
            <rFont val="Tahoma"/>
            <family val="2"/>
            <charset val="134"/>
          </rPr>
          <t>/Mengwei Xu:</t>
        </r>
        <r>
          <rPr>
            <sz val="9"/>
            <color indexed="81"/>
            <rFont val="Tahoma"/>
            <family val="2"/>
            <charset val="134"/>
          </rPr>
          <t xml:space="preserve">
除天津均失分</t>
        </r>
      </text>
    </comment>
    <comment ref="BP11"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离职共</t>
        </r>
        <r>
          <rPr>
            <sz val="9"/>
            <color indexed="81"/>
            <rFont val="Tahoma"/>
            <family val="2"/>
          </rPr>
          <t>36</t>
        </r>
        <r>
          <rPr>
            <sz val="9"/>
            <color indexed="81"/>
            <rFont val="宋体"/>
            <family val="3"/>
            <charset val="134"/>
          </rPr>
          <t>人次，统计数据不包括分公司总经理</t>
        </r>
        <r>
          <rPr>
            <sz val="9"/>
            <color indexed="81"/>
            <rFont val="Tahoma"/>
            <family val="2"/>
          </rPr>
          <t>,</t>
        </r>
        <r>
          <rPr>
            <sz val="9"/>
            <color indexed="81"/>
            <rFont val="宋体"/>
            <family val="3"/>
            <charset val="134"/>
          </rPr>
          <t>包含分公司总经理助理兼渠道负责人。（其中有一人</t>
        </r>
        <r>
          <rPr>
            <sz val="9"/>
            <color indexed="81"/>
            <rFont val="Tahoma"/>
            <family val="2"/>
          </rPr>
          <t>6</t>
        </r>
        <r>
          <rPr>
            <sz val="9"/>
            <color indexed="81"/>
            <rFont val="宋体"/>
            <family val="3"/>
            <charset val="134"/>
          </rPr>
          <t>月</t>
        </r>
        <r>
          <rPr>
            <sz val="9"/>
            <color indexed="81"/>
            <rFont val="Tahoma"/>
            <family val="2"/>
          </rPr>
          <t>30</t>
        </r>
        <r>
          <rPr>
            <sz val="9"/>
            <color indexed="81"/>
            <rFont val="宋体"/>
            <family val="3"/>
            <charset val="134"/>
          </rPr>
          <t>日最后工作日，计入第三季度离职）</t>
        </r>
      </text>
    </comment>
    <comment ref="BP12"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前</t>
        </r>
        <r>
          <rPr>
            <sz val="9"/>
            <color indexed="81"/>
            <rFont val="Tahoma"/>
            <family val="2"/>
          </rPr>
          <t>4</t>
        </r>
        <r>
          <rPr>
            <sz val="9"/>
            <color indexed="81"/>
            <rFont val="宋体"/>
            <family val="3"/>
            <charset val="134"/>
          </rPr>
          <t>个季度初省级分公司及以下分支机构有</t>
        </r>
        <r>
          <rPr>
            <sz val="9"/>
            <color indexed="81"/>
            <rFont val="Tahoma"/>
            <family val="2"/>
          </rPr>
          <t>48</t>
        </r>
        <r>
          <rPr>
            <sz val="9"/>
            <color indexed="81"/>
            <rFont val="宋体"/>
            <family val="3"/>
            <charset val="134"/>
          </rPr>
          <t>人</t>
        </r>
      </text>
    </comment>
    <comment ref="X13" authorId="0" shapeId="0">
      <text>
        <r>
          <rPr>
            <b/>
            <sz val="9"/>
            <color indexed="81"/>
            <rFont val="宋体"/>
            <family val="3"/>
            <charset val="134"/>
          </rPr>
          <t>徐梦薇/Mengwei Xu:</t>
        </r>
        <r>
          <rPr>
            <sz val="9"/>
            <color indexed="81"/>
            <rFont val="宋体"/>
            <family val="3"/>
            <charset val="134"/>
          </rPr>
          <t xml:space="preserve">
上季度因银保业务发展需要故大量引入外勤人员</t>
        </r>
      </text>
    </comment>
    <comment ref="BP13" authorId="0" shapeId="0">
      <text>
        <r>
          <rPr>
            <b/>
            <sz val="9"/>
            <color indexed="81"/>
            <rFont val="宋体"/>
            <family val="3"/>
            <charset val="134"/>
          </rPr>
          <t>徐梦薇</t>
        </r>
        <r>
          <rPr>
            <b/>
            <sz val="9"/>
            <color indexed="81"/>
            <rFont val="Tahoma"/>
            <family val="2"/>
          </rPr>
          <t>/Mengwei Xu:</t>
        </r>
        <r>
          <rPr>
            <sz val="9"/>
            <color indexed="81"/>
            <rFont val="Tahoma"/>
            <family val="2"/>
          </rPr>
          <t xml:space="preserve">
17.7-18.6</t>
        </r>
        <r>
          <rPr>
            <sz val="9"/>
            <color indexed="81"/>
            <rFont val="宋体"/>
            <family val="3"/>
            <charset val="134"/>
          </rPr>
          <t>增加员工</t>
        </r>
        <r>
          <rPr>
            <sz val="9"/>
            <color indexed="81"/>
            <rFont val="Tahoma"/>
            <family val="2"/>
          </rPr>
          <t>25</t>
        </r>
        <r>
          <rPr>
            <sz val="9"/>
            <color indexed="81"/>
            <rFont val="宋体"/>
            <family val="3"/>
            <charset val="134"/>
          </rPr>
          <t>人</t>
        </r>
      </text>
    </comment>
    <comment ref="BJ14"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每季度总部合规培训共</t>
        </r>
        <r>
          <rPr>
            <sz val="9"/>
            <color indexed="81"/>
            <rFont val="Tahoma"/>
            <family val="2"/>
          </rPr>
          <t>4</t>
        </r>
        <r>
          <rPr>
            <sz val="9"/>
            <color indexed="81"/>
            <rFont val="宋体"/>
            <family val="3"/>
            <charset val="134"/>
          </rPr>
          <t>次。</t>
        </r>
      </text>
    </comment>
    <comment ref="BP1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本季度组织了扫黑除恶、金融知识普及、合规知识、标准化工作、三季度合规培训共</t>
        </r>
        <r>
          <rPr>
            <sz val="9"/>
            <color indexed="81"/>
            <rFont val="Tahoma"/>
            <family val="2"/>
          </rPr>
          <t>5</t>
        </r>
        <r>
          <rPr>
            <sz val="9"/>
            <color indexed="81"/>
            <rFont val="宋体"/>
            <family val="3"/>
            <charset val="134"/>
          </rPr>
          <t>次培训。前三季度共举办了</t>
        </r>
        <r>
          <rPr>
            <sz val="9"/>
            <color indexed="81"/>
            <rFont val="Tahoma"/>
            <family val="2"/>
          </rPr>
          <t>9</t>
        </r>
        <r>
          <rPr>
            <sz val="9"/>
            <color indexed="81"/>
            <rFont val="宋体"/>
            <family val="3"/>
            <charset val="134"/>
          </rPr>
          <t>次</t>
        </r>
        <r>
          <rPr>
            <sz val="9"/>
            <color indexed="81"/>
            <rFont val="Tahoma"/>
            <family val="2"/>
          </rPr>
          <t xml:space="preserve"> </t>
        </r>
        <r>
          <rPr>
            <sz val="9"/>
            <color indexed="81"/>
            <rFont val="宋体"/>
            <family val="3"/>
            <charset val="134"/>
          </rPr>
          <t>，一起发生</t>
        </r>
        <r>
          <rPr>
            <sz val="9"/>
            <color indexed="81"/>
            <rFont val="Tahoma"/>
            <family val="2"/>
          </rPr>
          <t>14</t>
        </r>
        <r>
          <rPr>
            <sz val="9"/>
            <color indexed="81"/>
            <rFont val="宋体"/>
            <family val="3"/>
            <charset val="134"/>
          </rPr>
          <t>次，导致变动幅度较大。</t>
        </r>
      </text>
    </comment>
    <comment ref="BV14" authorId="1" shapeId="0">
      <text>
        <r>
          <rPr>
            <b/>
            <sz val="9"/>
            <color indexed="81"/>
            <rFont val="宋体"/>
            <family val="3"/>
            <charset val="134"/>
          </rPr>
          <t>徐梦薇</t>
        </r>
        <r>
          <rPr>
            <b/>
            <sz val="9"/>
            <color indexed="81"/>
            <rFont val="Tahoma"/>
            <family val="2"/>
          </rPr>
          <t>:</t>
        </r>
        <r>
          <rPr>
            <sz val="9"/>
            <color indexed="81"/>
            <rFont val="Tahoma"/>
            <family val="2"/>
          </rPr>
          <t xml:space="preserve">
2017.9.8</t>
        </r>
        <r>
          <rPr>
            <sz val="9"/>
            <color indexed="81"/>
            <rFont val="宋体"/>
            <family val="3"/>
            <charset val="134"/>
          </rPr>
          <t>合规与风险培训，</t>
        </r>
        <r>
          <rPr>
            <sz val="9"/>
            <color indexed="81"/>
            <rFont val="Tahoma"/>
            <family val="2"/>
          </rPr>
          <t>2017</t>
        </r>
        <r>
          <rPr>
            <sz val="9"/>
            <color indexed="81"/>
            <rFont val="宋体"/>
            <family val="3"/>
            <charset val="134"/>
          </rPr>
          <t>年四季度系统合规培训，</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季度合规培训</t>
        </r>
      </text>
    </comment>
    <comment ref="AF17"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新增（金山、恒荣汇彬）</t>
        </r>
        <r>
          <rPr>
            <sz val="9"/>
            <color indexed="81"/>
            <rFont val="Tahoma"/>
            <family val="2"/>
          </rPr>
          <t>2</t>
        </r>
        <r>
          <rPr>
            <sz val="9"/>
            <color indexed="81"/>
            <rFont val="宋体"/>
            <family val="3"/>
            <charset val="134"/>
          </rPr>
          <t>家</t>
        </r>
      </text>
    </comment>
    <comment ref="AR17"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团险：无锡华美代理合同到期
团险：</t>
        </r>
        <r>
          <rPr>
            <sz val="9"/>
            <color indexed="81"/>
            <rFont val="Tahoma"/>
            <family val="2"/>
          </rPr>
          <t>10,</t>
        </r>
        <r>
          <rPr>
            <sz val="9"/>
            <color indexed="81"/>
            <rFont val="宋体"/>
            <family val="3"/>
            <charset val="134"/>
          </rPr>
          <t>截至</t>
        </r>
        <r>
          <rPr>
            <sz val="9"/>
            <color indexed="81"/>
            <rFont val="Tahoma"/>
            <family val="2"/>
          </rPr>
          <t>20180930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
多元：</t>
        </r>
        <r>
          <rPr>
            <sz val="9"/>
            <color indexed="81"/>
            <rFont val="Tahoma"/>
            <family val="2"/>
          </rPr>
          <t>27(</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t>
        </r>
        <r>
          <rPr>
            <sz val="9"/>
            <color indexed="81"/>
            <rFont val="宋体"/>
            <family val="3"/>
            <charset val="134"/>
          </rPr>
          <t>新增</t>
        </r>
        <r>
          <rPr>
            <sz val="9"/>
            <color indexed="81"/>
            <rFont val="Tahoma"/>
            <family val="2"/>
          </rPr>
          <t>4</t>
        </r>
        <r>
          <rPr>
            <sz val="9"/>
            <color indexed="81"/>
            <rFont val="宋体"/>
            <family val="3"/>
            <charset val="134"/>
          </rPr>
          <t>家（安康、中驰、华夏在线、总部签：中捷、）
银行：</t>
        </r>
        <r>
          <rPr>
            <sz val="9"/>
            <color indexed="81"/>
            <rFont val="Tahoma"/>
            <family val="2"/>
          </rPr>
          <t>2(</t>
        </r>
        <r>
          <rPr>
            <sz val="9"/>
            <color indexed="81"/>
            <rFont val="宋体"/>
            <family val="3"/>
            <charset val="134"/>
          </rPr>
          <t>工行、招行）</t>
        </r>
      </text>
    </comment>
    <comment ref="AX17"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t>
        </r>
        <r>
          <rPr>
            <sz val="9"/>
            <color indexed="81"/>
            <rFont val="Tahoma"/>
            <family val="2"/>
          </rPr>
          <t>3</t>
        </r>
        <r>
          <rPr>
            <sz val="9"/>
            <color indexed="81"/>
            <rFont val="宋体"/>
            <family val="3"/>
            <charset val="134"/>
          </rPr>
          <t>，多元：</t>
        </r>
        <r>
          <rPr>
            <sz val="9"/>
            <color indexed="81"/>
            <rFont val="Tahoma"/>
            <family val="2"/>
          </rPr>
          <t xml:space="preserve">44 </t>
        </r>
        <r>
          <rPr>
            <sz val="9"/>
            <color indexed="81"/>
            <rFont val="宋体"/>
            <family val="3"/>
            <charset val="134"/>
          </rPr>
          <t>团险</t>
        </r>
        <r>
          <rPr>
            <sz val="9"/>
            <color indexed="81"/>
            <rFont val="Tahoma"/>
            <family val="2"/>
          </rPr>
          <t xml:space="preserve">; 9
</t>
        </r>
      </text>
    </comment>
    <comment ref="BD17"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 1
</t>
        </r>
        <r>
          <rPr>
            <sz val="9"/>
            <color indexed="81"/>
            <rFont val="宋体"/>
            <family val="3"/>
            <charset val="134"/>
          </rPr>
          <t>青岛银保渠道</t>
        </r>
        <r>
          <rPr>
            <sz val="9"/>
            <color indexed="81"/>
            <rFont val="Tahoma"/>
            <family val="2"/>
          </rPr>
          <t>2016</t>
        </r>
        <r>
          <rPr>
            <sz val="9"/>
            <color indexed="81"/>
            <rFont val="宋体"/>
            <family val="3"/>
            <charset val="134"/>
          </rPr>
          <t>年</t>
        </r>
        <r>
          <rPr>
            <sz val="9"/>
            <color indexed="81"/>
            <rFont val="Tahoma"/>
            <family val="2"/>
          </rPr>
          <t>11</t>
        </r>
        <r>
          <rPr>
            <sz val="9"/>
            <color indexed="81"/>
            <rFont val="宋体"/>
            <family val="3"/>
            <charset val="134"/>
          </rPr>
          <t>月起暂时关闭</t>
        </r>
      </text>
    </comment>
    <comment ref="BH17"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新设多元渠道增加签订协议</t>
        </r>
      </text>
    </comment>
    <comment ref="BJ17"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签订的合作协议</t>
        </r>
      </text>
    </comment>
    <comment ref="BV17" authorId="2" shapeId="0">
      <text>
        <r>
          <rPr>
            <b/>
            <sz val="9"/>
            <color indexed="81"/>
            <rFont val="宋体"/>
            <family val="3"/>
            <charset val="134"/>
          </rPr>
          <t>银保——建行：全面业务合作补充协议 ；工行：总部签署准入协议；天津银行：总部签署；大连银行：总部签署                   团险——  签订23家                             多元——分对分签订14家，总对总签订2家，合计16家</t>
        </r>
      </text>
    </comment>
    <comment ref="AF18"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R1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团险：无锡华美代理合同到期
团险：</t>
        </r>
        <r>
          <rPr>
            <sz val="9"/>
            <color indexed="81"/>
            <rFont val="Tahoma"/>
            <family val="2"/>
          </rPr>
          <t>10,</t>
        </r>
        <r>
          <rPr>
            <sz val="9"/>
            <color indexed="81"/>
            <rFont val="宋体"/>
            <family val="3"/>
            <charset val="134"/>
          </rPr>
          <t>截至</t>
        </r>
        <r>
          <rPr>
            <sz val="9"/>
            <color indexed="81"/>
            <rFont val="Tahoma"/>
            <family val="2"/>
          </rPr>
          <t>20180930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
多元：</t>
        </r>
        <r>
          <rPr>
            <sz val="9"/>
            <color indexed="81"/>
            <rFont val="Tahoma"/>
            <family val="2"/>
          </rPr>
          <t>27(</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t>
        </r>
        <r>
          <rPr>
            <sz val="9"/>
            <color indexed="81"/>
            <rFont val="宋体"/>
            <family val="3"/>
            <charset val="134"/>
          </rPr>
          <t>新增</t>
        </r>
        <r>
          <rPr>
            <sz val="9"/>
            <color indexed="81"/>
            <rFont val="Tahoma"/>
            <family val="2"/>
          </rPr>
          <t>4</t>
        </r>
        <r>
          <rPr>
            <sz val="9"/>
            <color indexed="81"/>
            <rFont val="宋体"/>
            <family val="3"/>
            <charset val="134"/>
          </rPr>
          <t>家（安康、中驰、华夏在线、总部签：中捷、）
银行：</t>
        </r>
        <r>
          <rPr>
            <sz val="9"/>
            <color indexed="81"/>
            <rFont val="Tahoma"/>
            <family val="2"/>
          </rPr>
          <t>2(</t>
        </r>
        <r>
          <rPr>
            <sz val="9"/>
            <color indexed="81"/>
            <rFont val="宋体"/>
            <family val="3"/>
            <charset val="134"/>
          </rPr>
          <t>工行、招行）</t>
        </r>
      </text>
    </comment>
    <comment ref="AX1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D18"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同上
</t>
        </r>
      </text>
    </comment>
    <comment ref="BH1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新设多元渠道增加签订协议</t>
        </r>
      </text>
    </comment>
    <comment ref="BJ18"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实际合作的机构情况</t>
        </r>
      </text>
    </comment>
    <comment ref="BV18" authorId="2" shapeId="0">
      <text>
        <r>
          <rPr>
            <b/>
            <sz val="9"/>
            <color indexed="81"/>
            <rFont val="宋体"/>
            <family val="3"/>
            <charset val="134"/>
          </rPr>
          <t>同上</t>
        </r>
      </text>
    </comment>
    <comment ref="V2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128</t>
        </r>
        <r>
          <rPr>
            <sz val="9"/>
            <color indexed="81"/>
            <rFont val="宋体"/>
            <family val="3"/>
            <charset val="134"/>
          </rPr>
          <t>，团险</t>
        </r>
        <r>
          <rPr>
            <sz val="9"/>
            <color indexed="81"/>
            <rFont val="Tahoma"/>
            <family val="2"/>
          </rPr>
          <t>4</t>
        </r>
        <r>
          <rPr>
            <sz val="9"/>
            <color indexed="81"/>
            <rFont val="宋体"/>
            <family val="3"/>
            <charset val="134"/>
          </rPr>
          <t>，银保</t>
        </r>
        <r>
          <rPr>
            <sz val="9"/>
            <color indexed="81"/>
            <rFont val="Tahoma"/>
            <family val="2"/>
          </rPr>
          <t>4</t>
        </r>
        <r>
          <rPr>
            <sz val="9"/>
            <color indexed="81"/>
            <rFont val="宋体"/>
            <family val="3"/>
            <charset val="134"/>
          </rPr>
          <t>，多元</t>
        </r>
        <r>
          <rPr>
            <sz val="9"/>
            <color indexed="81"/>
            <rFont val="Tahoma"/>
            <family val="2"/>
          </rPr>
          <t>3</t>
        </r>
        <r>
          <rPr>
            <sz val="9"/>
            <color indexed="81"/>
            <rFont val="宋体"/>
            <family val="3"/>
            <charset val="134"/>
          </rPr>
          <t>，收展</t>
        </r>
        <r>
          <rPr>
            <sz val="9"/>
            <color indexed="81"/>
            <rFont val="Tahoma"/>
            <family val="2"/>
          </rPr>
          <t>3</t>
        </r>
      </text>
    </comment>
    <comment ref="AB2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679
</t>
        </r>
        <r>
          <rPr>
            <sz val="9"/>
            <color indexed="81"/>
            <rFont val="宋体"/>
            <family val="3"/>
            <charset val="134"/>
          </rPr>
          <t>银保</t>
        </r>
        <r>
          <rPr>
            <sz val="9"/>
            <color indexed="81"/>
            <rFont val="Tahoma"/>
            <family val="2"/>
          </rPr>
          <t>28</t>
        </r>
        <r>
          <rPr>
            <sz val="9"/>
            <color indexed="81"/>
            <rFont val="宋体"/>
            <family val="3"/>
            <charset val="134"/>
          </rPr>
          <t>、团险</t>
        </r>
        <r>
          <rPr>
            <sz val="9"/>
            <color indexed="81"/>
            <rFont val="Tahoma"/>
            <family val="2"/>
          </rPr>
          <t>19</t>
        </r>
        <r>
          <rPr>
            <sz val="9"/>
            <color indexed="81"/>
            <rFont val="宋体"/>
            <family val="3"/>
            <charset val="134"/>
          </rPr>
          <t>、收展</t>
        </r>
        <r>
          <rPr>
            <sz val="9"/>
            <color indexed="81"/>
            <rFont val="Tahoma"/>
            <family val="2"/>
          </rPr>
          <t>8</t>
        </r>
      </text>
    </comment>
    <comment ref="AF20" authorId="1" shapeId="0">
      <text>
        <r>
          <rPr>
            <b/>
            <sz val="9"/>
            <color indexed="81"/>
            <rFont val="宋体"/>
            <family val="3"/>
            <charset val="134"/>
          </rPr>
          <t>徐梦薇</t>
        </r>
        <r>
          <rPr>
            <b/>
            <sz val="9"/>
            <color indexed="81"/>
            <rFont val="Tahoma"/>
            <family val="2"/>
          </rPr>
          <t>:</t>
        </r>
        <r>
          <rPr>
            <sz val="9"/>
            <color indexed="81"/>
            <rFont val="Tahoma"/>
            <family val="2"/>
          </rPr>
          <t xml:space="preserve">
ID1341</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15</t>
        </r>
      </text>
    </comment>
    <comment ref="AH20" authorId="0" shapeId="0">
      <text>
        <r>
          <rPr>
            <b/>
            <sz val="9"/>
            <color indexed="81"/>
            <rFont val="宋体"/>
            <family val="3"/>
            <charset val="134"/>
          </rPr>
          <t>徐梦薇</t>
        </r>
        <r>
          <rPr>
            <b/>
            <sz val="9"/>
            <color indexed="81"/>
            <rFont val="Tahoma"/>
            <family val="2"/>
          </rPr>
          <t>/Mengwei Xu:</t>
        </r>
        <r>
          <rPr>
            <sz val="9"/>
            <color indexed="81"/>
            <rFont val="Tahoma"/>
            <family val="2"/>
          </rPr>
          <t xml:space="preserve">
ID 1152</t>
        </r>
        <r>
          <rPr>
            <sz val="9"/>
            <color indexed="81"/>
            <rFont val="宋体"/>
            <family val="3"/>
            <charset val="134"/>
          </rPr>
          <t>、</t>
        </r>
        <r>
          <rPr>
            <sz val="9"/>
            <color indexed="81"/>
            <rFont val="Tahoma"/>
            <family val="2"/>
          </rPr>
          <t>AD 6</t>
        </r>
        <r>
          <rPr>
            <sz val="9"/>
            <color indexed="81"/>
            <rFont val="宋体"/>
            <family val="3"/>
            <charset val="134"/>
          </rPr>
          <t>、</t>
        </r>
        <r>
          <rPr>
            <sz val="9"/>
            <color indexed="81"/>
            <rFont val="Tahoma"/>
            <family val="2"/>
          </rPr>
          <t>RP 15</t>
        </r>
      </text>
    </comment>
    <comment ref="AL2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258 </t>
        </r>
        <r>
          <rPr>
            <sz val="9"/>
            <color indexed="81"/>
            <rFont val="宋体"/>
            <family val="3"/>
            <charset val="134"/>
          </rPr>
          <t>银保</t>
        </r>
        <r>
          <rPr>
            <sz val="9"/>
            <color indexed="81"/>
            <rFont val="Tahoma"/>
            <family val="2"/>
          </rPr>
          <t xml:space="preserve">18 </t>
        </r>
        <r>
          <rPr>
            <sz val="9"/>
            <color indexed="81"/>
            <rFont val="宋体"/>
            <family val="3"/>
            <charset val="134"/>
          </rPr>
          <t>续期</t>
        </r>
        <r>
          <rPr>
            <sz val="9"/>
            <color indexed="81"/>
            <rFont val="Tahoma"/>
            <family val="2"/>
          </rPr>
          <t>+</t>
        </r>
        <r>
          <rPr>
            <sz val="9"/>
            <color indexed="81"/>
            <rFont val="宋体"/>
            <family val="3"/>
            <charset val="134"/>
          </rPr>
          <t>综拓</t>
        </r>
        <r>
          <rPr>
            <sz val="9"/>
            <color indexed="81"/>
            <rFont val="Tahoma"/>
            <family val="2"/>
          </rPr>
          <t>4</t>
        </r>
      </text>
    </comment>
    <comment ref="AN2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157 </t>
        </r>
        <r>
          <rPr>
            <sz val="9"/>
            <color indexed="81"/>
            <rFont val="宋体"/>
            <family val="3"/>
            <charset val="134"/>
          </rPr>
          <t>银保</t>
        </r>
        <r>
          <rPr>
            <sz val="9"/>
            <color indexed="81"/>
            <rFont val="Tahoma"/>
            <family val="2"/>
          </rPr>
          <t xml:space="preserve">18 </t>
        </r>
        <r>
          <rPr>
            <sz val="9"/>
            <color indexed="81"/>
            <rFont val="宋体"/>
            <family val="3"/>
            <charset val="134"/>
          </rPr>
          <t>续期</t>
        </r>
        <r>
          <rPr>
            <sz val="9"/>
            <color indexed="81"/>
            <rFont val="Tahoma"/>
            <family val="2"/>
          </rPr>
          <t>2</t>
        </r>
      </text>
    </comment>
    <comment ref="AR2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847
</t>
        </r>
        <r>
          <rPr>
            <sz val="9"/>
            <color indexed="81"/>
            <rFont val="宋体"/>
            <family val="3"/>
            <charset val="134"/>
          </rPr>
          <t>保费部：</t>
        </r>
        <r>
          <rPr>
            <sz val="9"/>
            <color indexed="81"/>
            <rFont val="Tahoma"/>
            <family val="2"/>
          </rPr>
          <t>12</t>
        </r>
        <r>
          <rPr>
            <sz val="9"/>
            <color indexed="81"/>
            <rFont val="宋体"/>
            <family val="3"/>
            <charset val="134"/>
          </rPr>
          <t>人（余利民、张源、倪亮、姚菊萍、张园、王雪、丁子惠、钟倩云、张海燕、朱雅倩、房艳、杨洁）
多元</t>
        </r>
        <r>
          <rPr>
            <sz val="9"/>
            <color indexed="81"/>
            <rFont val="Tahoma"/>
            <family val="2"/>
          </rPr>
          <t>3</t>
        </r>
        <r>
          <rPr>
            <sz val="9"/>
            <color indexed="81"/>
            <rFont val="宋体"/>
            <family val="3"/>
            <charset val="134"/>
          </rPr>
          <t>（杨杰、毛小燕、刘晓青）</t>
        </r>
      </text>
    </comment>
    <comment ref="AX2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15</t>
        </r>
        <r>
          <rPr>
            <sz val="9"/>
            <color indexed="81"/>
            <rFont val="宋体"/>
            <family val="3"/>
            <charset val="134"/>
          </rPr>
          <t>，银保：</t>
        </r>
        <r>
          <rPr>
            <sz val="9"/>
            <color indexed="81"/>
            <rFont val="Tahoma"/>
            <family val="2"/>
          </rPr>
          <t>24</t>
        </r>
        <r>
          <rPr>
            <sz val="9"/>
            <color indexed="81"/>
            <rFont val="宋体"/>
            <family val="3"/>
            <charset val="134"/>
          </rPr>
          <t>，多元：</t>
        </r>
        <r>
          <rPr>
            <sz val="9"/>
            <color indexed="81"/>
            <rFont val="Tahoma"/>
            <family val="2"/>
          </rPr>
          <t>7</t>
        </r>
        <r>
          <rPr>
            <sz val="9"/>
            <color indexed="81"/>
            <rFont val="宋体"/>
            <family val="3"/>
            <charset val="134"/>
          </rPr>
          <t>，续：</t>
        </r>
        <r>
          <rPr>
            <sz val="9"/>
            <color indexed="81"/>
            <rFont val="Tahoma"/>
            <family val="2"/>
          </rPr>
          <t xml:space="preserve">15 </t>
        </r>
        <r>
          <rPr>
            <sz val="9"/>
            <color indexed="81"/>
            <rFont val="宋体"/>
            <family val="3"/>
            <charset val="134"/>
          </rPr>
          <t>个险：</t>
        </r>
        <r>
          <rPr>
            <sz val="9"/>
            <color indexed="81"/>
            <rFont val="Tahoma"/>
            <family val="2"/>
          </rPr>
          <t>941</t>
        </r>
      </text>
    </comment>
    <comment ref="AZ2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692
</t>
        </r>
        <r>
          <rPr>
            <sz val="9"/>
            <color indexed="81"/>
            <rFont val="宋体"/>
            <family val="3"/>
            <charset val="134"/>
          </rPr>
          <t>团险</t>
        </r>
        <r>
          <rPr>
            <sz val="9"/>
            <color indexed="81"/>
            <rFont val="Tahoma"/>
            <family val="2"/>
          </rPr>
          <t>14</t>
        </r>
        <r>
          <rPr>
            <sz val="9"/>
            <color indexed="81"/>
            <rFont val="宋体"/>
            <family val="3"/>
            <charset val="134"/>
          </rPr>
          <t xml:space="preserve">
银保</t>
        </r>
        <r>
          <rPr>
            <sz val="9"/>
            <color indexed="81"/>
            <rFont val="Tahoma"/>
            <family val="2"/>
          </rPr>
          <t>23</t>
        </r>
        <r>
          <rPr>
            <sz val="9"/>
            <color indexed="81"/>
            <rFont val="宋体"/>
            <family val="3"/>
            <charset val="134"/>
          </rPr>
          <t xml:space="preserve">
多元</t>
        </r>
        <r>
          <rPr>
            <sz val="9"/>
            <color indexed="81"/>
            <rFont val="Tahoma"/>
            <family val="2"/>
          </rPr>
          <t>6</t>
        </r>
        <r>
          <rPr>
            <sz val="9"/>
            <color indexed="81"/>
            <rFont val="宋体"/>
            <family val="3"/>
            <charset val="134"/>
          </rPr>
          <t xml:space="preserve">
收展</t>
        </r>
        <r>
          <rPr>
            <sz val="9"/>
            <color indexed="81"/>
            <rFont val="Tahoma"/>
            <family val="2"/>
          </rPr>
          <t>17</t>
        </r>
        <r>
          <rPr>
            <sz val="9"/>
            <color indexed="81"/>
            <rFont val="宋体"/>
            <family val="3"/>
            <charset val="134"/>
          </rPr>
          <t xml:space="preserve">
</t>
        </r>
      </text>
    </comment>
    <comment ref="BD20"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189</t>
        </r>
        <r>
          <rPr>
            <sz val="9"/>
            <color indexed="81"/>
            <rFont val="宋体"/>
            <family val="3"/>
            <charset val="134"/>
          </rPr>
          <t>，其中两人是劳动合同</t>
        </r>
        <r>
          <rPr>
            <sz val="9"/>
            <color indexed="81"/>
            <rFont val="Tahoma"/>
            <family val="2"/>
          </rPr>
          <t xml:space="preserve"> </t>
        </r>
        <r>
          <rPr>
            <sz val="9"/>
            <color indexed="81"/>
            <rFont val="宋体"/>
            <family val="3"/>
            <charset val="134"/>
          </rPr>
          <t>团险</t>
        </r>
        <r>
          <rPr>
            <sz val="9"/>
            <color indexed="81"/>
            <rFont val="Tahoma"/>
            <family val="2"/>
          </rPr>
          <t xml:space="preserve">2 </t>
        </r>
        <r>
          <rPr>
            <sz val="9"/>
            <color indexed="81"/>
            <rFont val="宋体"/>
            <family val="3"/>
            <charset val="134"/>
          </rPr>
          <t>续期</t>
        </r>
        <r>
          <rPr>
            <sz val="9"/>
            <color indexed="81"/>
            <rFont val="Tahoma"/>
            <family val="2"/>
          </rPr>
          <t>4</t>
        </r>
      </text>
    </comment>
    <comment ref="BF20"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234
</t>
        </r>
        <r>
          <rPr>
            <sz val="9"/>
            <color indexed="81"/>
            <rFont val="宋体"/>
            <family val="3"/>
            <charset val="134"/>
          </rPr>
          <t>团险</t>
        </r>
        <r>
          <rPr>
            <sz val="9"/>
            <color indexed="81"/>
            <rFont val="Tahoma"/>
            <family val="2"/>
          </rPr>
          <t xml:space="preserve">3 
</t>
        </r>
        <r>
          <rPr>
            <sz val="9"/>
            <color indexed="81"/>
            <rFont val="宋体"/>
            <family val="3"/>
            <charset val="134"/>
          </rPr>
          <t>收展</t>
        </r>
        <r>
          <rPr>
            <sz val="9"/>
            <color indexed="81"/>
            <rFont val="Tahoma"/>
            <family val="2"/>
          </rPr>
          <t>4</t>
        </r>
      </text>
    </comment>
    <comment ref="BJ20"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签订的劳动合同、代理合同
个险：</t>
        </r>
        <r>
          <rPr>
            <sz val="9"/>
            <color indexed="81"/>
            <rFont val="Tahoma"/>
            <family val="2"/>
          </rPr>
          <t xml:space="preserve">1121 </t>
        </r>
        <r>
          <rPr>
            <sz val="9"/>
            <color indexed="81"/>
            <rFont val="宋体"/>
            <family val="3"/>
            <charset val="134"/>
          </rPr>
          <t>多元</t>
        </r>
        <r>
          <rPr>
            <sz val="9"/>
            <color indexed="81"/>
            <rFont val="Tahoma"/>
            <family val="2"/>
          </rPr>
          <t xml:space="preserve"> 3 </t>
        </r>
        <r>
          <rPr>
            <sz val="9"/>
            <color indexed="81"/>
            <rFont val="宋体"/>
            <family val="3"/>
            <charset val="134"/>
          </rPr>
          <t>银保</t>
        </r>
        <r>
          <rPr>
            <sz val="9"/>
            <color indexed="81"/>
            <rFont val="Tahoma"/>
            <family val="2"/>
          </rPr>
          <t xml:space="preserve"> 44 </t>
        </r>
        <r>
          <rPr>
            <sz val="9"/>
            <color indexed="81"/>
            <rFont val="宋体"/>
            <family val="3"/>
            <charset val="134"/>
          </rPr>
          <t>续保</t>
        </r>
        <r>
          <rPr>
            <sz val="9"/>
            <color indexed="81"/>
            <rFont val="Tahoma"/>
            <family val="2"/>
          </rPr>
          <t xml:space="preserve"> 8 </t>
        </r>
        <r>
          <rPr>
            <sz val="9"/>
            <color indexed="81"/>
            <rFont val="宋体"/>
            <family val="3"/>
            <charset val="134"/>
          </rPr>
          <t>团险</t>
        </r>
        <r>
          <rPr>
            <sz val="9"/>
            <color indexed="81"/>
            <rFont val="Tahoma"/>
            <family val="2"/>
          </rPr>
          <t xml:space="preserve"> 4
</t>
        </r>
      </text>
    </comment>
    <comment ref="BL20"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683
</t>
        </r>
        <r>
          <rPr>
            <sz val="9"/>
            <color indexed="81"/>
            <rFont val="宋体"/>
            <family val="3"/>
            <charset val="134"/>
          </rPr>
          <t>团险</t>
        </r>
        <r>
          <rPr>
            <sz val="9"/>
            <color indexed="81"/>
            <rFont val="Tahoma"/>
            <family val="2"/>
          </rPr>
          <t>1</t>
        </r>
        <r>
          <rPr>
            <sz val="9"/>
            <color indexed="81"/>
            <rFont val="宋体"/>
            <family val="3"/>
            <charset val="134"/>
          </rPr>
          <t xml:space="preserve">
银保</t>
        </r>
        <r>
          <rPr>
            <sz val="9"/>
            <color indexed="81"/>
            <rFont val="Tahoma"/>
            <family val="2"/>
          </rPr>
          <t xml:space="preserve"> 33
</t>
        </r>
        <r>
          <rPr>
            <sz val="9"/>
            <color indexed="81"/>
            <rFont val="宋体"/>
            <family val="3"/>
            <charset val="134"/>
          </rPr>
          <t>多元</t>
        </r>
        <r>
          <rPr>
            <sz val="9"/>
            <color indexed="81"/>
            <rFont val="Tahoma"/>
            <family val="2"/>
          </rPr>
          <t xml:space="preserve"> 1 
</t>
        </r>
        <r>
          <rPr>
            <sz val="9"/>
            <color indexed="81"/>
            <rFont val="宋体"/>
            <family val="3"/>
            <charset val="134"/>
          </rPr>
          <t>收展</t>
        </r>
        <r>
          <rPr>
            <sz val="9"/>
            <color indexed="81"/>
            <rFont val="Tahoma"/>
            <family val="2"/>
          </rPr>
          <t xml:space="preserve">11
</t>
        </r>
      </text>
    </comment>
    <comment ref="BP2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337 </t>
        </r>
        <r>
          <rPr>
            <sz val="9"/>
            <color indexed="81"/>
            <rFont val="宋体"/>
            <family val="3"/>
            <charset val="134"/>
          </rPr>
          <t>续期</t>
        </r>
        <r>
          <rPr>
            <sz val="9"/>
            <color indexed="81"/>
            <rFont val="Tahoma"/>
            <family val="2"/>
          </rPr>
          <t xml:space="preserve">2
</t>
        </r>
      </text>
    </comment>
    <comment ref="BR20" authorId="0" shapeId="0">
      <text>
        <r>
          <rPr>
            <b/>
            <sz val="9"/>
            <color indexed="81"/>
            <rFont val="宋体"/>
            <family val="3"/>
            <charset val="134"/>
          </rPr>
          <t>徐梦薇</t>
        </r>
        <r>
          <rPr>
            <b/>
            <sz val="9"/>
            <color indexed="81"/>
            <rFont val="Tahoma"/>
            <family val="2"/>
          </rPr>
          <t xml:space="preserve">/Mengwei Xu:
</t>
        </r>
        <r>
          <rPr>
            <sz val="9"/>
            <color indexed="81"/>
            <rFont val="宋体"/>
            <family val="3"/>
            <charset val="134"/>
          </rPr>
          <t>个险</t>
        </r>
        <r>
          <rPr>
            <sz val="9"/>
            <color indexed="81"/>
            <rFont val="Tahoma"/>
            <family val="2"/>
          </rPr>
          <t xml:space="preserve">206
</t>
        </r>
        <r>
          <rPr>
            <sz val="9"/>
            <color indexed="81"/>
            <rFont val="宋体"/>
            <family val="3"/>
            <charset val="134"/>
          </rPr>
          <t>团险</t>
        </r>
        <r>
          <rPr>
            <sz val="9"/>
            <color indexed="81"/>
            <rFont val="Tahoma"/>
            <family val="2"/>
          </rPr>
          <t xml:space="preserve">3
</t>
        </r>
        <r>
          <rPr>
            <sz val="9"/>
            <color indexed="81"/>
            <rFont val="宋体"/>
            <family val="3"/>
            <charset val="134"/>
          </rPr>
          <t>多元</t>
        </r>
        <r>
          <rPr>
            <sz val="9"/>
            <color indexed="81"/>
            <rFont val="Tahoma"/>
            <family val="2"/>
          </rPr>
          <t>2</t>
        </r>
        <r>
          <rPr>
            <sz val="9"/>
            <color indexed="81"/>
            <rFont val="宋体"/>
            <family val="3"/>
            <charset val="134"/>
          </rPr>
          <t xml:space="preserve">
收展</t>
        </r>
        <r>
          <rPr>
            <sz val="9"/>
            <color indexed="81"/>
            <rFont val="Tahoma"/>
            <family val="2"/>
          </rPr>
          <t>4</t>
        </r>
      </text>
    </comment>
    <comment ref="BV20" authorId="2" shapeId="0">
      <text>
        <r>
          <rPr>
            <b/>
            <sz val="9"/>
            <color indexed="81"/>
            <rFont val="宋体"/>
            <family val="3"/>
            <charset val="134"/>
          </rPr>
          <t>签订劳动合同的销售人数：个险570人，银保4人，团险5人，多元2人，续期5人；</t>
        </r>
      </text>
    </comment>
    <comment ref="BX2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352</t>
        </r>
        <r>
          <rPr>
            <sz val="9"/>
            <color indexed="81"/>
            <rFont val="宋体"/>
            <family val="3"/>
            <charset val="134"/>
          </rPr>
          <t xml:space="preserve">
团险</t>
        </r>
        <r>
          <rPr>
            <sz val="9"/>
            <color indexed="81"/>
            <rFont val="Tahoma"/>
            <family val="2"/>
          </rPr>
          <t>4</t>
        </r>
        <r>
          <rPr>
            <sz val="9"/>
            <color indexed="81"/>
            <rFont val="宋体"/>
            <family val="3"/>
            <charset val="134"/>
          </rPr>
          <t xml:space="preserve">
银保</t>
        </r>
        <r>
          <rPr>
            <sz val="9"/>
            <color indexed="81"/>
            <rFont val="Tahoma"/>
            <family val="2"/>
          </rPr>
          <t>8</t>
        </r>
        <r>
          <rPr>
            <sz val="9"/>
            <color indexed="81"/>
            <rFont val="宋体"/>
            <family val="3"/>
            <charset val="134"/>
          </rPr>
          <t xml:space="preserve">
多元</t>
        </r>
        <r>
          <rPr>
            <sz val="9"/>
            <color indexed="81"/>
            <rFont val="Tahoma"/>
            <family val="2"/>
          </rPr>
          <t>3</t>
        </r>
        <r>
          <rPr>
            <sz val="9"/>
            <color indexed="81"/>
            <rFont val="宋体"/>
            <family val="3"/>
            <charset val="134"/>
          </rPr>
          <t xml:space="preserve">
收展</t>
        </r>
        <r>
          <rPr>
            <sz val="9"/>
            <color indexed="81"/>
            <rFont val="Tahoma"/>
            <family val="2"/>
          </rPr>
          <t xml:space="preserve">6
</t>
        </r>
      </text>
    </comment>
    <comment ref="V21"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128</t>
        </r>
        <r>
          <rPr>
            <sz val="9"/>
            <color indexed="81"/>
            <rFont val="宋体"/>
            <family val="3"/>
            <charset val="134"/>
          </rPr>
          <t>，团险</t>
        </r>
        <r>
          <rPr>
            <sz val="9"/>
            <color indexed="81"/>
            <rFont val="Tahoma"/>
            <family val="2"/>
          </rPr>
          <t>4</t>
        </r>
        <r>
          <rPr>
            <sz val="9"/>
            <color indexed="81"/>
            <rFont val="宋体"/>
            <family val="3"/>
            <charset val="134"/>
          </rPr>
          <t>，银保</t>
        </r>
        <r>
          <rPr>
            <sz val="9"/>
            <color indexed="81"/>
            <rFont val="Tahoma"/>
            <family val="2"/>
          </rPr>
          <t>4</t>
        </r>
        <r>
          <rPr>
            <sz val="9"/>
            <color indexed="81"/>
            <rFont val="宋体"/>
            <family val="3"/>
            <charset val="134"/>
          </rPr>
          <t>，多元</t>
        </r>
        <r>
          <rPr>
            <sz val="9"/>
            <color indexed="81"/>
            <rFont val="Tahoma"/>
            <family val="2"/>
          </rPr>
          <t>3</t>
        </r>
        <r>
          <rPr>
            <sz val="9"/>
            <color indexed="81"/>
            <rFont val="宋体"/>
            <family val="3"/>
            <charset val="134"/>
          </rPr>
          <t>，收展</t>
        </r>
        <r>
          <rPr>
            <sz val="9"/>
            <color indexed="81"/>
            <rFont val="Tahoma"/>
            <family val="2"/>
          </rPr>
          <t>3</t>
        </r>
      </text>
    </comment>
    <comment ref="AB21"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679
</t>
        </r>
        <r>
          <rPr>
            <sz val="9"/>
            <color indexed="81"/>
            <rFont val="宋体"/>
            <family val="3"/>
            <charset val="134"/>
          </rPr>
          <t>银保</t>
        </r>
        <r>
          <rPr>
            <sz val="9"/>
            <color indexed="81"/>
            <rFont val="Tahoma"/>
            <family val="2"/>
          </rPr>
          <t>28</t>
        </r>
        <r>
          <rPr>
            <sz val="9"/>
            <color indexed="81"/>
            <rFont val="宋体"/>
            <family val="3"/>
            <charset val="134"/>
          </rPr>
          <t>、团险</t>
        </r>
        <r>
          <rPr>
            <sz val="9"/>
            <color indexed="81"/>
            <rFont val="Tahoma"/>
            <family val="2"/>
          </rPr>
          <t>19</t>
        </r>
        <r>
          <rPr>
            <sz val="9"/>
            <color indexed="81"/>
            <rFont val="宋体"/>
            <family val="3"/>
            <charset val="134"/>
          </rPr>
          <t>、收展</t>
        </r>
        <r>
          <rPr>
            <sz val="9"/>
            <color indexed="81"/>
            <rFont val="Tahoma"/>
            <family val="2"/>
          </rPr>
          <t>8</t>
        </r>
      </text>
    </comment>
    <comment ref="AF21" authorId="1" shapeId="0">
      <text>
        <r>
          <rPr>
            <b/>
            <sz val="9"/>
            <color indexed="81"/>
            <rFont val="宋体"/>
            <family val="3"/>
            <charset val="134"/>
          </rPr>
          <t>徐梦薇</t>
        </r>
        <r>
          <rPr>
            <b/>
            <sz val="9"/>
            <color indexed="81"/>
            <rFont val="Tahoma"/>
            <family val="2"/>
          </rPr>
          <t>:</t>
        </r>
        <r>
          <rPr>
            <sz val="9"/>
            <color indexed="81"/>
            <rFont val="Tahoma"/>
            <family val="2"/>
          </rPr>
          <t xml:space="preserve">
ID1341</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15</t>
        </r>
      </text>
    </comment>
    <comment ref="AH21" authorId="0" shapeId="0">
      <text>
        <r>
          <rPr>
            <b/>
            <sz val="9"/>
            <color indexed="81"/>
            <rFont val="宋体"/>
            <family val="3"/>
            <charset val="134"/>
          </rPr>
          <t>徐梦薇</t>
        </r>
        <r>
          <rPr>
            <b/>
            <sz val="9"/>
            <color indexed="81"/>
            <rFont val="Tahoma"/>
            <family val="2"/>
          </rPr>
          <t>/Mengwei Xu:</t>
        </r>
        <r>
          <rPr>
            <sz val="9"/>
            <color indexed="81"/>
            <rFont val="Tahoma"/>
            <family val="2"/>
          </rPr>
          <t xml:space="preserve">
ID 1152</t>
        </r>
        <r>
          <rPr>
            <sz val="9"/>
            <color indexed="81"/>
            <rFont val="宋体"/>
            <family val="3"/>
            <charset val="134"/>
          </rPr>
          <t>、</t>
        </r>
        <r>
          <rPr>
            <sz val="9"/>
            <color indexed="81"/>
            <rFont val="Tahoma"/>
            <family val="2"/>
          </rPr>
          <t>AD 6</t>
        </r>
        <r>
          <rPr>
            <sz val="9"/>
            <color indexed="81"/>
            <rFont val="宋体"/>
            <family val="3"/>
            <charset val="134"/>
          </rPr>
          <t>、</t>
        </r>
        <r>
          <rPr>
            <sz val="9"/>
            <color indexed="81"/>
            <rFont val="Tahoma"/>
            <family val="2"/>
          </rPr>
          <t>RP 15</t>
        </r>
      </text>
    </comment>
    <comment ref="AL21"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N21"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157 </t>
        </r>
        <r>
          <rPr>
            <sz val="9"/>
            <color indexed="81"/>
            <rFont val="宋体"/>
            <family val="3"/>
            <charset val="134"/>
          </rPr>
          <t>银保</t>
        </r>
        <r>
          <rPr>
            <sz val="9"/>
            <color indexed="81"/>
            <rFont val="Tahoma"/>
            <family val="2"/>
          </rPr>
          <t xml:space="preserve">18 </t>
        </r>
        <r>
          <rPr>
            <sz val="9"/>
            <color indexed="81"/>
            <rFont val="宋体"/>
            <family val="3"/>
            <charset val="134"/>
          </rPr>
          <t>续期</t>
        </r>
        <r>
          <rPr>
            <sz val="9"/>
            <color indexed="81"/>
            <rFont val="Tahoma"/>
            <family val="2"/>
          </rPr>
          <t>2</t>
        </r>
      </text>
    </comment>
    <comment ref="AR21" authorId="0" shapeId="0">
      <text>
        <r>
          <rPr>
            <b/>
            <sz val="9"/>
            <color indexed="81"/>
            <rFont val="宋体"/>
            <family val="3"/>
            <charset val="134"/>
          </rPr>
          <t>徐梦薇</t>
        </r>
        <r>
          <rPr>
            <b/>
            <sz val="9"/>
            <color indexed="81"/>
            <rFont val="Tahoma"/>
            <family val="2"/>
          </rPr>
          <t xml:space="preserve">/Mengwei Xu:
</t>
        </r>
        <r>
          <rPr>
            <sz val="9"/>
            <color indexed="81"/>
            <rFont val="宋体"/>
            <family val="3"/>
            <charset val="134"/>
          </rPr>
          <t>同上</t>
        </r>
      </text>
    </comment>
    <comment ref="AX21"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Z21"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692
</t>
        </r>
        <r>
          <rPr>
            <sz val="9"/>
            <color indexed="81"/>
            <rFont val="宋体"/>
            <family val="3"/>
            <charset val="134"/>
          </rPr>
          <t>团险</t>
        </r>
        <r>
          <rPr>
            <sz val="9"/>
            <color indexed="81"/>
            <rFont val="Tahoma"/>
            <family val="2"/>
          </rPr>
          <t>14</t>
        </r>
        <r>
          <rPr>
            <sz val="9"/>
            <color indexed="81"/>
            <rFont val="宋体"/>
            <family val="3"/>
            <charset val="134"/>
          </rPr>
          <t xml:space="preserve">
银保</t>
        </r>
        <r>
          <rPr>
            <sz val="9"/>
            <color indexed="81"/>
            <rFont val="Tahoma"/>
            <family val="2"/>
          </rPr>
          <t>23</t>
        </r>
        <r>
          <rPr>
            <sz val="9"/>
            <color indexed="81"/>
            <rFont val="宋体"/>
            <family val="3"/>
            <charset val="134"/>
          </rPr>
          <t xml:space="preserve">
多元</t>
        </r>
        <r>
          <rPr>
            <sz val="9"/>
            <color indexed="81"/>
            <rFont val="Tahoma"/>
            <family val="2"/>
          </rPr>
          <t>6</t>
        </r>
        <r>
          <rPr>
            <sz val="9"/>
            <color indexed="81"/>
            <rFont val="宋体"/>
            <family val="3"/>
            <charset val="134"/>
          </rPr>
          <t xml:space="preserve">
收展</t>
        </r>
        <r>
          <rPr>
            <sz val="9"/>
            <color indexed="81"/>
            <rFont val="Tahoma"/>
            <family val="2"/>
          </rPr>
          <t>17</t>
        </r>
        <r>
          <rPr>
            <sz val="9"/>
            <color indexed="81"/>
            <rFont val="宋体"/>
            <family val="3"/>
            <charset val="134"/>
          </rPr>
          <t xml:space="preserve">
</t>
        </r>
      </text>
    </comment>
    <comment ref="BD21"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F21"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234
</t>
        </r>
        <r>
          <rPr>
            <sz val="9"/>
            <color indexed="81"/>
            <rFont val="宋体"/>
            <family val="3"/>
            <charset val="134"/>
          </rPr>
          <t>团险</t>
        </r>
        <r>
          <rPr>
            <sz val="9"/>
            <color indexed="81"/>
            <rFont val="Tahoma"/>
            <family val="2"/>
          </rPr>
          <t xml:space="preserve">3 
</t>
        </r>
        <r>
          <rPr>
            <sz val="9"/>
            <color indexed="81"/>
            <rFont val="宋体"/>
            <family val="3"/>
            <charset val="134"/>
          </rPr>
          <t>收展</t>
        </r>
        <r>
          <rPr>
            <sz val="9"/>
            <color indexed="81"/>
            <rFont val="Tahoma"/>
            <family val="2"/>
          </rPr>
          <t>4</t>
        </r>
      </text>
    </comment>
    <comment ref="BJ21" authorId="1" shapeId="0">
      <text>
        <r>
          <rPr>
            <b/>
            <sz val="9"/>
            <color indexed="81"/>
            <rFont val="宋体"/>
            <family val="3"/>
            <charset val="134"/>
          </rPr>
          <t>徐梦薇：
同上</t>
        </r>
      </text>
    </comment>
    <comment ref="BL21"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683
</t>
        </r>
        <r>
          <rPr>
            <sz val="9"/>
            <color indexed="81"/>
            <rFont val="宋体"/>
            <family val="3"/>
            <charset val="134"/>
          </rPr>
          <t>团险</t>
        </r>
        <r>
          <rPr>
            <sz val="9"/>
            <color indexed="81"/>
            <rFont val="Tahoma"/>
            <family val="2"/>
          </rPr>
          <t>1</t>
        </r>
        <r>
          <rPr>
            <sz val="9"/>
            <color indexed="81"/>
            <rFont val="宋体"/>
            <family val="3"/>
            <charset val="134"/>
          </rPr>
          <t xml:space="preserve">
银保</t>
        </r>
        <r>
          <rPr>
            <sz val="9"/>
            <color indexed="81"/>
            <rFont val="Tahoma"/>
            <family val="2"/>
          </rPr>
          <t xml:space="preserve"> 33
</t>
        </r>
        <r>
          <rPr>
            <sz val="9"/>
            <color indexed="81"/>
            <rFont val="宋体"/>
            <family val="3"/>
            <charset val="134"/>
          </rPr>
          <t>多元</t>
        </r>
        <r>
          <rPr>
            <sz val="9"/>
            <color indexed="81"/>
            <rFont val="Tahoma"/>
            <family val="2"/>
          </rPr>
          <t xml:space="preserve"> 1 
</t>
        </r>
        <r>
          <rPr>
            <sz val="9"/>
            <color indexed="81"/>
            <rFont val="宋体"/>
            <family val="3"/>
            <charset val="134"/>
          </rPr>
          <t>收展</t>
        </r>
        <r>
          <rPr>
            <sz val="9"/>
            <color indexed="81"/>
            <rFont val="Tahoma"/>
            <family val="2"/>
          </rPr>
          <t xml:space="preserve">11
</t>
        </r>
      </text>
    </comment>
    <comment ref="BP21"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BR21" authorId="0" shapeId="0">
      <text>
        <r>
          <rPr>
            <b/>
            <sz val="9"/>
            <color indexed="81"/>
            <rFont val="宋体"/>
            <family val="3"/>
            <charset val="134"/>
          </rPr>
          <t>徐梦薇</t>
        </r>
        <r>
          <rPr>
            <b/>
            <sz val="9"/>
            <color indexed="81"/>
            <rFont val="Tahoma"/>
            <family val="2"/>
          </rPr>
          <t xml:space="preserve">/Mengwei Xu:
</t>
        </r>
        <r>
          <rPr>
            <sz val="9"/>
            <color indexed="81"/>
            <rFont val="宋体"/>
            <family val="3"/>
            <charset val="134"/>
          </rPr>
          <t>个险</t>
        </r>
        <r>
          <rPr>
            <sz val="9"/>
            <color indexed="81"/>
            <rFont val="Tahoma"/>
            <family val="2"/>
          </rPr>
          <t xml:space="preserve">206
</t>
        </r>
        <r>
          <rPr>
            <sz val="9"/>
            <color indexed="81"/>
            <rFont val="宋体"/>
            <family val="3"/>
            <charset val="134"/>
          </rPr>
          <t>团险</t>
        </r>
        <r>
          <rPr>
            <sz val="9"/>
            <color indexed="81"/>
            <rFont val="Tahoma"/>
            <family val="2"/>
          </rPr>
          <t xml:space="preserve">3
</t>
        </r>
        <r>
          <rPr>
            <sz val="9"/>
            <color indexed="81"/>
            <rFont val="宋体"/>
            <family val="3"/>
            <charset val="134"/>
          </rPr>
          <t>多元</t>
        </r>
        <r>
          <rPr>
            <sz val="9"/>
            <color indexed="81"/>
            <rFont val="Tahoma"/>
            <family val="2"/>
          </rPr>
          <t>2</t>
        </r>
        <r>
          <rPr>
            <sz val="9"/>
            <color indexed="81"/>
            <rFont val="宋体"/>
            <family val="3"/>
            <charset val="134"/>
          </rPr>
          <t xml:space="preserve">
收展</t>
        </r>
        <r>
          <rPr>
            <sz val="9"/>
            <color indexed="81"/>
            <rFont val="Tahoma"/>
            <family val="2"/>
          </rPr>
          <t>4</t>
        </r>
      </text>
    </comment>
    <comment ref="BV21"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X21"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352</t>
        </r>
        <r>
          <rPr>
            <sz val="9"/>
            <color indexed="81"/>
            <rFont val="宋体"/>
            <family val="3"/>
            <charset val="134"/>
          </rPr>
          <t xml:space="preserve">
团险</t>
        </r>
        <r>
          <rPr>
            <sz val="9"/>
            <color indexed="81"/>
            <rFont val="Tahoma"/>
            <family val="2"/>
          </rPr>
          <t>4</t>
        </r>
        <r>
          <rPr>
            <sz val="9"/>
            <color indexed="81"/>
            <rFont val="宋体"/>
            <family val="3"/>
            <charset val="134"/>
          </rPr>
          <t xml:space="preserve">
银保</t>
        </r>
        <r>
          <rPr>
            <sz val="9"/>
            <color indexed="81"/>
            <rFont val="Tahoma"/>
            <family val="2"/>
          </rPr>
          <t>8</t>
        </r>
        <r>
          <rPr>
            <sz val="9"/>
            <color indexed="81"/>
            <rFont val="宋体"/>
            <family val="3"/>
            <charset val="134"/>
          </rPr>
          <t xml:space="preserve">
多元</t>
        </r>
        <r>
          <rPr>
            <sz val="9"/>
            <color indexed="81"/>
            <rFont val="Tahoma"/>
            <family val="2"/>
          </rPr>
          <t>3</t>
        </r>
        <r>
          <rPr>
            <sz val="9"/>
            <color indexed="81"/>
            <rFont val="宋体"/>
            <family val="3"/>
            <charset val="134"/>
          </rPr>
          <t xml:space="preserve">
收展</t>
        </r>
        <r>
          <rPr>
            <sz val="9"/>
            <color indexed="81"/>
            <rFont val="Tahoma"/>
            <family val="2"/>
          </rPr>
          <t xml:space="preserve">6
</t>
        </r>
      </text>
    </comment>
    <comment ref="D22"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江苏失分
</t>
        </r>
      </text>
    </comment>
    <comment ref="V23" authorId="0" shapeId="0">
      <text>
        <r>
          <rPr>
            <sz val="9"/>
            <color indexed="81"/>
            <rFont val="宋体"/>
            <family val="3"/>
            <charset val="134"/>
          </rPr>
          <t>银保</t>
        </r>
        <r>
          <rPr>
            <sz val="9"/>
            <color indexed="81"/>
            <rFont val="Tahoma"/>
            <family val="2"/>
          </rPr>
          <t>5</t>
        </r>
        <r>
          <rPr>
            <sz val="9"/>
            <color indexed="81"/>
            <rFont val="宋体"/>
            <family val="3"/>
            <charset val="134"/>
          </rPr>
          <t>多元</t>
        </r>
        <r>
          <rPr>
            <sz val="9"/>
            <color indexed="81"/>
            <rFont val="Tahoma"/>
            <family val="2"/>
          </rPr>
          <t>1</t>
        </r>
      </text>
    </comment>
    <comment ref="AB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20</t>
        </r>
        <r>
          <rPr>
            <sz val="9"/>
            <color indexed="81"/>
            <rFont val="宋体"/>
            <family val="3"/>
            <charset val="134"/>
          </rPr>
          <t>银保</t>
        </r>
        <r>
          <rPr>
            <sz val="9"/>
            <color indexed="81"/>
            <rFont val="Tahoma"/>
            <family val="2"/>
          </rPr>
          <t>2</t>
        </r>
      </text>
    </comment>
    <comment ref="AH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13</t>
        </r>
        <r>
          <rPr>
            <sz val="9"/>
            <color indexed="81"/>
            <rFont val="宋体"/>
            <family val="3"/>
            <charset val="134"/>
          </rPr>
          <t>银保</t>
        </r>
        <r>
          <rPr>
            <sz val="9"/>
            <color indexed="81"/>
            <rFont val="Tahoma"/>
            <family val="2"/>
          </rPr>
          <t>4</t>
        </r>
        <r>
          <rPr>
            <sz val="9"/>
            <color indexed="81"/>
            <rFont val="宋体"/>
            <family val="3"/>
            <charset val="134"/>
          </rPr>
          <t>多元</t>
        </r>
        <r>
          <rPr>
            <sz val="9"/>
            <color indexed="81"/>
            <rFont val="Tahoma"/>
            <family val="2"/>
          </rPr>
          <t>103</t>
        </r>
      </text>
    </comment>
    <comment ref="AJ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个险、多元投诉量增加</t>
        </r>
      </text>
    </comment>
    <comment ref="AN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t>
        </r>
      </text>
    </comment>
    <comment ref="AT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14</t>
        </r>
        <r>
          <rPr>
            <sz val="9"/>
            <color indexed="81"/>
            <rFont val="宋体"/>
            <family val="3"/>
            <charset val="134"/>
          </rPr>
          <t>银保</t>
        </r>
        <r>
          <rPr>
            <sz val="9"/>
            <color indexed="81"/>
            <rFont val="Tahoma"/>
            <family val="2"/>
          </rPr>
          <t>2</t>
        </r>
        <r>
          <rPr>
            <sz val="9"/>
            <color indexed="81"/>
            <rFont val="宋体"/>
            <family val="3"/>
            <charset val="134"/>
          </rPr>
          <t>多元</t>
        </r>
        <r>
          <rPr>
            <sz val="9"/>
            <color indexed="81"/>
            <rFont val="Tahoma"/>
            <family val="2"/>
          </rPr>
          <t>343</t>
        </r>
      </text>
    </comment>
    <comment ref="AZ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14</t>
        </r>
        <r>
          <rPr>
            <sz val="9"/>
            <color indexed="81"/>
            <rFont val="宋体"/>
            <family val="3"/>
            <charset val="134"/>
          </rPr>
          <t>银保</t>
        </r>
        <r>
          <rPr>
            <sz val="9"/>
            <color indexed="81"/>
            <rFont val="Tahoma"/>
            <family val="2"/>
          </rPr>
          <t>27</t>
        </r>
        <r>
          <rPr>
            <sz val="9"/>
            <color indexed="81"/>
            <rFont val="宋体"/>
            <family val="3"/>
            <charset val="134"/>
          </rPr>
          <t>多元</t>
        </r>
        <r>
          <rPr>
            <sz val="9"/>
            <color indexed="81"/>
            <rFont val="Tahoma"/>
            <family val="2"/>
          </rPr>
          <t>27</t>
        </r>
      </text>
    </comment>
    <comment ref="BF23" authorId="0" shapeId="0">
      <text>
        <r>
          <rPr>
            <b/>
            <sz val="9"/>
            <color indexed="81"/>
            <rFont val="宋体"/>
            <family val="3"/>
            <charset val="134"/>
          </rPr>
          <t>徐梦薇</t>
        </r>
        <r>
          <rPr>
            <b/>
            <sz val="9"/>
            <color indexed="81"/>
            <rFont val="Tahoma"/>
            <family val="2"/>
          </rPr>
          <t xml:space="preserve">/Mengwei Xu:
</t>
        </r>
        <r>
          <rPr>
            <sz val="9"/>
            <color indexed="81"/>
            <rFont val="宋体"/>
            <family val="3"/>
            <charset val="134"/>
          </rPr>
          <t>个险</t>
        </r>
        <r>
          <rPr>
            <sz val="9"/>
            <color indexed="81"/>
            <rFont val="Tahoma"/>
            <family val="2"/>
          </rPr>
          <t>6</t>
        </r>
        <r>
          <rPr>
            <sz val="9"/>
            <color indexed="81"/>
            <rFont val="宋体"/>
            <family val="3"/>
            <charset val="134"/>
          </rPr>
          <t>，银保</t>
        </r>
        <r>
          <rPr>
            <sz val="9"/>
            <color indexed="81"/>
            <rFont val="Tahoma"/>
            <family val="2"/>
          </rPr>
          <t>2</t>
        </r>
      </text>
    </comment>
    <comment ref="BH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投诉量降低</t>
        </r>
      </text>
    </comment>
    <comment ref="BL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
</t>
        </r>
        <r>
          <rPr>
            <sz val="9"/>
            <color indexed="81"/>
            <rFont val="宋体"/>
            <family val="3"/>
            <charset val="134"/>
          </rPr>
          <t>银保</t>
        </r>
        <r>
          <rPr>
            <sz val="9"/>
            <color indexed="81"/>
            <rFont val="Tahoma"/>
            <family val="2"/>
          </rPr>
          <t xml:space="preserve">16
</t>
        </r>
        <r>
          <rPr>
            <sz val="9"/>
            <color indexed="81"/>
            <rFont val="宋体"/>
            <family val="3"/>
            <charset val="134"/>
          </rPr>
          <t>多元</t>
        </r>
        <r>
          <rPr>
            <sz val="9"/>
            <color indexed="81"/>
            <rFont val="Tahoma"/>
            <family val="2"/>
          </rPr>
          <t>1</t>
        </r>
      </text>
    </comment>
    <comment ref="BT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上期为</t>
        </r>
        <r>
          <rPr>
            <sz val="9"/>
            <color indexed="81"/>
            <rFont val="Tahoma"/>
            <family val="2"/>
          </rPr>
          <t>0</t>
        </r>
      </text>
    </comment>
    <comment ref="BX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4
</t>
        </r>
        <r>
          <rPr>
            <sz val="9"/>
            <color indexed="81"/>
            <rFont val="宋体"/>
            <family val="3"/>
            <charset val="134"/>
          </rPr>
          <t>银保</t>
        </r>
        <r>
          <rPr>
            <sz val="9"/>
            <color indexed="81"/>
            <rFont val="Tahoma"/>
            <family val="2"/>
          </rPr>
          <t xml:space="preserve">2
</t>
        </r>
        <r>
          <rPr>
            <sz val="9"/>
            <color indexed="81"/>
            <rFont val="宋体"/>
            <family val="3"/>
            <charset val="134"/>
          </rPr>
          <t>多元</t>
        </r>
        <r>
          <rPr>
            <sz val="9"/>
            <color indexed="81"/>
            <rFont val="Tahoma"/>
            <family val="2"/>
          </rPr>
          <t xml:space="preserve">2
</t>
        </r>
      </text>
    </comment>
    <comment ref="V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10675
</t>
        </r>
        <r>
          <rPr>
            <sz val="9"/>
            <color indexed="81"/>
            <rFont val="宋体"/>
            <family val="3"/>
            <charset val="134"/>
          </rPr>
          <t>团险</t>
        </r>
        <r>
          <rPr>
            <sz val="9"/>
            <color indexed="81"/>
            <rFont val="Tahoma"/>
            <family val="2"/>
          </rPr>
          <t xml:space="preserve">134682
</t>
        </r>
        <r>
          <rPr>
            <sz val="9"/>
            <color indexed="81"/>
            <rFont val="宋体"/>
            <family val="3"/>
            <charset val="134"/>
          </rPr>
          <t>银保</t>
        </r>
        <r>
          <rPr>
            <sz val="9"/>
            <color indexed="81"/>
            <rFont val="Tahoma"/>
            <family val="2"/>
          </rPr>
          <t xml:space="preserve">2418
</t>
        </r>
        <r>
          <rPr>
            <sz val="9"/>
            <color indexed="81"/>
            <rFont val="宋体"/>
            <family val="3"/>
            <charset val="134"/>
          </rPr>
          <t>多元</t>
        </r>
        <r>
          <rPr>
            <sz val="9"/>
            <color indexed="81"/>
            <rFont val="Tahoma"/>
            <family val="2"/>
          </rPr>
          <t xml:space="preserve">5879
</t>
        </r>
        <r>
          <rPr>
            <sz val="9"/>
            <color indexed="81"/>
            <rFont val="宋体"/>
            <family val="3"/>
            <charset val="134"/>
          </rPr>
          <t>收展</t>
        </r>
        <r>
          <rPr>
            <sz val="9"/>
            <color indexed="81"/>
            <rFont val="Tahoma"/>
            <family val="2"/>
          </rPr>
          <t>265</t>
        </r>
      </text>
    </comment>
    <comment ref="X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团险保单增加</t>
        </r>
      </text>
    </comment>
    <comment ref="AB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59766
</t>
        </r>
        <r>
          <rPr>
            <sz val="9"/>
            <color indexed="81"/>
            <rFont val="宋体"/>
            <family val="3"/>
            <charset val="134"/>
          </rPr>
          <t>团险</t>
        </r>
        <r>
          <rPr>
            <sz val="9"/>
            <color indexed="81"/>
            <rFont val="Tahoma"/>
            <family val="2"/>
          </rPr>
          <t xml:space="preserve">186212
</t>
        </r>
        <r>
          <rPr>
            <sz val="9"/>
            <color indexed="81"/>
            <rFont val="宋体"/>
            <family val="3"/>
            <charset val="134"/>
          </rPr>
          <t>银保</t>
        </r>
        <r>
          <rPr>
            <sz val="9"/>
            <color indexed="81"/>
            <rFont val="Tahoma"/>
            <family val="2"/>
          </rPr>
          <t xml:space="preserve">6968
</t>
        </r>
        <r>
          <rPr>
            <sz val="9"/>
            <color indexed="81"/>
            <rFont val="宋体"/>
            <family val="3"/>
            <charset val="134"/>
          </rPr>
          <t>多元</t>
        </r>
        <r>
          <rPr>
            <sz val="9"/>
            <color indexed="81"/>
            <rFont val="Tahoma"/>
            <family val="2"/>
          </rPr>
          <t xml:space="preserve">1400
</t>
        </r>
        <r>
          <rPr>
            <sz val="9"/>
            <color indexed="81"/>
            <rFont val="宋体"/>
            <family val="3"/>
            <charset val="134"/>
          </rPr>
          <t>收展</t>
        </r>
        <r>
          <rPr>
            <sz val="9"/>
            <color indexed="81"/>
            <rFont val="Tahoma"/>
            <family val="2"/>
          </rPr>
          <t xml:space="preserve">410
</t>
        </r>
        <r>
          <rPr>
            <sz val="9"/>
            <color indexed="81"/>
            <rFont val="宋体"/>
            <family val="3"/>
            <charset val="134"/>
          </rPr>
          <t>网销</t>
        </r>
        <r>
          <rPr>
            <sz val="9"/>
            <color indexed="81"/>
            <rFont val="Tahoma"/>
            <family val="2"/>
          </rPr>
          <t>5</t>
        </r>
      </text>
    </comment>
    <comment ref="AH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61711
</t>
        </r>
        <r>
          <rPr>
            <sz val="9"/>
            <color indexed="81"/>
            <rFont val="宋体"/>
            <family val="3"/>
            <charset val="134"/>
          </rPr>
          <t>团险</t>
        </r>
        <r>
          <rPr>
            <sz val="9"/>
            <color indexed="81"/>
            <rFont val="Tahoma"/>
            <family val="2"/>
          </rPr>
          <t xml:space="preserve">56
</t>
        </r>
        <r>
          <rPr>
            <sz val="9"/>
            <color indexed="81"/>
            <rFont val="宋体"/>
            <family val="3"/>
            <charset val="134"/>
          </rPr>
          <t>银保</t>
        </r>
        <r>
          <rPr>
            <sz val="9"/>
            <color indexed="81"/>
            <rFont val="Tahoma"/>
            <family val="2"/>
          </rPr>
          <t xml:space="preserve">4821
</t>
        </r>
        <r>
          <rPr>
            <sz val="9"/>
            <color indexed="81"/>
            <rFont val="宋体"/>
            <family val="3"/>
            <charset val="134"/>
          </rPr>
          <t>多元</t>
        </r>
        <r>
          <rPr>
            <sz val="9"/>
            <color indexed="81"/>
            <rFont val="Tahoma"/>
            <family val="2"/>
          </rPr>
          <t xml:space="preserve">35779
</t>
        </r>
        <r>
          <rPr>
            <sz val="9"/>
            <color indexed="81"/>
            <rFont val="宋体"/>
            <family val="3"/>
            <charset val="134"/>
          </rPr>
          <t>收展</t>
        </r>
        <r>
          <rPr>
            <sz val="9"/>
            <color indexed="81"/>
            <rFont val="Tahoma"/>
            <family val="2"/>
          </rPr>
          <t>899</t>
        </r>
      </text>
    </comment>
    <comment ref="AN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9134
</t>
        </r>
        <r>
          <rPr>
            <sz val="9"/>
            <color indexed="81"/>
            <rFont val="宋体"/>
            <family val="3"/>
            <charset val="134"/>
          </rPr>
          <t>银保</t>
        </r>
        <r>
          <rPr>
            <sz val="9"/>
            <color indexed="81"/>
            <rFont val="Tahoma"/>
            <family val="2"/>
          </rPr>
          <t xml:space="preserve">11641
</t>
        </r>
        <r>
          <rPr>
            <sz val="9"/>
            <color indexed="81"/>
            <rFont val="宋体"/>
            <family val="3"/>
            <charset val="134"/>
          </rPr>
          <t>收展</t>
        </r>
        <r>
          <rPr>
            <sz val="9"/>
            <color indexed="81"/>
            <rFont val="Tahoma"/>
            <family val="2"/>
          </rPr>
          <t>180</t>
        </r>
      </text>
    </comment>
    <comment ref="AT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71899
</t>
        </r>
        <r>
          <rPr>
            <sz val="9"/>
            <color indexed="81"/>
            <rFont val="宋体"/>
            <family val="3"/>
            <charset val="134"/>
          </rPr>
          <t>团险</t>
        </r>
        <r>
          <rPr>
            <sz val="9"/>
            <color indexed="81"/>
            <rFont val="Tahoma"/>
            <family val="2"/>
          </rPr>
          <t xml:space="preserve">7892
</t>
        </r>
        <r>
          <rPr>
            <sz val="9"/>
            <color indexed="81"/>
            <rFont val="宋体"/>
            <family val="3"/>
            <charset val="134"/>
          </rPr>
          <t>银保</t>
        </r>
        <r>
          <rPr>
            <sz val="9"/>
            <color indexed="81"/>
            <rFont val="Tahoma"/>
            <family val="2"/>
          </rPr>
          <t xml:space="preserve">4405
</t>
        </r>
        <r>
          <rPr>
            <sz val="9"/>
            <color indexed="81"/>
            <rFont val="宋体"/>
            <family val="3"/>
            <charset val="134"/>
          </rPr>
          <t>多元</t>
        </r>
        <r>
          <rPr>
            <sz val="9"/>
            <color indexed="81"/>
            <rFont val="Tahoma"/>
            <family val="2"/>
          </rPr>
          <t xml:space="preserve">19851
</t>
        </r>
        <r>
          <rPr>
            <sz val="9"/>
            <color indexed="81"/>
            <rFont val="宋体"/>
            <family val="3"/>
            <charset val="134"/>
          </rPr>
          <t>收展</t>
        </r>
        <r>
          <rPr>
            <sz val="9"/>
            <color indexed="81"/>
            <rFont val="Tahoma"/>
            <family val="2"/>
          </rPr>
          <t>733</t>
        </r>
      </text>
    </comment>
    <comment ref="AZ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64873
</t>
        </r>
        <r>
          <rPr>
            <sz val="9"/>
            <color indexed="81"/>
            <rFont val="宋体"/>
            <family val="3"/>
            <charset val="134"/>
          </rPr>
          <t>团险</t>
        </r>
        <r>
          <rPr>
            <sz val="9"/>
            <color indexed="81"/>
            <rFont val="Tahoma"/>
            <family val="2"/>
          </rPr>
          <t xml:space="preserve">911
</t>
        </r>
        <r>
          <rPr>
            <sz val="9"/>
            <color indexed="81"/>
            <rFont val="宋体"/>
            <family val="3"/>
            <charset val="134"/>
          </rPr>
          <t>银保</t>
        </r>
        <r>
          <rPr>
            <sz val="9"/>
            <color indexed="81"/>
            <rFont val="Tahoma"/>
            <family val="2"/>
          </rPr>
          <t xml:space="preserve">9688
</t>
        </r>
        <r>
          <rPr>
            <sz val="9"/>
            <color indexed="81"/>
            <rFont val="宋体"/>
            <family val="3"/>
            <charset val="134"/>
          </rPr>
          <t>多元</t>
        </r>
        <r>
          <rPr>
            <sz val="9"/>
            <color indexed="81"/>
            <rFont val="Tahoma"/>
            <family val="2"/>
          </rPr>
          <t xml:space="preserve">20006
</t>
        </r>
        <r>
          <rPr>
            <sz val="9"/>
            <color indexed="81"/>
            <rFont val="宋体"/>
            <family val="3"/>
            <charset val="134"/>
          </rPr>
          <t>收展</t>
        </r>
        <r>
          <rPr>
            <sz val="9"/>
            <color indexed="81"/>
            <rFont val="Tahoma"/>
            <family val="2"/>
          </rPr>
          <t>983</t>
        </r>
      </text>
    </comment>
    <comment ref="BF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16668
</t>
        </r>
        <r>
          <rPr>
            <sz val="9"/>
            <color indexed="81"/>
            <rFont val="宋体"/>
            <family val="3"/>
            <charset val="134"/>
          </rPr>
          <t>团险</t>
        </r>
        <r>
          <rPr>
            <sz val="9"/>
            <color indexed="81"/>
            <rFont val="Tahoma"/>
            <family val="2"/>
          </rPr>
          <t xml:space="preserve">3440
</t>
        </r>
        <r>
          <rPr>
            <sz val="9"/>
            <color indexed="81"/>
            <rFont val="宋体"/>
            <family val="3"/>
            <charset val="134"/>
          </rPr>
          <t>银保</t>
        </r>
        <r>
          <rPr>
            <sz val="9"/>
            <color indexed="81"/>
            <rFont val="Tahoma"/>
            <family val="2"/>
          </rPr>
          <t xml:space="preserve">1900
</t>
        </r>
        <r>
          <rPr>
            <sz val="9"/>
            <color indexed="81"/>
            <rFont val="宋体"/>
            <family val="3"/>
            <charset val="134"/>
          </rPr>
          <t>多元</t>
        </r>
        <r>
          <rPr>
            <sz val="9"/>
            <color indexed="81"/>
            <rFont val="Tahoma"/>
            <family val="2"/>
          </rPr>
          <t xml:space="preserve">73
</t>
        </r>
        <r>
          <rPr>
            <sz val="9"/>
            <color indexed="81"/>
            <rFont val="宋体"/>
            <family val="3"/>
            <charset val="134"/>
          </rPr>
          <t>收展</t>
        </r>
        <r>
          <rPr>
            <sz val="9"/>
            <color indexed="81"/>
            <rFont val="Tahoma"/>
            <family val="2"/>
          </rPr>
          <t>199</t>
        </r>
      </text>
    </comment>
    <comment ref="BL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41843
</t>
        </r>
        <r>
          <rPr>
            <sz val="9"/>
            <color indexed="81"/>
            <rFont val="宋体"/>
            <family val="3"/>
            <charset val="134"/>
          </rPr>
          <t>团险</t>
        </r>
        <r>
          <rPr>
            <sz val="9"/>
            <color indexed="81"/>
            <rFont val="Tahoma"/>
            <family val="2"/>
          </rPr>
          <t xml:space="preserve">384
</t>
        </r>
        <r>
          <rPr>
            <sz val="9"/>
            <color indexed="81"/>
            <rFont val="宋体"/>
            <family val="3"/>
            <charset val="134"/>
          </rPr>
          <t>银保</t>
        </r>
        <r>
          <rPr>
            <sz val="9"/>
            <color indexed="81"/>
            <rFont val="Tahoma"/>
            <family val="2"/>
          </rPr>
          <t xml:space="preserve">11249
</t>
        </r>
        <r>
          <rPr>
            <sz val="9"/>
            <color indexed="81"/>
            <rFont val="宋体"/>
            <family val="3"/>
            <charset val="134"/>
          </rPr>
          <t>多元</t>
        </r>
        <r>
          <rPr>
            <sz val="9"/>
            <color indexed="81"/>
            <rFont val="Tahoma"/>
            <family val="2"/>
          </rPr>
          <t xml:space="preserve">8833
</t>
        </r>
        <r>
          <rPr>
            <sz val="9"/>
            <color indexed="81"/>
            <rFont val="宋体"/>
            <family val="3"/>
            <charset val="134"/>
          </rPr>
          <t>收展</t>
        </r>
        <r>
          <rPr>
            <sz val="9"/>
            <color indexed="81"/>
            <rFont val="Tahoma"/>
            <family val="2"/>
          </rPr>
          <t xml:space="preserve">424
</t>
        </r>
        <r>
          <rPr>
            <sz val="9"/>
            <color indexed="81"/>
            <rFont val="宋体"/>
            <family val="3"/>
            <charset val="134"/>
          </rPr>
          <t>网销</t>
        </r>
        <r>
          <rPr>
            <sz val="9"/>
            <color indexed="81"/>
            <rFont val="Tahoma"/>
            <family val="2"/>
          </rPr>
          <t>1</t>
        </r>
      </text>
    </comment>
    <comment ref="BR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13355</t>
        </r>
        <r>
          <rPr>
            <sz val="9"/>
            <color indexed="81"/>
            <rFont val="宋体"/>
            <family val="3"/>
            <charset val="134"/>
          </rPr>
          <t xml:space="preserve">
团险</t>
        </r>
        <r>
          <rPr>
            <sz val="9"/>
            <color indexed="81"/>
            <rFont val="Tahoma"/>
            <family val="2"/>
          </rPr>
          <t>176</t>
        </r>
        <r>
          <rPr>
            <sz val="9"/>
            <color indexed="81"/>
            <rFont val="宋体"/>
            <family val="3"/>
            <charset val="134"/>
          </rPr>
          <t xml:space="preserve">
银保</t>
        </r>
        <r>
          <rPr>
            <sz val="9"/>
            <color indexed="81"/>
            <rFont val="Tahoma"/>
            <family val="2"/>
          </rPr>
          <t>1276</t>
        </r>
        <r>
          <rPr>
            <sz val="9"/>
            <color indexed="81"/>
            <rFont val="宋体"/>
            <family val="3"/>
            <charset val="134"/>
          </rPr>
          <t xml:space="preserve">
多元</t>
        </r>
        <r>
          <rPr>
            <sz val="9"/>
            <color indexed="81"/>
            <rFont val="Tahoma"/>
            <family val="2"/>
          </rPr>
          <t>3447</t>
        </r>
        <r>
          <rPr>
            <sz val="9"/>
            <color indexed="81"/>
            <rFont val="宋体"/>
            <family val="3"/>
            <charset val="134"/>
          </rPr>
          <t xml:space="preserve">
收展</t>
        </r>
        <r>
          <rPr>
            <sz val="9"/>
            <color indexed="81"/>
            <rFont val="Tahoma"/>
            <family val="2"/>
          </rPr>
          <t>139</t>
        </r>
      </text>
    </comment>
    <comment ref="BX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17330</t>
        </r>
        <r>
          <rPr>
            <sz val="9"/>
            <color indexed="81"/>
            <rFont val="宋体"/>
            <family val="3"/>
            <charset val="134"/>
          </rPr>
          <t xml:space="preserve">
团险</t>
        </r>
        <r>
          <rPr>
            <sz val="9"/>
            <color indexed="81"/>
            <rFont val="Tahoma"/>
            <family val="2"/>
          </rPr>
          <t>39910</t>
        </r>
        <r>
          <rPr>
            <sz val="9"/>
            <color indexed="81"/>
            <rFont val="宋体"/>
            <family val="3"/>
            <charset val="134"/>
          </rPr>
          <t xml:space="preserve">
银保</t>
        </r>
        <r>
          <rPr>
            <sz val="9"/>
            <color indexed="81"/>
            <rFont val="Tahoma"/>
            <family val="2"/>
          </rPr>
          <t>1716</t>
        </r>
        <r>
          <rPr>
            <sz val="9"/>
            <color indexed="81"/>
            <rFont val="宋体"/>
            <family val="3"/>
            <charset val="134"/>
          </rPr>
          <t xml:space="preserve">
多元</t>
        </r>
        <r>
          <rPr>
            <sz val="9"/>
            <color indexed="81"/>
            <rFont val="Tahoma"/>
            <family val="2"/>
          </rPr>
          <t>4164</t>
        </r>
        <r>
          <rPr>
            <sz val="9"/>
            <color indexed="81"/>
            <rFont val="宋体"/>
            <family val="3"/>
            <charset val="134"/>
          </rPr>
          <t xml:space="preserve">
续期</t>
        </r>
        <r>
          <rPr>
            <sz val="9"/>
            <color indexed="81"/>
            <rFont val="Tahoma"/>
            <family val="2"/>
          </rPr>
          <t>182</t>
        </r>
      </text>
    </comment>
    <comment ref="D25" authorId="0" shapeId="0">
      <text>
        <r>
          <rPr>
            <b/>
            <sz val="9"/>
            <color indexed="81"/>
            <rFont val="宋体"/>
            <family val="3"/>
            <charset val="134"/>
          </rPr>
          <t>徐梦薇</t>
        </r>
        <r>
          <rPr>
            <b/>
            <sz val="9"/>
            <color indexed="81"/>
            <rFont val="Tahoma"/>
            <family val="2"/>
          </rPr>
          <t>/Mengwei Xu:</t>
        </r>
        <r>
          <rPr>
            <sz val="9"/>
            <color indexed="81"/>
            <rFont val="Tahoma"/>
            <family val="2"/>
          </rPr>
          <t xml:space="preserve">
10</t>
        </r>
        <r>
          <rPr>
            <sz val="9"/>
            <color indexed="81"/>
            <rFont val="宋体"/>
            <family val="3"/>
            <charset val="134"/>
          </rPr>
          <t>家分公司</t>
        </r>
      </text>
    </comment>
    <comment ref="D2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天津、辽宁、大连、江苏、山东、河南、四川失分</t>
        </r>
      </text>
    </comment>
    <comment ref="AB28" authorId="3" shapeId="0">
      <text>
        <r>
          <rPr>
            <sz val="9"/>
            <color indexed="81"/>
            <rFont val="宋体"/>
            <family val="3"/>
            <charset val="134"/>
          </rPr>
          <t>2019年6月报送的中介市场乱象整治报告，发现因销售人员过错导致代签字、未如实告知问题；2018年11月报送的进一步深化保险业
市场乱象整治工作报告，发现销售误导问题。</t>
        </r>
      </text>
    </comment>
    <comment ref="AF28"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公司在对营销员微信群和朋友圈监控中发现丹东中心支公司业务员在朋友圈传播一份伪造的公司核保规则类的通知文件。</t>
        </r>
        <r>
          <rPr>
            <sz val="9"/>
            <color indexed="81"/>
            <rFont val="Tahoma"/>
            <family val="2"/>
          </rPr>
          <t xml:space="preserve">18Q1
</t>
        </r>
        <r>
          <rPr>
            <sz val="9"/>
            <color indexed="81"/>
            <rFont val="宋体"/>
            <family val="3"/>
            <charset val="134"/>
          </rPr>
          <t>距离《恒安标准辽分司字</t>
        </r>
        <r>
          <rPr>
            <sz val="9"/>
            <color indexed="81"/>
            <rFont val="Tahoma"/>
            <family val="2"/>
          </rPr>
          <t>[2017]38</t>
        </r>
        <r>
          <rPr>
            <sz val="9"/>
            <color indexed="81"/>
            <rFont val="宋体"/>
            <family val="3"/>
            <charset val="134"/>
          </rPr>
          <t>号辽宁分公司关于开展保险产品销售管理情况自查自纠工作的报告》的检查发现已过</t>
        </r>
        <r>
          <rPr>
            <sz val="9"/>
            <color indexed="81"/>
            <rFont val="Tahoma"/>
            <family val="2"/>
          </rPr>
          <t>1</t>
        </r>
        <r>
          <rPr>
            <sz val="9"/>
            <color indexed="81"/>
            <rFont val="宋体"/>
            <family val="3"/>
            <charset val="134"/>
          </rPr>
          <t>年</t>
        </r>
        <r>
          <rPr>
            <sz val="9"/>
            <color indexed="81"/>
            <rFont val="Tahoma"/>
            <family val="2"/>
          </rPr>
          <t xml:space="preserve">-17Q2
</t>
        </r>
      </text>
    </comment>
    <comment ref="AH2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Tahoma"/>
            <family val="2"/>
          </rPr>
          <t>1.2019</t>
        </r>
        <r>
          <rPr>
            <sz val="9"/>
            <color indexed="81"/>
            <rFont val="宋体"/>
            <family val="3"/>
            <charset val="134"/>
          </rPr>
          <t>年</t>
        </r>
        <r>
          <rPr>
            <sz val="9"/>
            <color indexed="81"/>
            <rFont val="Tahoma"/>
            <family val="2"/>
          </rPr>
          <t>2</t>
        </r>
        <r>
          <rPr>
            <sz val="9"/>
            <color indexed="81"/>
            <rFont val="宋体"/>
            <family val="3"/>
            <charset val="134"/>
          </rPr>
          <t xml:space="preserve">季度，在对营销员展业资料检查中发现，丹东中心支公司营销员展业柜中存放有自行印制的空白《奖品签收确认函》；
</t>
        </r>
        <r>
          <rPr>
            <sz val="9"/>
            <color indexed="81"/>
            <rFont val="Tahoma"/>
            <family val="2"/>
          </rPr>
          <t>2.2019</t>
        </r>
        <r>
          <rPr>
            <sz val="9"/>
            <color indexed="81"/>
            <rFont val="宋体"/>
            <family val="3"/>
            <charset val="134"/>
          </rPr>
          <t>年</t>
        </r>
        <r>
          <rPr>
            <sz val="9"/>
            <color indexed="81"/>
            <rFont val="Tahoma"/>
            <family val="2"/>
          </rPr>
          <t>2</t>
        </r>
        <r>
          <rPr>
            <sz val="9"/>
            <color indexed="81"/>
            <rFont val="宋体"/>
            <family val="3"/>
            <charset val="134"/>
          </rPr>
          <t>季度，本溪中心支公司营销员展业柜中发现</t>
        </r>
        <r>
          <rPr>
            <sz val="9"/>
            <color indexed="81"/>
            <rFont val="Tahoma"/>
            <family val="2"/>
          </rPr>
          <t>“</t>
        </r>
        <r>
          <rPr>
            <sz val="9"/>
            <color indexed="81"/>
            <rFont val="宋体"/>
            <family val="3"/>
            <charset val="134"/>
          </rPr>
          <t>每份保单送智能机器人一台</t>
        </r>
        <r>
          <rPr>
            <sz val="9"/>
            <color indexed="81"/>
            <rFont val="Tahoma"/>
            <family val="2"/>
          </rPr>
          <t>”</t>
        </r>
        <r>
          <rPr>
            <sz val="9"/>
            <color indexed="81"/>
            <rFont val="宋体"/>
            <family val="3"/>
            <charset val="134"/>
          </rPr>
          <t>的自制宣传资料，涉嫌给予投保人保险合同以外的利益</t>
        </r>
        <r>
          <rPr>
            <sz val="9"/>
            <color indexed="81"/>
            <rFont val="Tahoma"/>
            <family val="2"/>
          </rPr>
          <t>;</t>
        </r>
        <r>
          <rPr>
            <sz val="9"/>
            <color indexed="81"/>
            <rFont val="宋体"/>
            <family val="3"/>
            <charset val="134"/>
          </rPr>
          <t xml:space="preserve">；
</t>
        </r>
        <r>
          <rPr>
            <sz val="9"/>
            <color indexed="81"/>
            <rFont val="Tahoma"/>
            <family val="2"/>
          </rPr>
          <t>3.2019</t>
        </r>
        <r>
          <rPr>
            <sz val="9"/>
            <color indexed="81"/>
            <rFont val="宋体"/>
            <family val="3"/>
            <charset val="134"/>
          </rPr>
          <t>年</t>
        </r>
        <r>
          <rPr>
            <sz val="9"/>
            <color indexed="81"/>
            <rFont val="Tahoma"/>
            <family val="2"/>
          </rPr>
          <t>3</t>
        </r>
        <r>
          <rPr>
            <sz val="9"/>
            <color indexed="81"/>
            <rFont val="宋体"/>
            <family val="3"/>
            <charset val="134"/>
          </rPr>
          <t>季度，辽阳个险渠道代理人李晓霞对客户既往病史知悉但未如实上报，导致正常投保后出险造成公司损失，存在违规销售。</t>
        </r>
      </text>
    </comment>
    <comment ref="AJ2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text>
    </comment>
    <comment ref="AL28" authorId="1"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治乱打非期间，公司自查发现个险渠道代理人庄树红私自印发宣传折页，当场予以销毁，并已于</t>
        </r>
        <r>
          <rPr>
            <sz val="9"/>
            <color indexed="81"/>
            <rFont val="Tahoma"/>
            <family val="2"/>
          </rPr>
          <t>5</t>
        </r>
        <r>
          <rPr>
            <sz val="9"/>
            <color indexed="81"/>
            <rFont val="宋体"/>
            <family val="3"/>
            <charset val="134"/>
          </rPr>
          <t>月</t>
        </r>
        <r>
          <rPr>
            <sz val="9"/>
            <color indexed="81"/>
            <rFont val="Tahoma"/>
            <family val="2"/>
          </rPr>
          <t>8</t>
        </r>
        <r>
          <rPr>
            <sz val="9"/>
            <color indexed="81"/>
            <rFont val="宋体"/>
            <family val="3"/>
            <charset val="134"/>
          </rPr>
          <t>日完成问责。</t>
        </r>
      </text>
    </comment>
    <comment ref="AN28" authorId="1" shapeId="0">
      <text>
        <r>
          <rPr>
            <b/>
            <sz val="9"/>
            <color indexed="81"/>
            <rFont val="宋体"/>
            <family val="3"/>
            <charset val="134"/>
          </rPr>
          <t>徐梦薇</t>
        </r>
        <r>
          <rPr>
            <b/>
            <sz val="9"/>
            <color indexed="81"/>
            <rFont val="Tahoma"/>
            <family val="2"/>
          </rPr>
          <t>:</t>
        </r>
        <r>
          <rPr>
            <sz val="9"/>
            <color indexed="81"/>
            <rFont val="Tahoma"/>
            <family val="2"/>
          </rPr>
          <t xml:space="preserve">
19Q1</t>
        </r>
        <r>
          <rPr>
            <sz val="9"/>
            <color indexed="81"/>
            <rFont val="宋体"/>
            <family val="3"/>
            <charset val="134"/>
          </rPr>
          <t>上报大连分公司与</t>
        </r>
        <r>
          <rPr>
            <sz val="9"/>
            <color indexed="81"/>
            <rFont val="Tahoma"/>
            <family val="2"/>
          </rPr>
          <t>19</t>
        </r>
        <r>
          <rPr>
            <sz val="9"/>
            <color indexed="81"/>
            <rFont val="宋体"/>
            <family val="3"/>
            <charset val="134"/>
          </rPr>
          <t>年</t>
        </r>
        <r>
          <rPr>
            <sz val="9"/>
            <color indexed="81"/>
            <rFont val="Tahoma"/>
            <family val="2"/>
          </rPr>
          <t>2</t>
        </r>
        <r>
          <rPr>
            <sz val="9"/>
            <color indexed="81"/>
            <rFont val="宋体"/>
            <family val="3"/>
            <charset val="134"/>
          </rPr>
          <t xml:space="preserve">月期间开展自查自纠专项工作，通过本次自查自纠工作发现，分公司存在代签字、销售误导、违规自制宣传材料等情况，分公司已将工作报告报送至大连银保监局，后续待整改完毕后再次向大连局报送整改报告。
</t>
        </r>
        <r>
          <rPr>
            <sz val="9"/>
            <color indexed="81"/>
            <rFont val="Tahoma"/>
            <family val="2"/>
          </rPr>
          <t>19Q2</t>
        </r>
        <r>
          <rPr>
            <sz val="9"/>
            <color indexed="81"/>
            <rFont val="宋体"/>
            <family val="3"/>
            <charset val="134"/>
          </rPr>
          <t>开展乱象整治自查自纠专项工作，通过自查自纠工作发现，分公司存在代签字、销售误导、违规自制宣传材料等情况，分公司已将工作报告报送至大连银保监局，后续待整改完毕后再次向大连局报送整改报告。</t>
        </r>
      </text>
    </comment>
    <comment ref="AR28" authorId="1" shapeId="0">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 xml:space="preserve">季度开展风险排查
</t>
        </r>
        <r>
          <rPr>
            <sz val="9"/>
            <color indexed="81"/>
            <rFont val="Tahoma"/>
            <family val="2"/>
          </rPr>
          <t>1)</t>
        </r>
        <r>
          <rPr>
            <sz val="9"/>
            <color indexed="81"/>
            <rFont val="宋体"/>
            <family val="3"/>
            <charset val="134"/>
          </rPr>
          <t>、</t>
        </r>
        <r>
          <rPr>
            <sz val="9"/>
            <color indexed="81"/>
            <rFont val="Tahoma"/>
            <family val="2"/>
          </rPr>
          <t>2018</t>
        </r>
        <r>
          <rPr>
            <sz val="9"/>
            <color indexed="81"/>
            <rFont val="宋体"/>
            <family val="3"/>
            <charset val="134"/>
          </rPr>
          <t>年一季度发现以下问题：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等违规字眼的信息。（涉及报告及报送时间：</t>
        </r>
        <r>
          <rPr>
            <sz val="9"/>
            <color indexed="81"/>
            <rFont val="Tahoma"/>
            <family val="2"/>
          </rPr>
          <t>20180325--</t>
        </r>
        <r>
          <rPr>
            <sz val="9"/>
            <color indexed="81"/>
            <rFont val="宋体"/>
            <family val="3"/>
            <charset val="134"/>
          </rPr>
          <t>治乱打非报告）</t>
        </r>
        <r>
          <rPr>
            <sz val="9"/>
            <color indexed="81"/>
            <rFont val="Tahoma"/>
            <family val="2"/>
          </rPr>
          <t>b</t>
        </r>
        <r>
          <rPr>
            <sz val="9"/>
            <color indexed="81"/>
            <rFont val="宋体"/>
            <family val="3"/>
            <charset val="134"/>
          </rPr>
          <t>、个别人员存在私自印制展业宣传资料的违规行为；（涉及报告及报送时间：</t>
        </r>
        <r>
          <rPr>
            <sz val="9"/>
            <color indexed="81"/>
            <rFont val="Tahoma"/>
            <family val="2"/>
          </rPr>
          <t>20180325--</t>
        </r>
        <r>
          <rPr>
            <sz val="9"/>
            <color indexed="81"/>
            <rFont val="宋体"/>
            <family val="3"/>
            <charset val="134"/>
          </rPr>
          <t>治乱打非报告）</t>
        </r>
        <r>
          <rPr>
            <sz val="9"/>
            <color indexed="81"/>
            <rFont val="Tahoma"/>
            <family val="2"/>
          </rPr>
          <t>c</t>
        </r>
        <r>
          <rPr>
            <sz val="9"/>
            <color indexed="81"/>
            <rFont val="宋体"/>
            <family val="3"/>
            <charset val="134"/>
          </rPr>
          <t>、苏州、徐州、泰州机构个别培训课件中存在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等违规的销售误导字眼；（涉及报告及报送时间：</t>
        </r>
        <r>
          <rPr>
            <sz val="9"/>
            <color indexed="81"/>
            <rFont val="Tahoma"/>
            <family val="2"/>
          </rPr>
          <t>20180325--</t>
        </r>
        <r>
          <rPr>
            <sz val="9"/>
            <color indexed="81"/>
            <rFont val="宋体"/>
            <family val="3"/>
            <charset val="134"/>
          </rPr>
          <t>治乱打非报告）</t>
        </r>
        <r>
          <rPr>
            <sz val="9"/>
            <color indexed="81"/>
            <rFont val="Tahoma"/>
            <family val="2"/>
          </rPr>
          <t>d</t>
        </r>
        <r>
          <rPr>
            <sz val="9"/>
            <color indexed="81"/>
            <rFont val="宋体"/>
            <family val="3"/>
            <charset val="134"/>
          </rPr>
          <t>、个别经代公司在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款产品时可能存在夸大收益的行为；（涉及报告及报送时间：</t>
        </r>
        <r>
          <rPr>
            <sz val="9"/>
            <color indexed="81"/>
            <rFont val="Tahoma"/>
            <family val="2"/>
          </rPr>
          <t>20170630</t>
        </r>
        <r>
          <rPr>
            <sz val="9"/>
            <color indexed="81"/>
            <rFont val="宋体"/>
            <family val="3"/>
            <charset val="134"/>
          </rPr>
          <t>关于开展销售管理情况自查自纠的报告、</t>
        </r>
        <r>
          <rPr>
            <sz val="9"/>
            <color indexed="81"/>
            <rFont val="Tahoma"/>
            <family val="2"/>
          </rPr>
          <t>20180325--</t>
        </r>
        <r>
          <rPr>
            <sz val="9"/>
            <color indexed="81"/>
            <rFont val="宋体"/>
            <family val="3"/>
            <charset val="134"/>
          </rPr>
          <t>治乱打非报告）</t>
        </r>
        <r>
          <rPr>
            <sz val="9"/>
            <color indexed="81"/>
            <rFont val="Tahoma"/>
            <family val="2"/>
          </rPr>
          <t>e</t>
        </r>
        <r>
          <rPr>
            <sz val="9"/>
            <color indexed="81"/>
            <rFont val="宋体"/>
            <family val="3"/>
            <charset val="134"/>
          </rPr>
          <t>、个别销售人员在销售过程中存在夸大收益等销售误导行为；（涉及报告及报送时间：</t>
        </r>
        <r>
          <rPr>
            <sz val="9"/>
            <color indexed="81"/>
            <rFont val="Tahoma"/>
            <family val="2"/>
          </rPr>
          <t>20180325--</t>
        </r>
        <r>
          <rPr>
            <sz val="9"/>
            <color indexed="81"/>
            <rFont val="宋体"/>
            <family val="3"/>
            <charset val="134"/>
          </rPr>
          <t xml:space="preserve">治乱打非报告）
</t>
        </r>
        <r>
          <rPr>
            <sz val="9"/>
            <color indexed="81"/>
            <rFont val="Tahoma"/>
            <family val="2"/>
          </rPr>
          <t>2)</t>
        </r>
        <r>
          <rPr>
            <sz val="9"/>
            <color indexed="81"/>
            <rFont val="宋体"/>
            <family val="3"/>
            <charset val="134"/>
          </rPr>
          <t>、</t>
        </r>
        <r>
          <rPr>
            <sz val="9"/>
            <color indexed="81"/>
            <rFont val="Tahoma"/>
            <family val="2"/>
          </rPr>
          <t>2018</t>
        </r>
        <r>
          <rPr>
            <sz val="9"/>
            <color indexed="81"/>
            <rFont val="宋体"/>
            <family val="3"/>
            <charset val="134"/>
          </rPr>
          <t>年二季度发现以下问题：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行动的总结报告）；</t>
        </r>
        <r>
          <rPr>
            <sz val="9"/>
            <color indexed="81"/>
            <rFont val="Tahoma"/>
            <family val="2"/>
          </rPr>
          <t>b</t>
        </r>
        <r>
          <rPr>
            <sz val="9"/>
            <color indexed="81"/>
            <rFont val="宋体"/>
            <family val="3"/>
            <charset val="134"/>
          </rPr>
          <t>、南京、扬州、盐城机构个别内部培训课件中存在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 xml:space="preserve">行动的总结报告）
</t>
        </r>
        <r>
          <rPr>
            <sz val="9"/>
            <color indexed="81"/>
            <rFont val="Tahoma"/>
            <family val="2"/>
          </rPr>
          <t>3</t>
        </r>
        <r>
          <rPr>
            <sz val="9"/>
            <color indexed="81"/>
            <rFont val="宋体"/>
            <family val="3"/>
            <charset val="134"/>
          </rPr>
          <t>）</t>
        </r>
        <r>
          <rPr>
            <sz val="9"/>
            <color indexed="81"/>
            <rFont val="Tahoma"/>
            <family val="2"/>
          </rPr>
          <t>2018</t>
        </r>
        <r>
          <rPr>
            <sz val="9"/>
            <color indexed="81"/>
            <rFont val="宋体"/>
            <family val="3"/>
            <charset val="134"/>
          </rPr>
          <t>年三季度发现以下问题：</t>
        </r>
        <r>
          <rPr>
            <sz val="9"/>
            <color indexed="81"/>
            <rFont val="Tahoma"/>
            <family val="2"/>
          </rPr>
          <t>a</t>
        </r>
        <r>
          <rPr>
            <sz val="9"/>
            <color indexed="81"/>
            <rFont val="宋体"/>
            <family val="3"/>
            <charset val="134"/>
          </rPr>
          <t>、在</t>
        </r>
        <r>
          <rPr>
            <sz val="9"/>
            <color indexed="81"/>
            <rFont val="Tahoma"/>
            <family val="2"/>
          </rPr>
          <t>“</t>
        </r>
        <r>
          <rPr>
            <sz val="9"/>
            <color indexed="81"/>
            <rFont val="宋体"/>
            <family val="3"/>
            <charset val="134"/>
          </rPr>
          <t>销售过程中存在夸大保险责任或保险产品利益</t>
        </r>
        <r>
          <rPr>
            <sz val="9"/>
            <color indexed="81"/>
            <rFont val="Tahoma"/>
            <family val="2"/>
          </rPr>
          <t>”</t>
        </r>
        <r>
          <rPr>
            <sz val="9"/>
            <color indexed="81"/>
            <rFont val="宋体"/>
            <family val="3"/>
            <charset val="134"/>
          </rPr>
          <t>方面，通过投诉清单等排查，发现个别经代公司在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款产品时可能存在夸大收益的行为。针对该问题，公司已经通过完善的内部处置流程在发现问题的第一时间进行跟进并妥善处理。（涉及报告及报送时间：</t>
        </r>
        <r>
          <rPr>
            <sz val="9"/>
            <color indexed="81"/>
            <rFont val="Tahoma"/>
            <family val="2"/>
          </rPr>
          <t>20180730-</t>
        </r>
        <r>
          <rPr>
            <sz val="9"/>
            <color indexed="81"/>
            <rFont val="宋体"/>
            <family val="3"/>
            <charset val="134"/>
          </rPr>
          <t>年度风险排查）；</t>
        </r>
        <r>
          <rPr>
            <sz val="9"/>
            <color indexed="81"/>
            <rFont val="Tahoma"/>
            <family val="2"/>
          </rPr>
          <t>b</t>
        </r>
        <r>
          <rPr>
            <sz val="9"/>
            <color indexed="81"/>
            <rFont val="宋体"/>
            <family val="3"/>
            <charset val="134"/>
          </rPr>
          <t>、个别销售人员存在通过微信朋友圈私自发布未经公司审核的保险营销宣传信息的行为。（涉及报告及报告时间：</t>
        </r>
        <r>
          <rPr>
            <sz val="9"/>
            <color indexed="81"/>
            <rFont val="Tahoma"/>
            <family val="2"/>
          </rPr>
          <t>20180730-</t>
        </r>
        <r>
          <rPr>
            <sz val="9"/>
            <color indexed="81"/>
            <rFont val="宋体"/>
            <family val="3"/>
            <charset val="134"/>
          </rPr>
          <t>关于加强自媒体保险营销宣传行为管控的自查报告）</t>
        </r>
      </text>
    </comment>
    <comment ref="AT28" authorId="0" shape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3</t>
        </r>
        <r>
          <rPr>
            <sz val="9"/>
            <color indexed="81"/>
            <rFont val="宋体"/>
            <family val="3"/>
            <charset val="134"/>
          </rPr>
          <t>、</t>
        </r>
        <r>
          <rPr>
            <sz val="9"/>
            <color indexed="81"/>
            <rFont val="Tahoma"/>
            <family val="2"/>
          </rPr>
          <t>4</t>
        </r>
        <r>
          <rPr>
            <sz val="9"/>
            <color indexed="81"/>
            <rFont val="宋体"/>
            <family val="3"/>
            <charset val="134"/>
          </rPr>
          <t>季度，</t>
        </r>
        <r>
          <rPr>
            <sz val="9"/>
            <color indexed="81"/>
            <rFont val="Tahoma"/>
            <family val="2"/>
          </rPr>
          <t>2019</t>
        </r>
        <r>
          <rPr>
            <sz val="9"/>
            <color indexed="81"/>
            <rFont val="宋体"/>
            <family val="3"/>
            <charset val="134"/>
          </rPr>
          <t>年</t>
        </r>
        <r>
          <rPr>
            <sz val="9"/>
            <color indexed="81"/>
            <rFont val="Tahoma"/>
            <family val="2"/>
          </rPr>
          <t>1</t>
        </r>
        <r>
          <rPr>
            <sz val="9"/>
            <color indexed="81"/>
            <rFont val="宋体"/>
            <family val="3"/>
            <charset val="134"/>
          </rPr>
          <t>、</t>
        </r>
        <r>
          <rPr>
            <sz val="9"/>
            <color indexed="81"/>
            <rFont val="Tahoma"/>
            <family val="2"/>
          </rPr>
          <t>2</t>
        </r>
        <r>
          <rPr>
            <sz val="9"/>
            <color indexed="81"/>
            <rFont val="宋体"/>
            <family val="3"/>
            <charset val="134"/>
          </rPr>
          <t xml:space="preserve">季度开展风险排查
</t>
        </r>
        <r>
          <rPr>
            <sz val="9"/>
            <color indexed="81"/>
            <rFont val="Tahoma"/>
            <family val="2"/>
          </rPr>
          <t>1</t>
        </r>
        <r>
          <rPr>
            <sz val="9"/>
            <color indexed="81"/>
            <rFont val="宋体"/>
            <family val="3"/>
            <charset val="134"/>
          </rPr>
          <t>）</t>
        </r>
        <r>
          <rPr>
            <sz val="9"/>
            <color indexed="81"/>
            <rFont val="Tahoma"/>
            <family val="2"/>
          </rPr>
          <t>2018</t>
        </r>
        <r>
          <rPr>
            <sz val="9"/>
            <color indexed="81"/>
            <rFont val="宋体"/>
            <family val="3"/>
            <charset val="134"/>
          </rPr>
          <t>年三季度发现以下问题：</t>
        </r>
        <r>
          <rPr>
            <sz val="9"/>
            <color indexed="81"/>
            <rFont val="Tahoma"/>
            <family val="2"/>
          </rPr>
          <t>a</t>
        </r>
        <r>
          <rPr>
            <sz val="9"/>
            <color indexed="81"/>
            <rFont val="宋体"/>
            <family val="3"/>
            <charset val="134"/>
          </rPr>
          <t>、在</t>
        </r>
        <r>
          <rPr>
            <sz val="9"/>
            <color indexed="81"/>
            <rFont val="Tahoma"/>
            <family val="2"/>
          </rPr>
          <t>“</t>
        </r>
        <r>
          <rPr>
            <sz val="9"/>
            <color indexed="81"/>
            <rFont val="宋体"/>
            <family val="3"/>
            <charset val="134"/>
          </rPr>
          <t>销售过程中存在夸大保险责任或保险产品利益</t>
        </r>
        <r>
          <rPr>
            <sz val="9"/>
            <color indexed="81"/>
            <rFont val="Tahoma"/>
            <family val="2"/>
          </rPr>
          <t>”</t>
        </r>
        <r>
          <rPr>
            <sz val="9"/>
            <color indexed="81"/>
            <rFont val="宋体"/>
            <family val="3"/>
            <charset val="134"/>
          </rPr>
          <t>方面，通过投诉清单等排查，发现个别经代公司在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款产品时可能存在夸大收益的行为。针对该问题，公司已经通过完善的内部处置流程在发现问题的第一时间进行跟进并妥善处理。（涉及报告及报送时间：</t>
        </r>
        <r>
          <rPr>
            <sz val="9"/>
            <color indexed="81"/>
            <rFont val="Tahoma"/>
            <family val="2"/>
          </rPr>
          <t>20180730-</t>
        </r>
        <r>
          <rPr>
            <sz val="9"/>
            <color indexed="81"/>
            <rFont val="宋体"/>
            <family val="3"/>
            <charset val="134"/>
          </rPr>
          <t>年度风险排查）；</t>
        </r>
        <r>
          <rPr>
            <sz val="9"/>
            <color indexed="81"/>
            <rFont val="Tahoma"/>
            <family val="2"/>
          </rPr>
          <t>b</t>
        </r>
        <r>
          <rPr>
            <sz val="9"/>
            <color indexed="81"/>
            <rFont val="宋体"/>
            <family val="3"/>
            <charset val="134"/>
          </rPr>
          <t>、个别销售人员存在通过微信朋友圈私自发布未经公司审核的保险营销宣传信息的行为。（涉及报告及报告时间：</t>
        </r>
        <r>
          <rPr>
            <sz val="9"/>
            <color indexed="81"/>
            <rFont val="Tahoma"/>
            <family val="2"/>
          </rPr>
          <t>20180730-</t>
        </r>
        <r>
          <rPr>
            <sz val="9"/>
            <color indexed="81"/>
            <rFont val="宋体"/>
            <family val="3"/>
            <charset val="134"/>
          </rPr>
          <t xml:space="preserve">关于加强自媒体保险营销宣传行为管控的自查报告）
</t>
        </r>
        <r>
          <rPr>
            <sz val="9"/>
            <color indexed="81"/>
            <rFont val="Tahoma"/>
            <family val="2"/>
          </rPr>
          <t>2</t>
        </r>
        <r>
          <rPr>
            <sz val="9"/>
            <color indexed="81"/>
            <rFont val="宋体"/>
            <family val="3"/>
            <charset val="134"/>
          </rPr>
          <t>）</t>
        </r>
        <r>
          <rPr>
            <sz val="9"/>
            <color indexed="81"/>
            <rFont val="Tahoma"/>
            <family val="2"/>
          </rPr>
          <t>2019</t>
        </r>
        <r>
          <rPr>
            <sz val="9"/>
            <color indexed="81"/>
            <rFont val="宋体"/>
            <family val="3"/>
            <charset val="134"/>
          </rPr>
          <t>年二季度发现以下问题：</t>
        </r>
        <r>
          <rPr>
            <sz val="9"/>
            <color indexed="81"/>
            <rFont val="Tahoma"/>
            <family val="2"/>
          </rPr>
          <t>a</t>
        </r>
        <r>
          <rPr>
            <sz val="9"/>
            <color indexed="81"/>
            <rFont val="宋体"/>
            <family val="3"/>
            <charset val="134"/>
          </rPr>
          <t>、盐城、南通机构个别培训课件中存在同业产品对比的情况；（涉及报告及报告时间：</t>
        </r>
        <r>
          <rPr>
            <sz val="9"/>
            <color indexed="81"/>
            <rFont val="Tahoma"/>
            <family val="2"/>
          </rPr>
          <t>20190620-“</t>
        </r>
        <r>
          <rPr>
            <sz val="9"/>
            <color indexed="81"/>
            <rFont val="宋体"/>
            <family val="3"/>
            <charset val="134"/>
          </rPr>
          <t>关于开展巩固治乱象成果</t>
        </r>
        <r>
          <rPr>
            <sz val="9"/>
            <color indexed="81"/>
            <rFont val="Tahoma"/>
            <family val="2"/>
          </rPr>
          <t xml:space="preserve"> </t>
        </r>
        <r>
          <rPr>
            <sz val="9"/>
            <color indexed="81"/>
            <rFont val="宋体"/>
            <family val="3"/>
            <charset val="134"/>
          </rPr>
          <t>促进合规建设工作的报告</t>
        </r>
        <r>
          <rPr>
            <sz val="9"/>
            <color indexed="81"/>
            <rFont val="Tahoma"/>
            <family val="2"/>
          </rPr>
          <t>”</t>
        </r>
        <r>
          <rPr>
            <sz val="9"/>
            <color indexed="81"/>
            <rFont val="宋体"/>
            <family val="3"/>
            <charset val="134"/>
          </rPr>
          <t>）；</t>
        </r>
        <r>
          <rPr>
            <sz val="9"/>
            <color indexed="81"/>
            <rFont val="Tahoma"/>
            <family val="2"/>
          </rPr>
          <t>b</t>
        </r>
        <r>
          <rPr>
            <sz val="9"/>
            <color indexed="81"/>
            <rFont val="宋体"/>
            <family val="3"/>
            <charset val="134"/>
          </rPr>
          <t>、个别经代公司在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款产品时可能存在夸大收益的行为。（涉及报告及报告时间：</t>
        </r>
        <r>
          <rPr>
            <sz val="9"/>
            <color indexed="81"/>
            <rFont val="Tahoma"/>
            <family val="2"/>
          </rPr>
          <t>20190620-“</t>
        </r>
        <r>
          <rPr>
            <sz val="9"/>
            <color indexed="81"/>
            <rFont val="宋体"/>
            <family val="3"/>
            <charset val="134"/>
          </rPr>
          <t>关于开展巩固治乱象成果</t>
        </r>
        <r>
          <rPr>
            <sz val="9"/>
            <color indexed="81"/>
            <rFont val="Tahoma"/>
            <family val="2"/>
          </rPr>
          <t xml:space="preserve"> </t>
        </r>
        <r>
          <rPr>
            <sz val="9"/>
            <color indexed="81"/>
            <rFont val="宋体"/>
            <family val="3"/>
            <charset val="134"/>
          </rPr>
          <t>促进合规建设工作的报告</t>
        </r>
        <r>
          <rPr>
            <sz val="9"/>
            <color indexed="81"/>
            <rFont val="Tahoma"/>
            <family val="2"/>
          </rPr>
          <t>”</t>
        </r>
        <r>
          <rPr>
            <sz val="9"/>
            <color indexed="81"/>
            <rFont val="宋体"/>
            <family val="3"/>
            <charset val="134"/>
          </rPr>
          <t>）；个别机构销售人员存在通过微信朋友圈私自发布</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等违规字眼的信息。（涉及报告及报告时间：</t>
        </r>
        <r>
          <rPr>
            <sz val="9"/>
            <color indexed="81"/>
            <rFont val="Tahoma"/>
            <family val="2"/>
          </rPr>
          <t>20190620-“</t>
        </r>
        <r>
          <rPr>
            <sz val="9"/>
            <color indexed="81"/>
            <rFont val="宋体"/>
            <family val="3"/>
            <charset val="134"/>
          </rPr>
          <t>关于开展巩固治乱象成果</t>
        </r>
        <r>
          <rPr>
            <sz val="9"/>
            <color indexed="81"/>
            <rFont val="Tahoma"/>
            <family val="2"/>
          </rPr>
          <t xml:space="preserve"> </t>
        </r>
        <r>
          <rPr>
            <sz val="9"/>
            <color indexed="81"/>
            <rFont val="宋体"/>
            <family val="3"/>
            <charset val="134"/>
          </rPr>
          <t>促进合规建设工作的报告</t>
        </r>
        <r>
          <rPr>
            <sz val="9"/>
            <color indexed="81"/>
            <rFont val="Tahoma"/>
            <family val="2"/>
          </rPr>
          <t>”</t>
        </r>
        <r>
          <rPr>
            <sz val="9"/>
            <color indexed="81"/>
            <rFont val="宋体"/>
            <family val="3"/>
            <charset val="134"/>
          </rPr>
          <t>；</t>
        </r>
        <r>
          <rPr>
            <sz val="9"/>
            <color indexed="81"/>
            <rFont val="Tahoma"/>
            <family val="2"/>
          </rPr>
          <t>20190625--</t>
        </r>
        <r>
          <rPr>
            <sz val="9"/>
            <color indexed="81"/>
            <rFont val="宋体"/>
            <family val="3"/>
            <charset val="134"/>
          </rPr>
          <t>关于开展</t>
        </r>
        <r>
          <rPr>
            <sz val="9"/>
            <color indexed="81"/>
            <rFont val="Tahoma"/>
            <family val="2"/>
          </rPr>
          <t>2019</t>
        </r>
        <r>
          <rPr>
            <sz val="9"/>
            <color indexed="81"/>
            <rFont val="宋体"/>
            <family val="3"/>
            <charset val="134"/>
          </rPr>
          <t>年保险中介市场乱象整治自查自纠工作的报告）</t>
        </r>
      </text>
    </comment>
    <comment ref="AX28" authorId="0" shapeId="0">
      <text>
        <r>
          <rPr>
            <b/>
            <sz val="9"/>
            <color indexed="81"/>
            <rFont val="宋体"/>
            <family val="3"/>
            <charset val="134"/>
          </rPr>
          <t>徐梦薇</t>
        </r>
        <r>
          <rPr>
            <b/>
            <sz val="9"/>
            <color indexed="81"/>
            <rFont val="Tahoma"/>
            <family val="2"/>
          </rPr>
          <t>/Mengwei Xu:</t>
        </r>
        <r>
          <rPr>
            <sz val="9"/>
            <color indexed="81"/>
            <rFont val="Tahoma"/>
            <family val="2"/>
          </rPr>
          <t xml:space="preserve">
2017</t>
        </r>
        <r>
          <rPr>
            <sz val="9"/>
            <color indexed="81"/>
            <rFont val="宋体"/>
            <family val="3"/>
            <charset val="134"/>
          </rPr>
          <t>年</t>
        </r>
        <r>
          <rPr>
            <sz val="9"/>
            <color indexed="81"/>
            <rFont val="Tahoma"/>
            <family val="2"/>
          </rPr>
          <t>3</t>
        </r>
        <r>
          <rPr>
            <sz val="9"/>
            <color indexed="81"/>
            <rFont val="宋体"/>
            <family val="3"/>
            <charset val="134"/>
          </rPr>
          <t>季度开展的年度风险排查和非法集资广告资讯排查中，发现销售人员不合规宣传材料、课件</t>
        </r>
        <r>
          <rPr>
            <sz val="9"/>
            <color indexed="81"/>
            <rFont val="Tahoma"/>
            <family val="2"/>
          </rPr>
          <t>1</t>
        </r>
        <r>
          <rPr>
            <sz val="9"/>
            <color indexed="81"/>
            <rFont val="宋体"/>
            <family val="3"/>
            <charset val="134"/>
          </rPr>
          <t>项风险事件；</t>
        </r>
        <r>
          <rPr>
            <sz val="9"/>
            <color indexed="81"/>
            <rFont val="Tahoma"/>
            <family val="2"/>
          </rPr>
          <t>2017</t>
        </r>
        <r>
          <rPr>
            <sz val="9"/>
            <color indexed="81"/>
            <rFont val="宋体"/>
            <family val="3"/>
            <charset val="134"/>
          </rPr>
          <t>年</t>
        </r>
        <r>
          <rPr>
            <sz val="9"/>
            <color indexed="81"/>
            <rFont val="Tahoma"/>
            <family val="2"/>
          </rPr>
          <t>4</t>
        </r>
        <r>
          <rPr>
            <sz val="9"/>
            <color indexed="81"/>
            <rFont val="宋体"/>
            <family val="3"/>
            <charset val="134"/>
          </rPr>
          <t>季度再次开展保险产品销售管理情况自查自纠工作中，发现代签名、代抄录</t>
        </r>
        <r>
          <rPr>
            <sz val="9"/>
            <color indexed="81"/>
            <rFont val="Tahoma"/>
            <family val="2"/>
          </rPr>
          <t>1</t>
        </r>
        <r>
          <rPr>
            <sz val="9"/>
            <color indexed="81"/>
            <rFont val="宋体"/>
            <family val="3"/>
            <charset val="134"/>
          </rPr>
          <t>项风险事件；</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季度治理销售乱象打击非法经营专项行动中，发现销售人员私自制作宣传材料</t>
        </r>
        <r>
          <rPr>
            <sz val="9"/>
            <color indexed="81"/>
            <rFont val="Tahoma"/>
            <family val="2"/>
          </rPr>
          <t>1</t>
        </r>
        <r>
          <rPr>
            <sz val="9"/>
            <color indexed="81"/>
            <rFont val="宋体"/>
            <family val="3"/>
            <charset val="134"/>
          </rPr>
          <t>项</t>
        </r>
      </text>
    </comment>
    <comment ref="AZ28" authorId="0" shapeId="0">
      <text>
        <r>
          <rPr>
            <b/>
            <sz val="9"/>
            <color indexed="81"/>
            <rFont val="宋体"/>
            <family val="3"/>
            <charset val="134"/>
          </rPr>
          <t>徐梦薇</t>
        </r>
        <r>
          <rPr>
            <b/>
            <sz val="9"/>
            <color indexed="81"/>
            <rFont val="Tahoma"/>
            <family val="2"/>
          </rPr>
          <t>/Mengwei Xu:</t>
        </r>
        <r>
          <rPr>
            <sz val="9"/>
            <color indexed="81"/>
            <rFont val="宋体"/>
            <family val="3"/>
            <charset val="134"/>
          </rPr>
          <t xml:space="preserve">
</t>
        </r>
        <r>
          <rPr>
            <sz val="9"/>
            <color indexed="81"/>
            <rFont val="Tahoma"/>
            <family val="2"/>
          </rPr>
          <t>2019Q2</t>
        </r>
        <r>
          <rPr>
            <sz val="9"/>
            <color indexed="81"/>
            <rFont val="宋体"/>
            <family val="3"/>
            <charset val="134"/>
          </rPr>
          <t>开展</t>
        </r>
        <r>
          <rPr>
            <sz val="9"/>
            <color indexed="81"/>
            <rFont val="Tahoma"/>
            <family val="2"/>
          </rPr>
          <t>“</t>
        </r>
        <r>
          <rPr>
            <sz val="9"/>
            <color indexed="81"/>
            <rFont val="宋体"/>
            <family val="3"/>
            <charset val="134"/>
          </rPr>
          <t>巩固治乱象成果</t>
        </r>
        <r>
          <rPr>
            <sz val="9"/>
            <color indexed="81"/>
            <rFont val="Tahoma"/>
            <family val="2"/>
          </rPr>
          <t xml:space="preserve"> </t>
        </r>
        <r>
          <rPr>
            <sz val="9"/>
            <color indexed="81"/>
            <rFont val="宋体"/>
            <family val="3"/>
            <charset val="134"/>
          </rPr>
          <t>促进合规建设</t>
        </r>
        <r>
          <rPr>
            <sz val="9"/>
            <color indexed="81"/>
            <rFont val="Tahoma"/>
            <family val="2"/>
          </rPr>
          <t>”</t>
        </r>
        <r>
          <rPr>
            <sz val="9"/>
            <color indexed="81"/>
            <rFont val="宋体"/>
            <family val="3"/>
            <charset val="134"/>
          </rPr>
          <t>自查，现场检查机构发现不合规课件及宣传材料。</t>
        </r>
      </text>
    </comment>
    <comment ref="BB28" authorId="0" shape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新上报</t>
        </r>
        <r>
          <rPr>
            <sz val="9"/>
            <color indexed="81"/>
            <rFont val="Tahoma"/>
            <family val="2"/>
          </rPr>
          <t>1</t>
        </r>
        <r>
          <rPr>
            <sz val="9"/>
            <color indexed="81"/>
            <rFont val="宋体"/>
            <family val="3"/>
            <charset val="134"/>
          </rPr>
          <t>件</t>
        </r>
      </text>
    </comment>
    <comment ref="BJ28" authorId="0" shape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保单号</t>
        </r>
        <r>
          <rPr>
            <sz val="9"/>
            <color indexed="81"/>
            <rFont val="Tahoma"/>
            <family val="2"/>
          </rPr>
          <t xml:space="preserve">810-20119449 </t>
        </r>
        <r>
          <rPr>
            <sz val="9"/>
            <color indexed="81"/>
            <rFont val="宋体"/>
            <family val="3"/>
            <charset val="134"/>
          </rPr>
          <t>代回访、客户投诉称业务人员讲解的收益与实际不符（</t>
        </r>
        <r>
          <rPr>
            <sz val="9"/>
            <color indexed="81"/>
            <rFont val="Tahoma"/>
            <family val="2"/>
          </rPr>
          <t>2018</t>
        </r>
        <r>
          <rPr>
            <sz val="9"/>
            <color indexed="81"/>
            <rFont val="宋体"/>
            <family val="3"/>
            <charset val="134"/>
          </rPr>
          <t>年</t>
        </r>
        <r>
          <rPr>
            <sz val="9"/>
            <color indexed="81"/>
            <rFont val="Tahoma"/>
            <family val="2"/>
          </rPr>
          <t>2</t>
        </r>
        <r>
          <rPr>
            <sz val="9"/>
            <color indexed="81"/>
            <rFont val="宋体"/>
            <family val="3"/>
            <charset val="134"/>
          </rPr>
          <t>月内控评估、</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r>
          <rPr>
            <sz val="9"/>
            <color indexed="81"/>
            <rFont val="Tahoma"/>
            <family val="2"/>
          </rPr>
          <t>2.</t>
        </r>
        <r>
          <rPr>
            <sz val="9"/>
            <color indexed="81"/>
            <rFont val="宋体"/>
            <family val="3"/>
            <charset val="134"/>
          </rPr>
          <t>个别机构私自在</t>
        </r>
        <r>
          <rPr>
            <sz val="9"/>
            <color indexed="81"/>
            <rFont val="Tahoma"/>
            <family val="2"/>
          </rPr>
          <t>A4</t>
        </r>
        <r>
          <rPr>
            <sz val="9"/>
            <color indexed="81"/>
            <rFont val="宋体"/>
            <family val="3"/>
            <charset val="134"/>
          </rPr>
          <t>纸上打印不合规的产品宣传单页，未经公司审批，主要问题为产品介绍不完整，未包含除外责任、犹豫期等内容。（</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text>
    </comment>
    <comment ref="BL28" authorId="0" shape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 xml:space="preserve">在品质管理过程中发现销售误导问题：
</t>
        </r>
        <r>
          <rPr>
            <sz val="9"/>
            <color indexed="81"/>
            <rFont val="Tahoma"/>
            <family val="2"/>
          </rPr>
          <t>1.</t>
        </r>
        <r>
          <rPr>
            <sz val="9"/>
            <color indexed="81"/>
            <rFont val="宋体"/>
            <family val="3"/>
            <charset val="134"/>
          </rPr>
          <t>郑州本部康歌在办理</t>
        </r>
        <r>
          <rPr>
            <sz val="9"/>
            <color indexed="81"/>
            <rFont val="Tahoma"/>
            <family val="2"/>
          </rPr>
          <t>810-20182120</t>
        </r>
        <r>
          <rPr>
            <sz val="9"/>
            <color indexed="81"/>
            <rFont val="宋体"/>
            <family val="3"/>
            <charset val="134"/>
          </rPr>
          <t>保单时，仅告知客户是一款理财产品，未明确告知是保险产品；濮阳鲁彦霞（工号</t>
        </r>
        <r>
          <rPr>
            <sz val="9"/>
            <color indexed="81"/>
            <rFont val="Tahoma"/>
            <family val="2"/>
          </rPr>
          <t>67300213</t>
        </r>
        <r>
          <rPr>
            <sz val="9"/>
            <color indexed="81"/>
            <rFont val="宋体"/>
            <family val="3"/>
            <charset val="134"/>
          </rPr>
          <t>）在办理保单</t>
        </r>
        <r>
          <rPr>
            <sz val="9"/>
            <color indexed="81"/>
            <rFont val="Tahoma"/>
            <family val="2"/>
          </rPr>
          <t>840-20106096</t>
        </r>
        <r>
          <rPr>
            <sz val="9"/>
            <color indexed="81"/>
            <rFont val="宋体"/>
            <family val="3"/>
            <charset val="134"/>
          </rPr>
          <t>时、郑州本部冯莉娟（工号</t>
        </r>
        <r>
          <rPr>
            <sz val="9"/>
            <color indexed="81"/>
            <rFont val="Tahoma"/>
            <family val="2"/>
          </rPr>
          <t>67002765</t>
        </r>
        <r>
          <rPr>
            <sz val="9"/>
            <color indexed="81"/>
            <rFont val="宋体"/>
            <family val="3"/>
            <charset val="134"/>
          </rPr>
          <t>）在办理保单</t>
        </r>
        <r>
          <rPr>
            <sz val="9"/>
            <color indexed="81"/>
            <rFont val="Tahoma"/>
            <family val="2"/>
          </rPr>
          <t>810-20189904</t>
        </r>
        <r>
          <rPr>
            <sz val="9"/>
            <color indexed="81"/>
            <rFont val="宋体"/>
            <family val="3"/>
            <charset val="134"/>
          </rPr>
          <t xml:space="preserve">时，未如实引导客户告知既往病史。
</t>
        </r>
        <r>
          <rPr>
            <sz val="9"/>
            <color indexed="81"/>
            <rFont val="Tahoma"/>
            <family val="2"/>
          </rPr>
          <t>2.</t>
        </r>
        <r>
          <rPr>
            <sz val="9"/>
            <color indexed="81"/>
            <rFont val="宋体"/>
            <family val="3"/>
            <charset val="134"/>
          </rPr>
          <t>郑州本部孙贺（工号</t>
        </r>
        <r>
          <rPr>
            <sz val="9"/>
            <color indexed="81"/>
            <rFont val="Tahoma"/>
            <family val="2"/>
          </rPr>
          <t>67002433</t>
        </r>
        <r>
          <rPr>
            <sz val="9"/>
            <color indexed="81"/>
            <rFont val="宋体"/>
            <family val="3"/>
            <charset val="134"/>
          </rPr>
          <t>），在办理</t>
        </r>
        <r>
          <rPr>
            <sz val="9"/>
            <color indexed="81"/>
            <rFont val="Tahoma"/>
            <family val="2"/>
          </rPr>
          <t>810-20200210</t>
        </r>
        <r>
          <rPr>
            <sz val="9"/>
            <color indexed="81"/>
            <rFont val="宋体"/>
            <family val="3"/>
            <charset val="134"/>
          </rPr>
          <t>保单时，代抄风险提示语。</t>
        </r>
      </text>
    </comment>
    <comment ref="BV28" authorId="2" shapeId="0">
      <text>
        <r>
          <rPr>
            <b/>
            <sz val="9"/>
            <color indexed="81"/>
            <rFont val="Tahoma"/>
            <family val="2"/>
          </rPr>
          <t>1</t>
        </r>
        <r>
          <rPr>
            <b/>
            <sz val="9"/>
            <color indexed="81"/>
            <rFont val="宋体"/>
            <family val="3"/>
            <charset val="134"/>
          </rPr>
          <t>、</t>
        </r>
        <r>
          <rPr>
            <b/>
            <sz val="9"/>
            <color indexed="81"/>
            <rFont val="Tahoma"/>
            <family val="2"/>
          </rPr>
          <t>2018</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-2</t>
        </r>
        <r>
          <rPr>
            <b/>
            <sz val="9"/>
            <color indexed="81"/>
            <rFont val="宋体"/>
            <family val="3"/>
            <charset val="134"/>
          </rPr>
          <t>月开展</t>
        </r>
        <r>
          <rPr>
            <b/>
            <sz val="9"/>
            <color indexed="81"/>
            <rFont val="Tahoma"/>
            <family val="2"/>
          </rPr>
          <t>“</t>
        </r>
        <r>
          <rPr>
            <b/>
            <sz val="9"/>
            <color indexed="81"/>
            <rFont val="宋体"/>
            <family val="3"/>
            <charset val="134"/>
          </rPr>
          <t>治乱打非</t>
        </r>
        <r>
          <rPr>
            <b/>
            <sz val="9"/>
            <color indexed="81"/>
            <rFont val="Tahoma"/>
            <family val="2"/>
          </rPr>
          <t>”</t>
        </r>
        <r>
          <rPr>
            <b/>
            <sz val="9"/>
            <color indexed="81"/>
            <rFont val="宋体"/>
            <family val="3"/>
            <charset val="134"/>
          </rPr>
          <t>专项检查，排查</t>
        </r>
        <r>
          <rPr>
            <b/>
            <sz val="9"/>
            <color indexed="81"/>
            <rFont val="Tahoma"/>
            <family val="2"/>
          </rPr>
          <t>2017</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1</t>
        </r>
        <r>
          <rPr>
            <b/>
            <sz val="9"/>
            <color indexed="81"/>
            <rFont val="宋体"/>
            <family val="3"/>
            <charset val="134"/>
          </rPr>
          <t>日至</t>
        </r>
        <r>
          <rPr>
            <b/>
            <sz val="9"/>
            <color indexed="81"/>
            <rFont val="Tahoma"/>
            <family val="2"/>
          </rPr>
          <t>2018</t>
        </r>
        <r>
          <rPr>
            <b/>
            <sz val="9"/>
            <color indexed="81"/>
            <rFont val="宋体"/>
            <family val="3"/>
            <charset val="134"/>
          </rPr>
          <t>年</t>
        </r>
        <r>
          <rPr>
            <b/>
            <sz val="9"/>
            <color indexed="81"/>
            <rFont val="Tahoma"/>
            <family val="2"/>
          </rPr>
          <t>2</t>
        </r>
        <r>
          <rPr>
            <b/>
            <sz val="9"/>
            <color indexed="81"/>
            <rFont val="宋体"/>
            <family val="3"/>
            <charset val="134"/>
          </rPr>
          <t>月</t>
        </r>
        <r>
          <rPr>
            <b/>
            <sz val="9"/>
            <color indexed="81"/>
            <rFont val="Tahoma"/>
            <family val="2"/>
          </rPr>
          <t>28</t>
        </r>
        <r>
          <rPr>
            <b/>
            <sz val="9"/>
            <color indexed="81"/>
            <rFont val="宋体"/>
            <family val="3"/>
            <charset val="134"/>
          </rPr>
          <t>日的电话回访问题件，发现</t>
        </r>
        <r>
          <rPr>
            <b/>
            <sz val="9"/>
            <color indexed="81"/>
            <rFont val="Tahoma"/>
            <family val="2"/>
          </rPr>
          <t>20253418</t>
        </r>
        <r>
          <rPr>
            <b/>
            <sz val="9"/>
            <color indexed="81"/>
            <rFont val="宋体"/>
            <family val="3"/>
            <charset val="134"/>
          </rPr>
          <t>、</t>
        </r>
        <r>
          <rPr>
            <b/>
            <sz val="9"/>
            <color indexed="81"/>
            <rFont val="Tahoma"/>
            <family val="2"/>
          </rPr>
          <t>20253242</t>
        </r>
        <r>
          <rPr>
            <b/>
            <sz val="9"/>
            <color indexed="81"/>
            <rFont val="宋体"/>
            <family val="3"/>
            <charset val="134"/>
          </rPr>
          <t>、</t>
        </r>
        <r>
          <rPr>
            <b/>
            <sz val="9"/>
            <color indexed="81"/>
            <rFont val="Tahoma"/>
            <family val="2"/>
          </rPr>
          <t>20253243</t>
        </r>
        <r>
          <rPr>
            <b/>
            <sz val="9"/>
            <color indexed="81"/>
            <rFont val="宋体"/>
            <family val="3"/>
            <charset val="134"/>
          </rPr>
          <t>、</t>
        </r>
        <r>
          <rPr>
            <b/>
            <sz val="9"/>
            <color indexed="81"/>
            <rFont val="Tahoma"/>
            <family val="2"/>
          </rPr>
          <t>20253260</t>
        </r>
        <r>
          <rPr>
            <b/>
            <sz val="9"/>
            <color indexed="81"/>
            <rFont val="宋体"/>
            <family val="3"/>
            <charset val="134"/>
          </rPr>
          <t>、</t>
        </r>
        <r>
          <rPr>
            <b/>
            <sz val="9"/>
            <color indexed="81"/>
            <rFont val="Tahoma"/>
            <family val="2"/>
          </rPr>
          <t>20207828</t>
        </r>
        <r>
          <rPr>
            <b/>
            <sz val="9"/>
            <color indexed="81"/>
            <rFont val="宋体"/>
            <family val="3"/>
            <charset val="134"/>
          </rPr>
          <t>保单为代回访。此问题反映在《恒安标准人寿保险有限公司四川分公司关于开展整治销售乱象打击非法经营自查自纠工作的报告》中。</t>
        </r>
      </text>
    </comment>
    <comment ref="BX28" authorId="0" shapeId="0">
      <text>
        <r>
          <rPr>
            <b/>
            <sz val="9"/>
            <color indexed="81"/>
            <rFont val="宋体"/>
            <family val="3"/>
            <charset val="134"/>
          </rPr>
          <t>徐梦薇</t>
        </r>
        <r>
          <rPr>
            <b/>
            <sz val="9"/>
            <color indexed="81"/>
            <rFont val="Tahoma"/>
            <family val="2"/>
          </rPr>
          <t>/Mengwei Xu:</t>
        </r>
        <r>
          <rPr>
            <sz val="9"/>
            <color indexed="81"/>
            <rFont val="Tahoma"/>
            <family val="2"/>
          </rPr>
          <t xml:space="preserve">
2018Q4</t>
        </r>
        <r>
          <rPr>
            <sz val="9"/>
            <color indexed="81"/>
            <rFont val="宋体"/>
            <family val="3"/>
            <charset val="134"/>
          </rPr>
          <t>发现达州销售人员鲁媛存在代签名问题，已在年度投诉报告中由四川客服部报送至四川银保监局</t>
        </r>
      </text>
    </comment>
    <comment ref="D29"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大连失分</t>
        </r>
      </text>
    </comment>
    <comment ref="AL29" authorId="0" shapeId="0">
      <text>
        <r>
          <rPr>
            <b/>
            <sz val="9"/>
            <color indexed="81"/>
            <rFont val="宋体"/>
            <family val="3"/>
            <charset val="134"/>
          </rPr>
          <t>徐梦薇</t>
        </r>
        <r>
          <rPr>
            <b/>
            <sz val="9"/>
            <color indexed="81"/>
            <rFont val="Tahoma"/>
            <family val="2"/>
          </rPr>
          <t>/Mengwei Xu:</t>
        </r>
        <r>
          <rPr>
            <sz val="9"/>
            <color indexed="81"/>
            <rFont val="Tahoma"/>
            <family val="2"/>
          </rPr>
          <t xml:space="preserve">
3</t>
        </r>
        <r>
          <rPr>
            <sz val="9"/>
            <color indexed="81"/>
            <rFont val="宋体"/>
            <family val="3"/>
            <charset val="134"/>
          </rPr>
          <t>季度大连保监局现场检查发现如下问题：一是内容表述不严谨。</t>
        </r>
        <r>
          <rPr>
            <sz val="9"/>
            <color indexed="81"/>
            <rFont val="Tahoma"/>
            <family val="2"/>
          </rPr>
          <t>“</t>
        </r>
        <r>
          <rPr>
            <sz val="9"/>
            <color indexed="81"/>
            <rFont val="宋体"/>
            <family val="3"/>
            <charset val="134"/>
          </rPr>
          <t>新产品发布</t>
        </r>
        <r>
          <rPr>
            <sz val="9"/>
            <color indexed="81"/>
            <rFont val="Tahoma"/>
            <family val="2"/>
          </rPr>
          <t>20170423”</t>
        </r>
        <r>
          <rPr>
            <sz val="9"/>
            <color indexed="81"/>
            <rFont val="宋体"/>
            <family val="3"/>
            <charset val="134"/>
          </rPr>
          <t>，推介产品为恒安标准臻爱健终身重大疾病保险，在介绍公司基本情况时，在缺少限定条件下，表述</t>
        </r>
        <r>
          <rPr>
            <sz val="9"/>
            <color indexed="81"/>
            <rFont val="Tahoma"/>
            <family val="2"/>
          </rPr>
          <t>“</t>
        </r>
        <r>
          <rPr>
            <sz val="9"/>
            <color indexed="81"/>
            <rFont val="宋体"/>
            <family val="3"/>
            <charset val="134"/>
          </rPr>
          <t>公司治理评分是第一最高的分数</t>
        </r>
        <r>
          <rPr>
            <sz val="9"/>
            <color indexed="81"/>
            <rFont val="Tahoma"/>
            <family val="2"/>
          </rPr>
          <t>”</t>
        </r>
        <r>
          <rPr>
            <sz val="9"/>
            <color indexed="81"/>
            <rFont val="宋体"/>
            <family val="3"/>
            <charset val="134"/>
          </rPr>
          <t>；在缺少准确数据来源的情况下，表述</t>
        </r>
        <r>
          <rPr>
            <sz val="9"/>
            <color indexed="81"/>
            <rFont val="Tahoma"/>
            <family val="2"/>
          </rPr>
          <t>“</t>
        </r>
        <r>
          <rPr>
            <sz val="9"/>
            <color indexed="81"/>
            <rFont val="宋体"/>
            <family val="3"/>
            <charset val="134"/>
          </rPr>
          <t>行业重大疾病理赔过程中，重大疾病的理赔额度也不过刚刚上</t>
        </r>
        <r>
          <rPr>
            <sz val="9"/>
            <color indexed="81"/>
            <rFont val="Tahoma"/>
            <family val="2"/>
          </rPr>
          <t xml:space="preserve">5 </t>
        </r>
        <r>
          <rPr>
            <sz val="9"/>
            <color indexed="81"/>
            <rFont val="宋体"/>
            <family val="3"/>
            <charset val="134"/>
          </rPr>
          <t>万保额，而我们这一款零件化、超有价值、保费低保障高的产品平均我们就</t>
        </r>
        <r>
          <rPr>
            <sz val="9"/>
            <color indexed="81"/>
            <rFont val="Tahoma"/>
            <family val="2"/>
          </rPr>
          <t xml:space="preserve">16 </t>
        </r>
        <r>
          <rPr>
            <sz val="9"/>
            <color indexed="81"/>
            <rFont val="宋体"/>
            <family val="3"/>
            <charset val="134"/>
          </rPr>
          <t>万的理赔</t>
        </r>
        <r>
          <rPr>
            <sz val="9"/>
            <color indexed="81"/>
            <rFont val="Tahoma"/>
            <family val="2"/>
          </rPr>
          <t>”</t>
        </r>
        <r>
          <rPr>
            <sz val="9"/>
            <color indexed="81"/>
            <rFont val="宋体"/>
            <family val="3"/>
            <charset val="134"/>
          </rPr>
          <t>。二是产说会课件存在不当同业比较。产说会课件</t>
        </r>
        <r>
          <rPr>
            <sz val="9"/>
            <color indexed="81"/>
            <rFont val="Tahoma"/>
            <family val="2"/>
          </rPr>
          <t>“</t>
        </r>
        <r>
          <rPr>
            <sz val="9"/>
            <color indexed="81"/>
            <rFont val="宋体"/>
            <family val="3"/>
            <charset val="134"/>
          </rPr>
          <t>金州</t>
        </r>
        <r>
          <rPr>
            <sz val="9"/>
            <color indexed="81"/>
            <rFont val="Tahoma"/>
            <family val="2"/>
          </rPr>
          <t>20180117-</t>
        </r>
        <r>
          <rPr>
            <sz val="9"/>
            <color indexed="81"/>
            <rFont val="宋体"/>
            <family val="3"/>
            <charset val="134"/>
          </rPr>
          <t>卓越</t>
        </r>
        <r>
          <rPr>
            <sz val="9"/>
            <color indexed="81"/>
            <rFont val="Tahoma"/>
            <family val="2"/>
          </rPr>
          <t>C”</t>
        </r>
        <r>
          <rPr>
            <sz val="9"/>
            <color indexed="81"/>
            <rFont val="宋体"/>
            <family val="3"/>
            <charset val="134"/>
          </rPr>
          <t>，推介产品为恒安标准幸福金生卓越版两全保险</t>
        </r>
        <r>
          <rPr>
            <sz val="9"/>
            <color indexed="81"/>
            <rFont val="Tahoma"/>
            <family val="2"/>
          </rPr>
          <t xml:space="preserve">C </t>
        </r>
        <r>
          <rPr>
            <sz val="9"/>
            <color indexed="81"/>
            <rFont val="宋体"/>
            <family val="3"/>
            <charset val="134"/>
          </rPr>
          <t>款（分红型），课件存在以下说法，</t>
        </r>
        <r>
          <rPr>
            <sz val="9"/>
            <color indexed="81"/>
            <rFont val="Tahoma"/>
            <family val="2"/>
          </rPr>
          <t>“</t>
        </r>
        <r>
          <rPr>
            <sz val="9"/>
            <color indexed="81"/>
            <rFont val="宋体"/>
            <family val="3"/>
            <charset val="134"/>
          </rPr>
          <t>许多公司成立时间不足</t>
        </r>
        <r>
          <rPr>
            <sz val="9"/>
            <color indexed="81"/>
            <rFont val="Tahoma"/>
            <family val="2"/>
          </rPr>
          <t>30</t>
        </r>
        <r>
          <rPr>
            <sz val="9"/>
            <color indexed="81"/>
            <rFont val="宋体"/>
            <family val="3"/>
            <charset val="134"/>
          </rPr>
          <t>年，各个方面均处于摸索阶段；没有真正意义上经历过</t>
        </r>
        <r>
          <rPr>
            <sz val="9"/>
            <color indexed="81"/>
            <rFont val="Tahoma"/>
            <family val="2"/>
          </rPr>
          <t>‘</t>
        </r>
        <r>
          <rPr>
            <sz val="9"/>
            <color indexed="81"/>
            <rFont val="宋体"/>
            <family val="3"/>
            <charset val="134"/>
          </rPr>
          <t>大量理赔</t>
        </r>
        <r>
          <rPr>
            <sz val="9"/>
            <color indexed="81"/>
            <rFont val="Tahoma"/>
            <family val="2"/>
          </rPr>
          <t>’</t>
        </r>
        <r>
          <rPr>
            <sz val="9"/>
            <color indexed="81"/>
            <rFont val="宋体"/>
            <family val="3"/>
            <charset val="134"/>
          </rPr>
          <t>的过程，对于未来属于未知状态！恒安标准借鉴股东</t>
        </r>
        <r>
          <rPr>
            <sz val="9"/>
            <color indexed="81"/>
            <rFont val="Tahoma"/>
            <family val="2"/>
          </rPr>
          <t xml:space="preserve">192 </t>
        </r>
        <r>
          <rPr>
            <sz val="9"/>
            <color indexed="81"/>
            <rFont val="宋体"/>
            <family val="3"/>
            <charset val="134"/>
          </rPr>
          <t>年沉淀了足够的经验甚至教训，有成熟的产品设计及公司运营理念；</t>
        </r>
        <r>
          <rPr>
            <sz val="9"/>
            <color indexed="81"/>
            <rFont val="Tahoma"/>
            <family val="2"/>
          </rPr>
          <t xml:space="preserve">192 </t>
        </r>
        <r>
          <rPr>
            <sz val="9"/>
            <color indexed="81"/>
            <rFont val="宋体"/>
            <family val="3"/>
            <charset val="134"/>
          </rPr>
          <t>年至少是七八代人的</t>
        </r>
        <r>
          <rPr>
            <sz val="9"/>
            <color indexed="81"/>
            <rFont val="Tahoma"/>
            <family val="2"/>
          </rPr>
          <t>‘</t>
        </r>
        <r>
          <rPr>
            <sz val="9"/>
            <color indexed="81"/>
            <rFont val="宋体"/>
            <family val="3"/>
            <charset val="134"/>
          </rPr>
          <t>生老病死</t>
        </r>
        <r>
          <rPr>
            <sz val="9"/>
            <color indexed="81"/>
            <rFont val="Tahoma"/>
            <family val="2"/>
          </rPr>
          <t>’</t>
        </r>
        <r>
          <rPr>
            <sz val="9"/>
            <color indexed="81"/>
            <rFont val="宋体"/>
            <family val="3"/>
            <charset val="134"/>
          </rPr>
          <t>，经历过、赔付过、见证过！</t>
        </r>
        <r>
          <rPr>
            <sz val="9"/>
            <color indexed="81"/>
            <rFont val="Tahoma"/>
            <family val="2"/>
          </rPr>
          <t>”</t>
        </r>
      </text>
    </comment>
    <comment ref="AP29" authorId="0" shapeId="0">
      <text>
        <r>
          <rPr>
            <b/>
            <sz val="9"/>
            <color indexed="81"/>
            <rFont val="宋体"/>
            <family val="3"/>
            <charset val="134"/>
          </rPr>
          <t>徐梦薇/Mengwei Xu:</t>
        </r>
        <r>
          <rPr>
            <sz val="9"/>
            <color indexed="81"/>
            <rFont val="宋体"/>
            <family val="3"/>
            <charset val="134"/>
          </rPr>
          <t xml:space="preserve">
过期</t>
        </r>
      </text>
    </comment>
    <comment ref="D32"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山东过期、大连失分</t>
        </r>
      </text>
    </comment>
    <comment ref="AL32" authorId="0" shapeId="0">
      <text>
        <r>
          <rPr>
            <b/>
            <sz val="9"/>
            <color indexed="81"/>
            <rFont val="宋体"/>
            <family val="3"/>
            <charset val="134"/>
          </rPr>
          <t>徐梦薇</t>
        </r>
        <r>
          <rPr>
            <b/>
            <sz val="9"/>
            <color indexed="81"/>
            <rFont val="Tahoma"/>
            <family val="2"/>
          </rPr>
          <t>/Mengwei Xu:</t>
        </r>
        <r>
          <rPr>
            <sz val="9"/>
            <color indexed="81"/>
            <rFont val="Tahoma"/>
            <family val="2"/>
          </rPr>
          <t xml:space="preserve">
19Q1-</t>
        </r>
        <r>
          <rPr>
            <sz val="9"/>
            <color indexed="81"/>
            <rFont val="宋体"/>
            <family val="3"/>
            <charset val="134"/>
          </rPr>
          <t>已离职销售人员管雪花现金收取客户保费</t>
        </r>
      </text>
    </comment>
    <comment ref="AN32" authorId="0" shapeId="0">
      <text>
        <r>
          <rPr>
            <b/>
            <sz val="9"/>
            <color indexed="81"/>
            <rFont val="宋体"/>
            <family val="3"/>
            <charset val="134"/>
          </rPr>
          <t>徐梦薇</t>
        </r>
        <r>
          <rPr>
            <b/>
            <sz val="9"/>
            <color indexed="81"/>
            <rFont val="Tahoma"/>
            <family val="2"/>
          </rPr>
          <t>/Mengwei Xu:</t>
        </r>
        <r>
          <rPr>
            <sz val="9"/>
            <color indexed="81"/>
            <rFont val="Tahoma"/>
            <family val="2"/>
          </rPr>
          <t xml:space="preserve">
19Q1-</t>
        </r>
        <r>
          <rPr>
            <sz val="9"/>
            <color indexed="81"/>
            <rFont val="宋体"/>
            <family val="3"/>
            <charset val="134"/>
          </rPr>
          <t>已离职销售人员管雪花现金收取客户保费</t>
        </r>
      </text>
    </comment>
    <comment ref="AX32" authorId="0" shape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t>
        </r>
        <r>
          <rPr>
            <sz val="9"/>
            <color indexed="81"/>
            <rFont val="Tahoma"/>
            <family val="2"/>
          </rPr>
          <t xml:space="preserve">1 </t>
        </r>
        <r>
          <rPr>
            <sz val="9"/>
            <color indexed="81"/>
            <rFont val="宋体"/>
            <family val="3"/>
            <charset val="134"/>
          </rPr>
          <t>名销售人员销售非保险金融产品</t>
        </r>
      </text>
    </comment>
    <comment ref="X36" authorId="0" shapeId="0">
      <text>
        <r>
          <rPr>
            <b/>
            <sz val="9"/>
            <color indexed="81"/>
            <rFont val="宋体"/>
            <family val="3"/>
            <charset val="134"/>
          </rPr>
          <t>徐梦薇/Mengwei Xu:</t>
        </r>
        <r>
          <rPr>
            <sz val="9"/>
            <color indexed="81"/>
            <rFont val="宋体"/>
            <family val="3"/>
            <charset val="134"/>
          </rPr>
          <t xml:space="preserve">
个险渠道承保量变化较明显</t>
        </r>
      </text>
    </comment>
    <comment ref="D42"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四川失分</t>
        </r>
      </text>
    </comment>
    <comment ref="AR42"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BX42" authorId="0" shapeId="0">
      <text>
        <r>
          <rPr>
            <b/>
            <sz val="9"/>
            <color indexed="81"/>
            <rFont val="宋体"/>
            <family val="3"/>
            <charset val="134"/>
          </rPr>
          <t>徐梦薇</t>
        </r>
        <r>
          <rPr>
            <b/>
            <sz val="9"/>
            <color indexed="81"/>
            <rFont val="Tahoma"/>
            <family val="2"/>
          </rPr>
          <t>/Mengwei Xu:</t>
        </r>
        <r>
          <rPr>
            <sz val="9"/>
            <color indexed="81"/>
            <rFont val="Tahoma"/>
            <family val="2"/>
          </rPr>
          <t xml:space="preserve">
2019Q2</t>
        </r>
        <r>
          <rPr>
            <sz val="9"/>
            <color indexed="81"/>
            <rFont val="宋体"/>
            <family val="3"/>
            <charset val="134"/>
          </rPr>
          <t>上报</t>
        </r>
        <r>
          <rPr>
            <sz val="9"/>
            <color indexed="81"/>
            <rFont val="Tahoma"/>
            <family val="2"/>
          </rPr>
          <t>-</t>
        </r>
        <r>
          <rPr>
            <sz val="9"/>
            <color indexed="81"/>
            <rFont val="宋体"/>
            <family val="3"/>
            <charset val="134"/>
          </rPr>
          <t>四川分公司达州机构因</t>
        </r>
        <r>
          <rPr>
            <sz val="9"/>
            <color indexed="81"/>
            <rFont val="Tahoma"/>
            <family val="2"/>
          </rPr>
          <t>018</t>
        </r>
        <r>
          <rPr>
            <sz val="9"/>
            <color indexed="81"/>
            <rFont val="宋体"/>
            <family val="3"/>
            <charset val="134"/>
          </rPr>
          <t>年反洗钱评级为</t>
        </r>
        <r>
          <rPr>
            <sz val="9"/>
            <color indexed="81"/>
            <rFont val="Tahoma"/>
            <family val="2"/>
          </rPr>
          <t>CC</t>
        </r>
        <r>
          <rPr>
            <sz val="9"/>
            <color indexed="81"/>
            <rFont val="宋体"/>
            <family val="3"/>
            <charset val="134"/>
          </rPr>
          <t>级，人民银行达州中心支行对达州机构进行了约谈，并下发了监管意见书。</t>
        </r>
      </text>
    </comment>
    <comment ref="BZ42"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四川分公司达州机构因</t>
        </r>
        <r>
          <rPr>
            <sz val="9"/>
            <color indexed="81"/>
            <rFont val="Tahoma"/>
            <family val="2"/>
          </rPr>
          <t>2018</t>
        </r>
        <r>
          <rPr>
            <sz val="9"/>
            <color indexed="81"/>
            <rFont val="宋体"/>
            <family val="3"/>
            <charset val="134"/>
          </rPr>
          <t>年反洗钱评级为</t>
        </r>
        <r>
          <rPr>
            <sz val="9"/>
            <color indexed="81"/>
            <rFont val="Tahoma"/>
            <family val="2"/>
          </rPr>
          <t>CC</t>
        </r>
        <r>
          <rPr>
            <sz val="9"/>
            <color indexed="81"/>
            <rFont val="宋体"/>
            <family val="3"/>
            <charset val="134"/>
          </rPr>
          <t>级，人民银行达州中心支行对达州机构进行了约谈，并下发了监管意见书。</t>
        </r>
      </text>
    </comment>
    <comment ref="D45"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广东</t>
        </r>
        <r>
          <rPr>
            <sz val="9"/>
            <color indexed="81"/>
            <rFont val="Tahoma"/>
            <family val="2"/>
          </rPr>
          <t>19Q3</t>
        </r>
        <r>
          <rPr>
            <sz val="9"/>
            <color indexed="81"/>
            <rFont val="宋体"/>
            <family val="3"/>
            <charset val="134"/>
          </rPr>
          <t>不失分</t>
        </r>
      </text>
    </comment>
    <comment ref="F46" authorId="2" shapeId="0">
      <text>
        <r>
          <rPr>
            <b/>
            <sz val="9"/>
            <color indexed="81"/>
            <rFont val="Tahoma"/>
            <family val="2"/>
          </rPr>
          <t>pe0826:</t>
        </r>
        <r>
          <rPr>
            <sz val="9"/>
            <color indexed="81"/>
            <rFont val="Tahoma"/>
            <family val="2"/>
          </rPr>
          <t xml:space="preserve">
2018Q1</t>
        </r>
        <r>
          <rPr>
            <sz val="9"/>
            <color indexed="81"/>
            <rFont val="宋体"/>
            <family val="3"/>
            <charset val="134"/>
          </rPr>
          <t>还是这个证据吗？</t>
        </r>
      </text>
    </comment>
    <comment ref="AJ5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BB5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BT5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本期降低</t>
        </r>
      </text>
    </comment>
    <comment ref="D52"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大连、河南、四川失分</t>
        </r>
      </text>
    </comment>
    <comment ref="X54" authorId="0" shapeId="0">
      <text>
        <r>
          <rPr>
            <b/>
            <sz val="9"/>
            <color indexed="81"/>
            <rFont val="宋体"/>
            <family val="3"/>
            <charset val="134"/>
          </rPr>
          <t>徐梦薇/Mengwei Xu:</t>
        </r>
        <r>
          <rPr>
            <sz val="9"/>
            <color indexed="81"/>
            <rFont val="宋体"/>
            <family val="3"/>
            <charset val="134"/>
          </rPr>
          <t xml:space="preserve">
退保增加</t>
        </r>
      </text>
    </comment>
    <comment ref="D6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北京、广东失分</t>
        </r>
      </text>
    </comment>
    <comment ref="AJ6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本期无</t>
        </r>
      </text>
    </comment>
  </commentList>
</comments>
</file>

<file path=xl/comments5.xml><?xml version="1.0" encoding="utf-8"?>
<comments xmlns="http://schemas.openxmlformats.org/spreadsheetml/2006/main">
  <authors>
    <author>徐梦薇/Mengwei Xu</author>
  </authors>
  <commentList>
    <comment ref="D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青岛失分</t>
        </r>
      </text>
    </comment>
    <comment ref="D7"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天津、江苏、山东、青岛、广东失分</t>
        </r>
      </text>
    </comment>
    <comment ref="AD8" authorId="0" shapeId="0">
      <text>
        <r>
          <rPr>
            <b/>
            <sz val="9"/>
            <color indexed="81"/>
            <rFont val="宋体"/>
            <family val="3"/>
            <charset val="134"/>
          </rPr>
          <t>徐梦薇/Mengwei Xu:</t>
        </r>
        <r>
          <rPr>
            <sz val="9"/>
            <color indexed="81"/>
            <rFont val="宋体"/>
            <family val="3"/>
            <charset val="134"/>
          </rPr>
          <t xml:space="preserve">
无离职</t>
        </r>
      </text>
    </comment>
    <comment ref="BH8" authorId="0" shapeId="0">
      <text>
        <r>
          <rPr>
            <b/>
            <sz val="9"/>
            <color indexed="81"/>
            <rFont val="宋体"/>
            <family val="3"/>
            <charset val="134"/>
          </rPr>
          <t>徐梦薇/Mengwei Xu:</t>
        </r>
        <r>
          <rPr>
            <sz val="9"/>
            <color indexed="81"/>
            <rFont val="宋体"/>
            <family val="3"/>
            <charset val="134"/>
          </rPr>
          <t xml:space="preserve">
无离职</t>
        </r>
      </text>
    </comment>
    <comment ref="BT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t>
        </r>
        <r>
          <rPr>
            <sz val="9"/>
            <color indexed="81"/>
            <rFont val="Tahoma"/>
            <family val="2"/>
          </rPr>
          <t>2</t>
        </r>
        <r>
          <rPr>
            <sz val="9"/>
            <color indexed="81"/>
            <rFont val="宋体"/>
            <family val="3"/>
            <charset val="134"/>
          </rPr>
          <t>人</t>
        </r>
      </text>
    </comment>
    <comment ref="X9" authorId="0" shapeId="0">
      <text>
        <r>
          <rPr>
            <b/>
            <sz val="9"/>
            <color indexed="81"/>
            <rFont val="宋体"/>
            <family val="3"/>
            <charset val="134"/>
          </rPr>
          <t>徐梦薇/Mengwei Xu:</t>
        </r>
        <r>
          <rPr>
            <sz val="9"/>
            <color indexed="81"/>
            <rFont val="宋体"/>
            <family val="3"/>
            <charset val="134"/>
          </rPr>
          <t xml:space="preserve">
计算口径改变</t>
        </r>
      </text>
    </comment>
    <comment ref="AD9" authorId="0" shapeId="0">
      <text>
        <r>
          <rPr>
            <b/>
            <sz val="9"/>
            <color indexed="81"/>
            <rFont val="宋体"/>
            <family val="3"/>
            <charset val="134"/>
          </rPr>
          <t>徐梦薇/Mengwei Xu:</t>
        </r>
        <r>
          <rPr>
            <sz val="9"/>
            <color indexed="81"/>
            <rFont val="宋体"/>
            <family val="3"/>
            <charset val="134"/>
          </rPr>
          <t xml:space="preserve">
计算口径变</t>
        </r>
      </text>
    </comment>
    <comment ref="AJ9" authorId="0" shapeId="0">
      <text>
        <r>
          <rPr>
            <b/>
            <sz val="9"/>
            <color indexed="81"/>
            <rFont val="宋体"/>
            <family val="3"/>
            <charset val="134"/>
          </rPr>
          <t>徐梦薇/Mengwei Xu:</t>
        </r>
        <r>
          <rPr>
            <sz val="9"/>
            <color indexed="81"/>
            <rFont val="宋体"/>
            <family val="3"/>
            <charset val="134"/>
          </rPr>
          <t xml:space="preserve">
计算口径改变</t>
        </r>
      </text>
    </comment>
    <comment ref="AP9" authorId="0" shapeId="0">
      <text>
        <r>
          <rPr>
            <b/>
            <sz val="9"/>
            <color indexed="81"/>
            <rFont val="宋体"/>
            <family val="3"/>
            <charset val="134"/>
          </rPr>
          <t>徐梦薇/Mengwei Xu:</t>
        </r>
        <r>
          <rPr>
            <sz val="9"/>
            <color indexed="81"/>
            <rFont val="宋体"/>
            <family val="3"/>
            <charset val="134"/>
          </rPr>
          <t xml:space="preserve">
计算口径改变</t>
        </r>
      </text>
    </comment>
    <comment ref="AV9" authorId="0" shapeId="0">
      <text>
        <r>
          <rPr>
            <b/>
            <sz val="9"/>
            <color indexed="81"/>
            <rFont val="宋体"/>
            <family val="3"/>
            <charset val="134"/>
          </rPr>
          <t>徐梦薇/Mengwei Xu:</t>
        </r>
        <r>
          <rPr>
            <sz val="9"/>
            <color indexed="81"/>
            <rFont val="宋体"/>
            <family val="3"/>
            <charset val="134"/>
          </rPr>
          <t xml:space="preserve">
计算标准改变</t>
        </r>
      </text>
    </comment>
    <comment ref="BB9" authorId="0" shapeId="0">
      <text>
        <r>
          <rPr>
            <b/>
            <sz val="9"/>
            <color indexed="81"/>
            <rFont val="宋体"/>
            <family val="3"/>
            <charset val="134"/>
          </rPr>
          <t>徐梦薇/Mengwei Xu:</t>
        </r>
        <r>
          <rPr>
            <sz val="9"/>
            <color indexed="81"/>
            <rFont val="宋体"/>
            <family val="3"/>
            <charset val="134"/>
          </rPr>
          <t xml:space="preserve">
计算口径改变</t>
        </r>
      </text>
    </comment>
    <comment ref="BH9" authorId="0" shapeId="0">
      <text>
        <r>
          <rPr>
            <b/>
            <sz val="9"/>
            <color indexed="81"/>
            <rFont val="宋体"/>
            <family val="3"/>
            <charset val="134"/>
          </rPr>
          <t>徐梦薇/Mengwei Xu:</t>
        </r>
        <r>
          <rPr>
            <sz val="9"/>
            <color indexed="81"/>
            <rFont val="宋体"/>
            <family val="3"/>
            <charset val="134"/>
          </rPr>
          <t xml:space="preserve">
计算口径改变</t>
        </r>
      </text>
    </comment>
    <comment ref="BZ9" authorId="0" shapeId="0">
      <text>
        <r>
          <rPr>
            <b/>
            <sz val="9"/>
            <color indexed="81"/>
            <rFont val="宋体"/>
            <family val="3"/>
            <charset val="134"/>
          </rPr>
          <t>徐梦薇/Mengwei Xu:</t>
        </r>
        <r>
          <rPr>
            <sz val="9"/>
            <color indexed="81"/>
            <rFont val="宋体"/>
            <family val="3"/>
            <charset val="134"/>
          </rPr>
          <t xml:space="preserve">
计算口径改变</t>
        </r>
      </text>
    </comment>
    <comment ref="AD10" authorId="0" shapeId="0">
      <text>
        <r>
          <rPr>
            <b/>
            <sz val="9"/>
            <color indexed="81"/>
            <rFont val="宋体"/>
            <family val="3"/>
            <charset val="134"/>
          </rPr>
          <t>徐梦薇/Mengwei Xu:</t>
        </r>
        <r>
          <rPr>
            <sz val="9"/>
            <color indexed="81"/>
            <rFont val="宋体"/>
            <family val="3"/>
            <charset val="134"/>
          </rPr>
          <t xml:space="preserve">
无入职</t>
        </r>
      </text>
    </comment>
    <comment ref="BH10" authorId="0" shapeId="0">
      <text>
        <r>
          <rPr>
            <b/>
            <sz val="9"/>
            <color indexed="81"/>
            <rFont val="宋体"/>
            <family val="3"/>
            <charset val="134"/>
          </rPr>
          <t>徐梦薇/Mengwei Xu:</t>
        </r>
        <r>
          <rPr>
            <sz val="9"/>
            <color indexed="81"/>
            <rFont val="宋体"/>
            <family val="3"/>
            <charset val="134"/>
          </rPr>
          <t xml:space="preserve">
无入职</t>
        </r>
      </text>
    </comment>
    <comment ref="BT10" authorId="0" shape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入职</t>
        </r>
        <r>
          <rPr>
            <sz val="9"/>
            <color indexed="81"/>
            <rFont val="Tahoma"/>
            <family val="2"/>
          </rPr>
          <t>1</t>
        </r>
        <r>
          <rPr>
            <sz val="9"/>
            <color indexed="81"/>
            <rFont val="宋体"/>
            <family val="3"/>
            <charset val="134"/>
          </rPr>
          <t>人</t>
        </r>
      </text>
    </comment>
    <comment ref="BH1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个别案件支付时效延长</t>
        </r>
      </text>
    </comment>
    <comment ref="BN14" authorId="0" shapeId="0">
      <text>
        <r>
          <rPr>
            <b/>
            <sz val="9"/>
            <color indexed="81"/>
            <rFont val="宋体"/>
            <family val="3"/>
            <charset val="134"/>
          </rPr>
          <t>徐梦薇/Mengwei Xu:</t>
        </r>
        <r>
          <rPr>
            <sz val="9"/>
            <color indexed="81"/>
            <rFont val="宋体"/>
            <family val="3"/>
            <charset val="134"/>
          </rPr>
          <t xml:space="preserve">
赔案增加</t>
        </r>
      </text>
    </comment>
    <comment ref="BZ1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赔案支付时效缩短</t>
        </r>
      </text>
    </comment>
    <comment ref="BN15" authorId="0" shapeId="0">
      <text>
        <r>
          <rPr>
            <b/>
            <sz val="9"/>
            <color indexed="81"/>
            <rFont val="宋体"/>
            <family val="3"/>
            <charset val="134"/>
          </rPr>
          <t>徐梦薇/Mengwei Xu:</t>
        </r>
        <r>
          <rPr>
            <sz val="9"/>
            <color indexed="81"/>
            <rFont val="宋体"/>
            <family val="3"/>
            <charset val="134"/>
          </rPr>
          <t xml:space="preserve">
赔案增加</t>
        </r>
      </text>
    </comment>
    <comment ref="X17" authorId="0" shapeId="0">
      <text>
        <r>
          <rPr>
            <b/>
            <sz val="9"/>
            <color indexed="81"/>
            <rFont val="宋体"/>
            <family val="3"/>
            <charset val="134"/>
          </rPr>
          <t>徐梦薇/Mengwei Xu:</t>
        </r>
        <r>
          <rPr>
            <sz val="9"/>
            <color indexed="81"/>
            <rFont val="宋体"/>
            <family val="3"/>
            <charset val="134"/>
          </rPr>
          <t xml:space="preserve">
个别赔案时效较长</t>
        </r>
      </text>
    </comment>
    <comment ref="AD17"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正常时效</t>
        </r>
      </text>
    </comment>
    <comment ref="AJ17"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拒赔案件时效较长</t>
        </r>
      </text>
    </comment>
    <comment ref="AP17" authorId="0" shapeId="0">
      <text>
        <r>
          <rPr>
            <b/>
            <sz val="9"/>
            <color indexed="81"/>
            <rFont val="宋体"/>
            <family val="3"/>
            <charset val="134"/>
          </rPr>
          <t>徐梦薇/Mengwei Xu:</t>
        </r>
        <r>
          <rPr>
            <sz val="9"/>
            <color indexed="81"/>
            <rFont val="宋体"/>
            <family val="3"/>
            <charset val="134"/>
          </rPr>
          <t xml:space="preserve">
核赔时效缩短</t>
        </r>
      </text>
    </comment>
    <comment ref="AV17"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部分赔案时效延长</t>
        </r>
      </text>
    </comment>
    <comment ref="BB17" authorId="0" shapeId="0">
      <text>
        <r>
          <rPr>
            <b/>
            <sz val="9"/>
            <color indexed="81"/>
            <rFont val="宋体"/>
            <family val="3"/>
            <charset val="134"/>
          </rPr>
          <t>徐梦薇/Mengwei Xu:</t>
        </r>
        <r>
          <rPr>
            <sz val="9"/>
            <color indexed="81"/>
            <rFont val="宋体"/>
            <family val="3"/>
            <charset val="134"/>
          </rPr>
          <t xml:space="preserve">
拒赔案件时效较长</t>
        </r>
      </text>
    </comment>
    <comment ref="BN17" authorId="0" shapeId="0">
      <text>
        <r>
          <rPr>
            <b/>
            <sz val="9"/>
            <color indexed="81"/>
            <rFont val="宋体"/>
            <family val="3"/>
            <charset val="134"/>
          </rPr>
          <t>徐梦薇/Mengwei Xu:</t>
        </r>
        <r>
          <rPr>
            <sz val="9"/>
            <color indexed="81"/>
            <rFont val="宋体"/>
            <family val="3"/>
            <charset val="134"/>
          </rPr>
          <t xml:space="preserve">
拒赔案件时效较长</t>
        </r>
      </text>
    </comment>
    <comment ref="BP17"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加强审核时效管控</t>
        </r>
      </text>
    </comment>
    <comment ref="BT17"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个别赔案核赔时效稍长</t>
        </r>
      </text>
    </comment>
    <comment ref="BN18" authorId="0" shapeId="0">
      <text>
        <r>
          <rPr>
            <b/>
            <sz val="9"/>
            <color indexed="81"/>
            <rFont val="宋体"/>
            <family val="3"/>
            <charset val="134"/>
          </rPr>
          <t>徐梦薇/Mengwei Xu:</t>
        </r>
        <r>
          <rPr>
            <sz val="9"/>
            <color indexed="81"/>
            <rFont val="宋体"/>
            <family val="3"/>
            <charset val="134"/>
          </rPr>
          <t xml:space="preserve">
赔案增加</t>
        </r>
      </text>
    </comment>
    <comment ref="BN20" authorId="0" shapeId="0">
      <text>
        <r>
          <rPr>
            <b/>
            <sz val="9"/>
            <color indexed="81"/>
            <rFont val="宋体"/>
            <family val="3"/>
            <charset val="134"/>
          </rPr>
          <t>徐梦薇/Mengwei Xu:</t>
        </r>
        <r>
          <rPr>
            <sz val="9"/>
            <color indexed="81"/>
            <rFont val="宋体"/>
            <family val="3"/>
            <charset val="134"/>
          </rPr>
          <t xml:space="preserve">
赔案增加</t>
        </r>
      </text>
    </comment>
    <comment ref="BN21" authorId="0" shapeId="0">
      <text>
        <r>
          <rPr>
            <b/>
            <sz val="9"/>
            <color indexed="81"/>
            <rFont val="宋体"/>
            <family val="3"/>
            <charset val="134"/>
          </rPr>
          <t>徐梦薇/Mengwei Xu:</t>
        </r>
        <r>
          <rPr>
            <sz val="9"/>
            <color indexed="81"/>
            <rFont val="宋体"/>
            <family val="3"/>
            <charset val="134"/>
          </rPr>
          <t xml:space="preserve">
赔案增加</t>
        </r>
      </text>
    </comment>
    <comment ref="X23" authorId="0" shapeId="0">
      <text>
        <r>
          <rPr>
            <b/>
            <sz val="9"/>
            <color indexed="81"/>
            <rFont val="宋体"/>
            <family val="3"/>
            <charset val="134"/>
          </rPr>
          <t>徐梦薇/Mengwei Xu:</t>
        </r>
        <r>
          <rPr>
            <sz val="9"/>
            <color indexed="81"/>
            <rFont val="宋体"/>
            <family val="3"/>
            <charset val="134"/>
          </rPr>
          <t xml:space="preserve">
正常理算</t>
        </r>
      </text>
    </comment>
    <comment ref="AJ23" authorId="0" shapeId="0">
      <text>
        <r>
          <rPr>
            <b/>
            <sz val="9"/>
            <color indexed="81"/>
            <rFont val="宋体"/>
            <family val="3"/>
            <charset val="134"/>
          </rPr>
          <t>徐梦薇/Mengwei Xu:</t>
        </r>
        <r>
          <rPr>
            <sz val="9"/>
            <color indexed="81"/>
            <rFont val="宋体"/>
            <family val="3"/>
            <charset val="134"/>
          </rPr>
          <t xml:space="preserve">
正常理算</t>
        </r>
      </text>
    </comment>
    <comment ref="AV23" authorId="0" shapeId="0">
      <text>
        <r>
          <rPr>
            <b/>
            <sz val="9"/>
            <color indexed="81"/>
            <rFont val="宋体"/>
            <family val="3"/>
            <charset val="134"/>
          </rPr>
          <t>徐梦薇/Mengwei Xu:</t>
        </r>
        <r>
          <rPr>
            <sz val="9"/>
            <color indexed="81"/>
            <rFont val="宋体"/>
            <family val="3"/>
            <charset val="134"/>
          </rPr>
          <t xml:space="preserve">
正常理算</t>
        </r>
      </text>
    </comment>
    <comment ref="BB23" authorId="0" shapeId="0">
      <text>
        <r>
          <rPr>
            <b/>
            <sz val="9"/>
            <color indexed="81"/>
            <rFont val="宋体"/>
            <family val="3"/>
            <charset val="134"/>
          </rPr>
          <t>徐梦薇/Mengwei Xu:</t>
        </r>
        <r>
          <rPr>
            <sz val="9"/>
            <color indexed="81"/>
            <rFont val="宋体"/>
            <family val="3"/>
            <charset val="134"/>
          </rPr>
          <t xml:space="preserve">
正常理算</t>
        </r>
      </text>
    </comment>
    <comment ref="BH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J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N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正常调整金额</t>
        </r>
      </text>
    </comment>
    <comment ref="BT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t>
        </r>
      </text>
    </comment>
    <comment ref="BZ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AJ24" authorId="0" shapeId="0">
      <text>
        <r>
          <rPr>
            <b/>
            <sz val="9"/>
            <color indexed="81"/>
            <rFont val="宋体"/>
            <family val="3"/>
            <charset val="134"/>
          </rPr>
          <t>徐梦薇/Mengwei Xu:</t>
        </r>
        <r>
          <rPr>
            <sz val="9"/>
            <color indexed="81"/>
            <rFont val="宋体"/>
            <family val="3"/>
            <charset val="134"/>
          </rPr>
          <t xml:space="preserve">
轻症、大额理赔增加</t>
        </r>
      </text>
    </comment>
    <comment ref="AP24" authorId="0" shapeId="0">
      <text>
        <r>
          <rPr>
            <b/>
            <sz val="9"/>
            <color indexed="81"/>
            <rFont val="宋体"/>
            <family val="3"/>
            <charset val="134"/>
          </rPr>
          <t>徐梦薇/Mengwei Xu:</t>
        </r>
        <r>
          <rPr>
            <sz val="9"/>
            <color indexed="81"/>
            <rFont val="宋体"/>
            <family val="3"/>
            <charset val="134"/>
          </rPr>
          <t xml:space="preserve">
正常减少</t>
        </r>
      </text>
    </comment>
    <comment ref="AV24" authorId="0" shapeId="0">
      <text>
        <r>
          <rPr>
            <b/>
            <sz val="9"/>
            <color indexed="81"/>
            <rFont val="宋体"/>
            <family val="3"/>
            <charset val="134"/>
          </rPr>
          <t>徐梦薇/Mengwei Xu:</t>
        </r>
        <r>
          <rPr>
            <sz val="9"/>
            <color indexed="81"/>
            <rFont val="宋体"/>
            <family val="3"/>
            <charset val="134"/>
          </rPr>
          <t xml:space="preserve">
有大额理赔</t>
        </r>
      </text>
    </comment>
    <comment ref="BH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有大额赔付</t>
        </r>
      </text>
    </comment>
    <comment ref="BN24"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轻症和大额理赔件较多</t>
        </r>
      </text>
    </comment>
  </commentList>
</comments>
</file>

<file path=xl/comments6.xml><?xml version="1.0" encoding="utf-8"?>
<comments xmlns="http://schemas.openxmlformats.org/spreadsheetml/2006/main">
  <authors>
    <author>徐梦薇/Mengwei Xu</author>
    <author>徐梦薇</author>
  </authors>
  <commentList>
    <comment ref="D5"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北京失分</t>
        </r>
      </text>
    </comment>
    <comment ref="D9"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审慎原则，辽宁，河南失分</t>
        </r>
      </text>
    </comment>
    <comment ref="D22"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江苏失分</t>
        </r>
      </text>
    </comment>
    <comment ref="D3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大连失分</t>
        </r>
      </text>
    </comment>
    <comment ref="D40"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山东失分</t>
        </r>
      </text>
    </comment>
    <comment ref="O62" authorId="1" shapeId="0">
      <text>
        <r>
          <rPr>
            <b/>
            <sz val="9"/>
            <color indexed="81"/>
            <rFont val="宋体"/>
            <family val="3"/>
            <charset val="134"/>
          </rPr>
          <t>徐梦薇</t>
        </r>
        <r>
          <rPr>
            <b/>
            <sz val="9"/>
            <color indexed="81"/>
            <rFont val="Tahoma"/>
            <family val="2"/>
          </rPr>
          <t xml:space="preserve">:
</t>
        </r>
        <r>
          <rPr>
            <b/>
            <sz val="9"/>
            <color indexed="81"/>
            <rFont val="宋体"/>
            <family val="3"/>
            <charset val="134"/>
          </rPr>
          <t xml:space="preserve">一些分公司在行业水平中可以确定得到满分
</t>
        </r>
      </text>
    </comment>
  </commentList>
</comments>
</file>

<file path=xl/comments7.xml><?xml version="1.0" encoding="utf-8"?>
<comments xmlns="http://schemas.openxmlformats.org/spreadsheetml/2006/main">
  <authors>
    <author>徐梦薇/Mengwei Xu</author>
    <author>刘辉</author>
    <author>徐梦薇</author>
    <author>pe0826</author>
  </authors>
  <commentList>
    <comment ref="D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客服新入司核保人员</t>
        </r>
      </text>
    </comment>
    <comment ref="L22" authorId="1" shapeId="0">
      <text>
        <r>
          <rPr>
            <sz val="9"/>
            <color indexed="81"/>
            <rFont val="宋体"/>
            <family val="3"/>
            <charset val="134"/>
          </rPr>
          <t>1.19Q1大连有私印宣传材料，来源于分公司OR04表
2.19Q2盐城、南通机构个别培训课件中存在同业产品对比的情况。
原因分析：相关人员在制作或修改课件时为突出公司产品优点，与同业类似产品进行对比，且未将相关课件上报总分公司相关部门审核。
整改举措：
（1）相关培训课件已全部销毁并停止使用，对相关人员进行批评教育；
（2）在以后的课件制作中，严格按照公司规定制作，加强合规管理，对未经总公司审核通过的课件坚决不予使用。
整改结果：已完成整改。
3.19Q2在对营销员展业资料检查中发现，丹东中心支公司营销员展业柜中存放有自行印制的空白《奖品签收确认函》;本溪中心支公司营销员展业柜中发现“每份保单送智能机器人一台”的自制宣传资料，涉嫌给予投保人保险合同以外的利益。本溪、丹东机构各一次，合计扣1分。</t>
        </r>
      </text>
    </comment>
    <comment ref="L23" authorId="0" shapeId="0">
      <text>
        <r>
          <rPr>
            <b/>
            <sz val="9"/>
            <color indexed="81"/>
            <rFont val="宋体"/>
            <family val="3"/>
            <charset val="134"/>
          </rPr>
          <t>徐梦薇</t>
        </r>
        <r>
          <rPr>
            <b/>
            <sz val="9"/>
            <color indexed="81"/>
            <rFont val="Tahoma"/>
            <family val="2"/>
          </rPr>
          <t>/Mengwei Xu:</t>
        </r>
        <r>
          <rPr>
            <sz val="9"/>
            <color indexed="81"/>
            <rFont val="Tahoma"/>
            <family val="2"/>
          </rPr>
          <t xml:space="preserve">
1.2019Q2</t>
        </r>
        <r>
          <rPr>
            <sz val="9"/>
            <color indexed="81"/>
            <rFont val="宋体"/>
            <family val="3"/>
            <charset val="134"/>
          </rPr>
          <t>在课件检查中发现，辽阳中心支公司、鞍山中心支公司存在使用未经合规审核的课件，自行制作的课件缺少免除责任、犹豫期、期外退保损失介绍、红利无三档红利演示、缺少红利演示说明文字等元素。
辽阳、鞍山机构各一次，合计扣</t>
        </r>
        <r>
          <rPr>
            <sz val="9"/>
            <color indexed="81"/>
            <rFont val="Tahoma"/>
            <family val="2"/>
          </rPr>
          <t>1</t>
        </r>
        <r>
          <rPr>
            <sz val="9"/>
            <color indexed="81"/>
            <rFont val="宋体"/>
            <family val="3"/>
            <charset val="134"/>
          </rPr>
          <t xml:space="preserve">分
</t>
        </r>
        <r>
          <rPr>
            <sz val="9"/>
            <color indexed="81"/>
            <rFont val="Tahoma"/>
            <family val="2"/>
          </rPr>
          <t>2.2019Q3</t>
        </r>
        <r>
          <rPr>
            <sz val="9"/>
            <color indexed="81"/>
            <rFont val="宋体"/>
            <family val="3"/>
            <charset val="134"/>
          </rPr>
          <t>青岛分公司在个别产说会当中，使用了未经合规审核通过的课件，课件对于产品的介绍包含了不恰当的描述。内审提供</t>
        </r>
      </text>
    </comment>
    <comment ref="U36" authorId="2"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除非投诉次数为</t>
        </r>
        <r>
          <rPr>
            <sz val="9"/>
            <color indexed="81"/>
            <rFont val="Tahoma"/>
            <family val="2"/>
          </rPr>
          <t>0</t>
        </r>
        <r>
          <rPr>
            <sz val="9"/>
            <color indexed="81"/>
            <rFont val="宋体"/>
            <family val="3"/>
            <charset val="134"/>
          </rPr>
          <t>，否则</t>
        </r>
        <r>
          <rPr>
            <sz val="9"/>
            <color indexed="81"/>
            <rFont val="Tahoma"/>
            <family val="2"/>
          </rPr>
          <t>10</t>
        </r>
        <r>
          <rPr>
            <sz val="9"/>
            <color indexed="81"/>
            <rFont val="宋体"/>
            <family val="3"/>
            <charset val="134"/>
          </rPr>
          <t xml:space="preserve">分全扣
</t>
        </r>
      </text>
    </comment>
    <comment ref="D40" authorId="2"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 ref="D41" authorId="2"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 ref="D42" authorId="3" shapeId="0">
      <text>
        <r>
          <rPr>
            <sz val="9"/>
            <color indexed="81"/>
            <rFont val="宋体"/>
            <family val="3"/>
            <charset val="134"/>
          </rPr>
          <t>自填</t>
        </r>
        <r>
          <rPr>
            <sz val="9"/>
            <color indexed="81"/>
            <rFont val="Tahoma"/>
            <family val="2"/>
          </rPr>
          <t xml:space="preserve">
</t>
        </r>
      </text>
    </comment>
  </commentList>
</comments>
</file>

<file path=xl/comments8.xml><?xml version="1.0" encoding="utf-8"?>
<comments xmlns="http://schemas.openxmlformats.org/spreadsheetml/2006/main">
  <authors>
    <author>徐梦薇/Mengwei Xu</author>
    <author>pe0826</author>
    <author>徐梦薇</author>
  </authors>
  <commentList>
    <comment ref="L5" authorId="0" shapeId="0">
      <text>
        <r>
          <rPr>
            <b/>
            <sz val="9"/>
            <color indexed="81"/>
            <rFont val="宋体"/>
            <family val="3"/>
            <charset val="134"/>
          </rPr>
          <t>徐梦薇/Mengwei Xu:</t>
        </r>
        <r>
          <rPr>
            <sz val="9"/>
            <color indexed="81"/>
            <rFont val="宋体"/>
            <family val="3"/>
            <charset val="134"/>
          </rPr>
          <t xml:space="preserve">
计算口径变化</t>
        </r>
      </text>
    </comment>
    <comment ref="L11"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部分拒赔案件时效较长</t>
        </r>
      </text>
    </comment>
    <comment ref="D18" authorId="0" shapeId="0">
      <text>
        <r>
          <rPr>
            <b/>
            <sz val="9"/>
            <color indexed="81"/>
            <rFont val="宋体"/>
            <family val="3"/>
            <charset val="134"/>
          </rPr>
          <t>徐梦薇</t>
        </r>
        <r>
          <rPr>
            <b/>
            <sz val="9"/>
            <color indexed="81"/>
            <rFont val="Tahoma"/>
            <family val="2"/>
          </rPr>
          <t>/Mengwei Xu:</t>
        </r>
        <r>
          <rPr>
            <sz val="9"/>
            <color indexed="81"/>
            <rFont val="Tahoma"/>
            <family val="2"/>
          </rPr>
          <t xml:space="preserve">
19Q2</t>
        </r>
        <r>
          <rPr>
            <sz val="9"/>
            <color indexed="81"/>
            <rFont val="宋体"/>
            <family val="3"/>
            <charset val="134"/>
          </rPr>
          <t>理赔、保全业务投诉</t>
        </r>
        <r>
          <rPr>
            <sz val="9"/>
            <color indexed="81"/>
            <rFont val="Tahoma"/>
            <family val="2"/>
          </rPr>
          <t>1</t>
        </r>
        <r>
          <rPr>
            <sz val="9"/>
            <color indexed="81"/>
            <rFont val="宋体"/>
            <family val="3"/>
            <charset val="134"/>
          </rPr>
          <t>件</t>
        </r>
      </text>
    </comment>
    <comment ref="K18" authorId="0" shapeId="0">
      <text>
        <r>
          <rPr>
            <b/>
            <sz val="9"/>
            <color indexed="81"/>
            <rFont val="宋体"/>
            <family val="3"/>
            <charset val="134"/>
          </rPr>
          <t>徐梦薇/Mengwei Xu:</t>
        </r>
        <r>
          <rPr>
            <sz val="9"/>
            <color indexed="81"/>
            <rFont val="宋体"/>
            <family val="3"/>
            <charset val="134"/>
          </rPr>
          <t xml:space="preserve">
理赔投诉增加</t>
        </r>
      </text>
    </comment>
    <comment ref="L18" authorId="0" shape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t>
        </r>
        <r>
          <rPr>
            <sz val="9"/>
            <color indexed="81"/>
            <rFont val="Tahoma"/>
            <family val="2"/>
          </rPr>
          <t>1</t>
        </r>
        <r>
          <rPr>
            <sz val="9"/>
            <color indexed="81"/>
            <rFont val="宋体"/>
            <family val="3"/>
            <charset val="134"/>
          </rPr>
          <t>件理赔投诉</t>
        </r>
      </text>
    </comment>
    <comment ref="J19" authorId="1" shapeId="0">
      <text>
        <r>
          <rPr>
            <sz val="9"/>
            <color indexed="81"/>
            <rFont val="宋体"/>
            <family val="3"/>
            <charset val="134"/>
          </rPr>
          <t>1、刘沛彤诉恒安标准人寿天津分公司理赔纠纷案件                               
2、张景霞诉恒安标准人寿保险有限公司河南分公司理赔纠纷案件
3、周淑芹诉恒安标准人寿保险有限公司锦州中心支公司理赔纠纷案件
4、王永法诉恒安标准人寿保险有限公司山东分公司退保纠纷案件
5、济宁市欣和食品有限公司诉恒安标准人寿保险有限公司济宁中心支公司理赔纠纷案件
6、高岚诉恒安标准人寿保险有限公司丹东中心支公司其他纠纷案件
7、张德强诉恒安标准人寿保险有限公司辽宁分公司理赔纠纷案件
8、王保国诉恒安标准人寿保险有限公司河南分公司理赔纠纷案件</t>
        </r>
      </text>
    </comment>
    <comment ref="K19" authorId="1" shapeId="0">
      <text>
        <r>
          <rPr>
            <sz val="9"/>
            <color indexed="81"/>
            <rFont val="宋体"/>
            <family val="3"/>
            <charset val="134"/>
          </rPr>
          <t xml:space="preserve">1、刘沛彤诉恒安标准人寿天津分公司理赔纠纷案件 
2、张德强诉恒安标准人寿保险有限公司辽宁分公司理赔纠纷案件
3、王保国诉恒安标准人寿保险有限公司河南分公司理赔纠纷案件
4、郭新霞诉恒安标准人寿保险有限公司烟台中心支公司理赔纠纷案件
5、翟驰宇诉恒安标准人寿保险有限公司江苏分公司理赔纠纷案件
6、薛吉香诉恒安标准人寿保险有限公司青岛分公司理赔纠纷案件
7、陈迎男诉恒安标准人寿天津分公司理赔纠纷案件
8、张秦岭诉恒安标准人寿保险有限公司潍坊中心支公司理赔纠纷案件
9、唐兆钰诉恒安标准人寿天津分公司理赔纠纷案件
10、程卫东诉恒安标准人寿保险有限公司辽宁分公司理赔纠纷案件
11、蔺瑞霞诉恒安标准人寿保险有限公司河南分公司理赔纠纷案件
12、路怀宾诉恒安标准人寿保险有限公司河南分公司退保纠纷案件
13-23、陈沅诉恒安标准人寿天津分公司理赔纠纷案件1-11（共11个案件，原告均为陈沅，被告均为恒安标准人寿天津分公司,但涉及11张不同的保单）
</t>
        </r>
      </text>
    </comment>
    <comment ref="K20" authorId="0" shape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、张景霞诉恒安标准人寿保险有限公司河南分公司理赔纠纷案件
（</t>
        </r>
        <r>
          <rPr>
            <sz val="9"/>
            <color indexed="81"/>
            <rFont val="Tahoma"/>
            <family val="2"/>
          </rPr>
          <t>100%</t>
        </r>
        <r>
          <rPr>
            <sz val="9"/>
            <color indexed="81"/>
            <rFont val="宋体"/>
            <family val="3"/>
            <charset val="134"/>
          </rPr>
          <t>承担费用）</t>
        </r>
      </text>
    </comment>
    <comment ref="D24" authorId="2"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自填
</t>
        </r>
      </text>
    </comment>
    <comment ref="D25" authorId="2" shape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List>
</comments>
</file>

<file path=xl/comments9.xml><?xml version="1.0" encoding="utf-8"?>
<comments xmlns="http://schemas.openxmlformats.org/spreadsheetml/2006/main">
  <authors>
    <author>刘辉</author>
    <author>徐梦薇/Mengwei Xu</author>
  </authors>
  <commentList>
    <comment ref="J9" authorId="0" shapeId="0">
      <text>
        <r>
          <rPr>
            <sz val="9"/>
            <color indexed="81"/>
            <rFont val="宋体"/>
            <family val="3"/>
            <charset val="134"/>
          </rPr>
          <t>公司未收到表扬或处罚，因此，得基础分1分。</t>
        </r>
      </text>
    </comment>
    <comment ref="K9" authorId="0" shapeId="0">
      <text>
        <r>
          <rPr>
            <sz val="9"/>
            <color indexed="81"/>
            <rFont val="宋体"/>
            <family val="3"/>
            <charset val="134"/>
          </rPr>
          <t>公司未收到表扬或处罚，因此，得基础分1分。</t>
        </r>
      </text>
    </comment>
    <comment ref="J11" authorId="1" shapeId="0">
      <text>
        <r>
          <rPr>
            <sz val="9"/>
            <color indexed="81"/>
            <rFont val="宋体"/>
            <family val="3"/>
            <charset val="134"/>
          </rPr>
          <t>扣1分。更新后的《HASL反欺诈政策》中暂未制定规范的欺诈风险管理操作规程和操作标准及反欺诈重大风险处置机制；。</t>
        </r>
      </text>
    </comment>
    <comment ref="K11" authorId="1" shapeId="0">
      <text>
        <r>
          <rPr>
            <sz val="9"/>
            <color indexed="81"/>
            <rFont val="宋体"/>
            <family val="3"/>
            <charset val="134"/>
          </rPr>
          <t>扣1分。更新后的《HASL反欺诈政策》中暂未制定规范的欺诈风险管理操作规程和操作标准及反欺诈重大风险处置机制；。</t>
        </r>
      </text>
    </comment>
    <comment ref="K15" authorId="1" shapeId="0">
      <text>
        <r>
          <rPr>
            <sz val="9"/>
            <color indexed="81"/>
            <rFont val="宋体"/>
            <family val="3"/>
            <charset val="134"/>
          </rPr>
          <t>扣</t>
        </r>
        <r>
          <rPr>
            <sz val="9"/>
            <color indexed="81"/>
            <rFont val="Tahoma"/>
            <family val="2"/>
          </rPr>
          <t>1</t>
        </r>
        <r>
          <rPr>
            <sz val="9"/>
            <color indexed="81"/>
            <rFont val="宋体"/>
            <family val="3"/>
            <charset val="134"/>
          </rPr>
          <t>分。欺诈风险的识别、计量、检测信息系统尚需完善。</t>
        </r>
      </text>
    </comment>
  </commentList>
</comments>
</file>

<file path=xl/sharedStrings.xml><?xml version="1.0" encoding="utf-8"?>
<sst xmlns="http://schemas.openxmlformats.org/spreadsheetml/2006/main" count="6538" uniqueCount="2509">
  <si>
    <t>人身保险公司销售、承保业务线的操作风险</t>
  </si>
  <si>
    <t>销售人员离职率</t>
  </si>
  <si>
    <t>销售人员学历水平</t>
  </si>
  <si>
    <t>评估期评估公司规模保费</t>
  </si>
  <si>
    <t>电话营销质监问题比例</t>
  </si>
  <si>
    <t>评估期公司电话营销质监发现存在销售误导问题的保单件数</t>
  </si>
  <si>
    <t>评估期公司进行电话营销质监的保单总数</t>
  </si>
  <si>
    <t>与核心业务系统实时对接情况</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</si>
  <si>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</si>
  <si>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</si>
  <si>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</si>
  <si>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</si>
  <si>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</si>
  <si>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</si>
  <si>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</si>
  <si>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</si>
  <si>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</si>
  <si>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</si>
  <si>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</si>
  <si>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</si>
  <si>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</si>
  <si>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</si>
  <si>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 xml:space="preserve">人身保险公司理赔、保全业务线的操作风险 </t>
  </si>
  <si>
    <t>从事保全工作的时间在5年以上的保全工作人员数量</t>
  </si>
  <si>
    <t>从事保全工作的时间在1年以下的保全工作人员数量</t>
  </si>
  <si>
    <t>保险公司资金运用业务线操作风险</t>
  </si>
  <si>
    <t>资产管理部门负责人从业年限</t>
  </si>
  <si>
    <t>资产管理部门负责人违法违规及处罚情况</t>
  </si>
  <si>
    <t>1|最近4个季度内资产管理部门负责人未因违法违规受到行政处罚</t>
  </si>
  <si>
    <t>资产管理部门人员平均从业年限</t>
  </si>
  <si>
    <t>保险公司委托投资的，资产管理部门岗位设置情况</t>
  </si>
  <si>
    <t>1|资产管理部门在投资研究、资产清算或托管、风险控制、业绩评估、相关保障等环节设置岗位</t>
  </si>
  <si>
    <t>保险公司自行投资的，资产管理部门岗位设置情况</t>
  </si>
  <si>
    <t>1|资产管理部门除在投资研究、资产清算或托管、风险控制、业绩评估、相关保障等环节设置岗位外，还设置投资、交易等与资金运用业务直接相关的岗位</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</si>
  <si>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</si>
  <si>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</si>
  <si>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</si>
  <si>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</si>
  <si>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</si>
  <si>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</si>
  <si>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</si>
  <si>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</si>
  <si>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</si>
  <si>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</si>
  <si>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</si>
  <si>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</si>
  <si>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</si>
  <si>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2|对投研人员的激励机制与长期（一年以上）业绩挂钩</t>
  </si>
  <si>
    <t>保险公司委托投资的，投研人员激励机制情况</t>
  </si>
  <si>
    <t>1|能够提供受托机构相关证明材料</t>
  </si>
  <si>
    <t>保险公司自行投资的，风险管理人员激励机制情况</t>
  </si>
  <si>
    <t>1|资金运用风险管理人员激励机制不直接与投资业绩挂钩</t>
  </si>
  <si>
    <t>保险公司委托投资的，风险管理人员激励机制情况</t>
  </si>
  <si>
    <t>1|业绩考核与操作风险挂钩</t>
  </si>
  <si>
    <t>操作风险数据库情况</t>
  </si>
  <si>
    <t>1|建立资金运用操作风险数据库且如实记录操作风险事件</t>
  </si>
  <si>
    <t>委托投资管理制度情况</t>
  </si>
  <si>
    <t>1|保险公司委托投资的，全部建立相关制度</t>
  </si>
  <si>
    <t>委托投资指引情况</t>
  </si>
  <si>
    <t>1|委托投资指引达到要求</t>
  </si>
  <si>
    <t>定期评估情况</t>
  </si>
  <si>
    <t>1|最近4个季度内对全部投资管理人评估大于1次</t>
  </si>
  <si>
    <t>压力测试情况</t>
  </si>
  <si>
    <t>1|资产配置压力测试达到要求</t>
  </si>
  <si>
    <t>保险公司自行投资的，分账户情况</t>
  </si>
  <si>
    <t>1|资产配置分账户管理达到要求</t>
  </si>
  <si>
    <t>保险公司委托投资的，分账户情况</t>
  </si>
  <si>
    <t>托管情况</t>
  </si>
  <si>
    <t>1|全部投资资产实施托管</t>
  </si>
  <si>
    <t>投资授权制度情况</t>
  </si>
  <si>
    <t>1|具备完善的投资授权制度，建立董事会投资决策委员会体系，决策及批准权限明确</t>
  </si>
  <si>
    <t>保险公司自行投资的，决策流程信息化和自动化情况</t>
  </si>
  <si>
    <t>1|实现决策流程的信息化和自动化，通过信息系统手段实现投资决策流程、次序自动控制</t>
  </si>
  <si>
    <t>保险公司委托投资的，决策流程信息化和自动化情况</t>
  </si>
  <si>
    <t>保险公司自行投资的，投资决策书面记录情况</t>
  </si>
  <si>
    <t>1|重要投资决策有相关书面记录，如会议纪要、最终投资决议等，并由决策人在最终投资决议上确认</t>
  </si>
  <si>
    <t>保险公司委托投资的，投资决策书面记录情况</t>
  </si>
  <si>
    <t>保险公司自行投资的，投资池、备选池和禁投池体系情况</t>
  </si>
  <si>
    <t>1|构建投资池、备选池和禁投池体系且定期维护</t>
  </si>
  <si>
    <t>保险公司委托投资的，投资池、备选池和禁投池体系情况</t>
  </si>
  <si>
    <t>最近4个季度投资决策操作风险事件次数</t>
  </si>
  <si>
    <t>保险公司自行投资的，集中交易情况</t>
  </si>
  <si>
    <t>1|实行集中交易制度，安装必要的监测系统、预警系统和反馈系统，对交易室通讯设备进行监控</t>
  </si>
  <si>
    <t>保险公司委托投资的，集中交易情况</t>
  </si>
  <si>
    <t>保险公司自行投资的，交易记录情况</t>
  </si>
  <si>
    <t>1|建立完善的交易记录制度，每日对交易记录及时核对并存档</t>
  </si>
  <si>
    <t>保险公司委托投资的，交易记录情况</t>
  </si>
  <si>
    <t>最近4个季度交易行为操作风险事件次数</t>
  </si>
  <si>
    <t>保险公司自行投资的，会计估值政策与制度规范情况</t>
  </si>
  <si>
    <t>1|建立会计估值政策与制度规范，估值结果经过复核审查</t>
  </si>
  <si>
    <t>保险公司委托投资的，会计估值政策与制度规范情况</t>
  </si>
  <si>
    <t>保险公司自行投资的，清算和交易信息核对频率情况</t>
  </si>
  <si>
    <t>1|投资部门的业务交易台账与后台清算记录和资金记录应保持一致，并保留复核纪录，每日完成交易后进行清算和交易信息核对</t>
  </si>
  <si>
    <t>保险公司委托投资的，清算和交易信息核对频率情况</t>
  </si>
  <si>
    <t>1|由投资部门督促检查管理人和托管人的业务交易台账与后台清算记录和资金记录是否保持一致，管理人和托管人每日核对清算和交易信息</t>
  </si>
  <si>
    <t>最近4个季度估值核算操作风险事件次数</t>
  </si>
  <si>
    <t>最近4个季度信息披露风险事件次数</t>
  </si>
  <si>
    <t>保险公司自行投资的，系统自动化情况</t>
  </si>
  <si>
    <t>1|建立资金运用信息系统，设定合规性和风险指标阀值，将风险监控的各项要素固化到信息系统之中，实现管理自动化</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</si>
  <si>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</si>
  <si>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</si>
  <si>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</si>
  <si>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</si>
  <si>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</si>
  <si>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</si>
  <si>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</si>
  <si>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1|能积极参与、密切跟踪新的资金运用、偿付能力等政策制度，能够及时对新政作出调整资金运用管理流程和经营行为</t>
  </si>
  <si>
    <t>新政策培训情况</t>
  </si>
  <si>
    <t>1|对新的资金运用、偿付能力等政策制度，保险公司能够及时对高管、相关部门人员进行培训</t>
  </si>
  <si>
    <t>保险公司财务管理操作风险</t>
  </si>
  <si>
    <t>1|财会部门主要负责人符合专业性要求</t>
  </si>
  <si>
    <t>2|保险公司有多个部门负责财会工作的，所有的部门主要负责人符合专业性要求</t>
  </si>
  <si>
    <t>3|其他</t>
  </si>
  <si>
    <t>最近4个季度内离职的财会人员数量</t>
  </si>
  <si>
    <t>前4个季度初的财会人员数量</t>
  </si>
  <si>
    <t>最近4个季度增加的财会人员数量</t>
  </si>
  <si>
    <t>总公司财会部门人员数量</t>
  </si>
  <si>
    <t>业绩考核</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</si>
  <si>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</si>
  <si>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</si>
  <si>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</si>
  <si>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</si>
  <si>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核算集中度</t>
  </si>
  <si>
    <t>1|保险公司的会计核算在总公司或省级分公司集中处理</t>
  </si>
  <si>
    <t>2|保险公司的会计核算未在总公司和省级分公司集中处理</t>
  </si>
  <si>
    <t>会计差错量</t>
  </si>
  <si>
    <t>委托投资资产数据核对</t>
  </si>
  <si>
    <t>1|符合要求</t>
  </si>
  <si>
    <t>2|不符合要求</t>
  </si>
  <si>
    <t>最近4个季度偿付能力报告出现错报、漏报、未按时报送等差错的次数</t>
  </si>
  <si>
    <t>最近4个季度财务报告出现错报、漏报、未按时报送等差错的次数</t>
  </si>
  <si>
    <t>银行账户集中管理</t>
  </si>
  <si>
    <t>1|单证的领用、核销有专门内控程序和专人负责</t>
  </si>
  <si>
    <t>2|单证的领用、核销无专门内控程序和专人负责</t>
  </si>
  <si>
    <t>1|财务类印章印鉴实行专人管理，且其使用有明确的内部审批流程</t>
  </si>
  <si>
    <t>2|财务类印章印鉴无专人管理，或其使用无明确的内部审批流程</t>
  </si>
  <si>
    <t>最近4个季度印章管理操作风险事件次数</t>
  </si>
  <si>
    <t>税收管理负责情况</t>
  </si>
  <si>
    <t>1|总公司和分公司有专人专岗负责税收管理</t>
  </si>
  <si>
    <t>2|总公司和分公司无专岗但有专人负责税收管理</t>
  </si>
  <si>
    <t>最近4个季度税收操作风险事件次数</t>
  </si>
  <si>
    <t>系统自动化</t>
  </si>
  <si>
    <t>1|保险公司建立了财务信息系统，实现管理自动化</t>
  </si>
  <si>
    <t>2|保险公司未建立财务信息系统，未实现管理自动化</t>
  </si>
  <si>
    <t>系统管理集中度</t>
  </si>
  <si>
    <t>1|财务数据由总公司集中存储，分支机构没有修改财务数据权限</t>
  </si>
  <si>
    <t>2|财务数据不是由总公司集中存储，或者分支机构有修改财务数据权限</t>
  </si>
  <si>
    <t>数据核对频率</t>
  </si>
  <si>
    <t>1|核对频率高于等于每周一次</t>
  </si>
  <si>
    <t>2|核对频率低于每周一次但高于等于每月一次</t>
  </si>
  <si>
    <t>当期保费收入</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</si>
  <si>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</si>
  <si>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</si>
  <si>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</si>
  <si>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</si>
  <si>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</si>
  <si>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</si>
  <si>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</si>
  <si>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</si>
  <si>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</si>
  <si>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</si>
  <si>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</si>
  <si>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</si>
  <si>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</si>
  <si>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</si>
  <si>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1|未受到该类行政处罚</t>
  </si>
  <si>
    <t>2|受到该类行政处罚</t>
  </si>
  <si>
    <t>设置合规管理部门的情况</t>
  </si>
  <si>
    <t>1|设置合规管理部门</t>
  </si>
  <si>
    <t>2|未设置合规管理部门</t>
  </si>
  <si>
    <t>制定合规管理政策的情况</t>
  </si>
  <si>
    <t>1|按照规定制定合规管理政策</t>
  </si>
  <si>
    <t>2|未按照规定制定合规管理政策</t>
  </si>
  <si>
    <t>落实合规政策的文件的情况</t>
  </si>
  <si>
    <t>1|制定员工行为准则等落实合规政策的文件</t>
  </si>
  <si>
    <t>2|未制定员工行为准则等落实合规政策的文件</t>
  </si>
  <si>
    <t>开展合规培训的情况</t>
  </si>
  <si>
    <t>1|定期开展合规培训</t>
  </si>
  <si>
    <t>2|未定期开展合规培训</t>
  </si>
  <si>
    <t>年度合规报告的情况</t>
  </si>
  <si>
    <t>1|按时提交年度合规报告</t>
  </si>
  <si>
    <t>2|未按时提交年度合规报告</t>
  </si>
  <si>
    <t>评价指标</t>
    <phoneticPr fontId="3" type="noConversion"/>
  </si>
  <si>
    <t>行次</t>
    <phoneticPr fontId="3" type="noConversion"/>
  </si>
  <si>
    <t>人身保险公司准备金、再保险业务线操作风险</t>
    <phoneticPr fontId="3" type="noConversion"/>
  </si>
  <si>
    <t>序号</t>
    <phoneticPr fontId="3" type="noConversion"/>
  </si>
  <si>
    <t>报表名称</t>
    <phoneticPr fontId="3" type="noConversion"/>
  </si>
  <si>
    <t>行次</t>
    <phoneticPr fontId="3" type="noConversion"/>
  </si>
  <si>
    <t>评估期末销售人员数量</t>
    <phoneticPr fontId="3" type="noConversion"/>
  </si>
  <si>
    <t>评价指标</t>
    <phoneticPr fontId="3" type="noConversion"/>
  </si>
  <si>
    <t>总公司财会部门人员数量</t>
    <phoneticPr fontId="3" type="noConversion"/>
  </si>
  <si>
    <t>最近4个季度内员工培训人次</t>
    <phoneticPr fontId="3" type="noConversion"/>
  </si>
  <si>
    <t>收支两条线</t>
    <phoneticPr fontId="3" type="noConversion"/>
  </si>
  <si>
    <t>单证管理</t>
    <phoneticPr fontId="3" type="noConversion"/>
  </si>
  <si>
    <t>印章管理情况</t>
    <phoneticPr fontId="3" type="noConversion"/>
  </si>
  <si>
    <t>保险公司合规风险</t>
  </si>
  <si>
    <t>评价指标</t>
    <phoneticPr fontId="3" type="noConversion"/>
  </si>
  <si>
    <t>保险公司自行投资的，业绩考核</t>
    <phoneticPr fontId="3" type="noConversion"/>
  </si>
  <si>
    <t>保险公司委托投资的，业绩考核</t>
    <phoneticPr fontId="3" type="noConversion"/>
  </si>
  <si>
    <t>最近4个季度数据差错金额绝对值之和</t>
    <phoneticPr fontId="3" type="noConversion"/>
  </si>
  <si>
    <t>具有三年以上工作经验的人员占比</t>
    <phoneticPr fontId="3" type="noConversion"/>
  </si>
  <si>
    <t>评估期保险公司关于承保、销售业务线的投诉次数</t>
    <phoneticPr fontId="12" type="noConversion"/>
  </si>
  <si>
    <t>总公司客服部</t>
    <phoneticPr fontId="3" type="noConversion"/>
  </si>
  <si>
    <t>总公司法律合规部</t>
  </si>
  <si>
    <t>总公司信息技术部</t>
  </si>
  <si>
    <t>总公司财务部</t>
  </si>
  <si>
    <t>总公司投资部</t>
  </si>
  <si>
    <t>总公司精算部</t>
  </si>
  <si>
    <t>审计报告</t>
  </si>
  <si>
    <t>投资部人员JD</t>
  </si>
  <si>
    <t>绩效合约</t>
  </si>
  <si>
    <t>再保账单、再保公司付款确认</t>
  </si>
  <si>
    <t>数据校验底稿</t>
  </si>
  <si>
    <t>准备金文件备份</t>
  </si>
  <si>
    <t>各相关报告</t>
  </si>
  <si>
    <t>咨诉系统</t>
  </si>
  <si>
    <t>HR的人力编制</t>
  </si>
  <si>
    <t>协同业务系统</t>
  </si>
  <si>
    <t>HR人力编制</t>
  </si>
  <si>
    <t>理赔系统</t>
  </si>
  <si>
    <t>保全系统</t>
  </si>
  <si>
    <t>是</t>
  </si>
  <si>
    <t>总分</t>
    <phoneticPr fontId="12" type="noConversion"/>
  </si>
  <si>
    <t>总分</t>
    <phoneticPr fontId="12" type="noConversion"/>
  </si>
  <si>
    <t>总分</t>
    <phoneticPr fontId="3" type="noConversion"/>
  </si>
  <si>
    <t>总分</t>
    <phoneticPr fontId="3" type="noConversion"/>
  </si>
  <si>
    <t>行业水平评分</t>
    <phoneticPr fontId="12" type="noConversion"/>
  </si>
  <si>
    <t>直接评分</t>
    <phoneticPr fontId="12" type="noConversion"/>
  </si>
  <si>
    <t>直接评分</t>
    <phoneticPr fontId="12" type="noConversion"/>
  </si>
  <si>
    <t>直接评分</t>
  </si>
  <si>
    <t>行业水平评分</t>
  </si>
  <si>
    <t>直接评分</t>
    <phoneticPr fontId="3" type="noConversion"/>
  </si>
  <si>
    <t>发现一次，扣0.5分，扣完为止</t>
  </si>
  <si>
    <t>发现一次，扣0.5分，扣完为止。</t>
  </si>
  <si>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</si>
  <si>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</si>
  <si>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评估期内发现公司内勤员工或销售人员组织参与非法集资的案件数量。评估期为评估时点之前12个月。</t>
  </si>
  <si>
    <t>评估期内发现发现公司内勤员工或销售人员通过盗用、伪造印鉴和保单等手段进行诈骗的案件数量。                                                         
评估期为评估时点之前12个月。</t>
  </si>
  <si>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</si>
  <si>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</si>
  <si>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</si>
  <si>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</si>
  <si>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系统故障导致无法出单，系统故障导致保单信息缺失和错误，系统故障导致业务系统与财务系统未实现无缝对接。</t>
  </si>
  <si>
    <t>每出现一次系统故障，扣1分。合计扣分不超过5分</t>
  </si>
  <si>
    <t>设行业平均水平为θ天，如果8≤θ，则评分为：
x≤8，4分；
8&lt;x≤15，2分；
15&lt;x，1分；
如果θ&lt;8，则评分为：
x≤θ，4分；
θ&lt;x≤8，3分；
8&lt;x≤15，2分；
15&lt;x，1分。</t>
  </si>
  <si>
    <t>评估期内完成理赔的案件从保险公司作出理赔核定结果到给付保险金的平均天数。                          
评估期为评估时点之前3个月。</t>
  </si>
  <si>
    <t>设行业平均水平为θ天，如果10≤θ，则评分为：
x≤10，6分；
10&lt;x≤15，2分；
15&lt;x，0分；
如果θ&lt;10，则评分为：
x≤θ，6分；
θ&lt;x≤10，4分；
10&lt;x≤15，2分；
15&lt;x，0分。</t>
  </si>
  <si>
    <t>设行业平均水平为θ天，如果7≤θ，则评分为：
x≤7，10分；
7&lt;x≤13，4分；
13&lt;x，0分；
如果θ&lt;7，则评分为：
x≤θ，10分；
θ&lt;x≤7，7分；
7&lt;x≤13，4分；
13&lt;x，0分。</t>
  </si>
  <si>
    <t>设行业平均水平为θ天，如果10≤θ，则评分为：
x≤10，7分；
10&lt;x≤15，3分；
15&lt;x，0分；
如果θ&lt;10，则评分为：
x≤θ，7分；
θ&lt;x≤10，5分；
10&lt;x≤15，3分；
15&lt;x，0分。</t>
  </si>
  <si>
    <t>发现一次，扣1分，扣完为止。</t>
  </si>
  <si>
    <t>评估期内保险公司因理赔、保全业务引发的群体性事件数量。       评估期为评估时点之前12个月。</t>
  </si>
  <si>
    <t>每发生一件，扣1分，最多扣至0分。</t>
  </si>
  <si>
    <t>具有7年以上从业经验的，得2分；5年以上得1分；否则，得0分。</t>
  </si>
  <si>
    <t>处罚是指资产管理部门负责人因违法违规受到监管部门行政处罚的次数。</t>
  </si>
  <si>
    <t>最近4个季度内资产管理部门负责人未因违法违规受到行政处罚的，得2分；否则，得0分。</t>
  </si>
  <si>
    <t>平均从业年限是指资产管理部门全体人员从事金融机构投资相关工作年限的算术平均数。</t>
  </si>
  <si>
    <t>资产管理部门人员平均从业年限5年以上得2分；3年以上得1分；否则，得0分。</t>
  </si>
  <si>
    <t>根据《保险资产运用管理暂行办法》（保监会令2014年第3号），保险公司的资产管理部门应当在投资研究、资产清算、风险控制、业绩评估、相关保障等环节设置岗位。</t>
  </si>
  <si>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</si>
  <si>
    <t>资金运用风险管理人员数量与投研人员数量的比例在1/4以上得1分；其他得0分。</t>
  </si>
  <si>
    <t>投资风险责任人培训次数是指投资风险责任人参加保监会组织或认可的培训的累计次数。投资风险责任人是指符合《关于保险机构投资风险责任人有关事项的通知》（保监发〔2013〕28号）规定的风险责任人。</t>
  </si>
  <si>
    <t xml:space="preserve">最近4个季度内投资风险责任人培训次数大于1的，得1分；否则，得0分。保险公司没有相关投资风险责任人的，得1分。   </t>
  </si>
  <si>
    <t>员工培训频率≥2，得1分；
不满足上述要求的，得0分。</t>
  </si>
  <si>
    <t>投研人员激励机制是指对投研人员的薪酬水平是否与业绩相挂钩。</t>
  </si>
  <si>
    <t>保险公司自行投资的，对投研人员无激励机制或激励机制只与短期（一年及以内）业绩挂钩，得0分；与长期（一年以上）业绩挂钩，得1分。保险公司委托投资的，能够提供受托机构相关证明材料的，得1分；否则，得0分。</t>
  </si>
  <si>
    <t>风险管理人员激励机制是指资金运用风险管理人员的薪酬水平是否直接与投资业绩挂钩。</t>
  </si>
  <si>
    <t>保险公司自行投资的，资金运用风险管理人员激励机制不直接与投资业绩挂钩的，得1分；否则，得0分。保险公司委托投资的，能够提供受托机构相关证明材料的，得1分；否则，得0分。</t>
  </si>
  <si>
    <t>业绩考核是指资产管理部门负责人的业绩考核是否与操作风险相挂钩。</t>
  </si>
  <si>
    <t>保险公司自行投资的，业绩考核与操作风险挂钩，得1分；否则，得0分。保险公司委托投资的，能够提供受托机构相关证明材料的，得1分；否则，得0分。</t>
  </si>
  <si>
    <t>操作风险数据库指保险公司建立的资金运用操作风险数据库，及时记录投资决策、交易行为、估值核算、信息披露的操作风险事件。</t>
  </si>
  <si>
    <t>建立资金运用操作风险数据库且如实记录操作风险事件的，得5分，否则得0分。</t>
  </si>
  <si>
    <t>根据《保险资金委托投资管理暂行办法》（保监发〔2012〕60号），保险公司委托投资，应建立委托投资管理制度，建立投资管理人选聘、监督、评价、考核制度，建立投资资产退出机制。</t>
  </si>
  <si>
    <t>保险公司委托投资的，全部建立相关制度的，得1分；未全部建立的，得0分。保险公司未开展委托投资的，得1分。</t>
  </si>
  <si>
    <t>保险公司委托投资的，应制定委托投资指引，合理确定投资范围、投资目标、投资期限和投资限制等要素，定期或者不定期审核委托投资指引，并做出适当调整。</t>
  </si>
  <si>
    <t>委托投资指引达到要求的，得1分；未达到要求的，得0分。保险公司未开展委托投资的，得1分。</t>
  </si>
  <si>
    <t>根据《保险资产配置管理暂行办法》（保监发〔2012〕61号），保险公司应当建立资产配置压力测试模型，实施敏感性测试和情景测试，测试特定情景和各种不利情景下资产、收益和偿付能力变化。</t>
  </si>
  <si>
    <t>资产配置压力测试达到要求的，得4分；否则，得0分。</t>
  </si>
  <si>
    <t>保险公司委托投资的，应定期评估投资管理人的管理能力、投资业绩、服务质量等要素，跟踪监测各类委托投资账户风险及合规状况，定期出具分析报告。</t>
  </si>
  <si>
    <t>最近4个季度内对全部投资管理人评估大于1次的，得2分；只对部分投资管理人进行评估的，得1分；未对投资管理人进行评估的，得0分。保险公司未开展委托投资的，得2分。</t>
  </si>
  <si>
    <t>保险公司应实行资产配置分账户管理，并确保资金清算、会计核算、账户记录等方面独立、清晰与完整。</t>
  </si>
  <si>
    <t>保险公司自行投资的，资产配置分账户管理达到要求的，得3分；否则，得0分。保险公司委托投资的，能够提供受托机构相关证明材料的，得3分；否则，得0分。</t>
  </si>
  <si>
    <t>根据《关于规范保险资产托管业务的通知》（保监发〔2014〕84号），保险公司应将保险资金运用形成的各项投资资产全部实行第三方托管和监督。</t>
  </si>
  <si>
    <t>全部投资资产实施托管的，得5分；投资资产部分托管的，得3分；投资资产未托管的，得0分。</t>
  </si>
  <si>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</si>
  <si>
    <t>具备完善的投资授权制度，建立董事会投资决策委员会体系，决策及批准权限明确的，得1分；否则，得0分。</t>
  </si>
  <si>
    <t>根据《保险资产运用内部控制指引》（保监发〔2015〕114号），保险公司应实现决策流程的信息化和自动化，通过信息系统手段实现投资决策流程、次序的自动控制。</t>
  </si>
  <si>
    <t>保险公司自行投资的，实现决策流程的信息化和自动化，通过信息系统手段实现投资决策流程、次序自动控制的，得1分；否则，得0分。保险公司委托投资的，能够提供受托机构相关证明材料的，得1分；否则，得0分。</t>
  </si>
  <si>
    <t>保险公司重要投资决策应留下相关书面记录，如会议纪要、最终投资决议等，确保投资决策所依据的材料均经过审慎考虑，并由决策人在最终投资决议上确认。</t>
  </si>
  <si>
    <t>保险公司自行投资的，重要投资决策有相关书面记录，如会议纪要、最终投资决议等，并由决策人在最终投资决议上确认的，得1分；否则，得0分。保险公司委托投资的，能够提供受托机构相关证明材料的，得1分；否则，得0分。</t>
  </si>
  <si>
    <t>根据《保险资产运用管理暂行办法》（保监会令2014年第3号），保险公司应当建立专业化分析平台，并利用外部研究成果，研究制定涵盖交易对手管理和投资品种选择的模型和制度，构建投资池、备选池和禁投池体系。</t>
  </si>
  <si>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</si>
  <si>
    <t>投资决策操作风险事件包括投资决策过程中越权投资、超过交易对手风险限额投资等风险事件，具体事件分类不重复计算。</t>
  </si>
  <si>
    <t>最近4个季度内未发生投资决策操作风险事件的，得5分；最近4个季度内发生1次以上、3次以内投资决策操作风险事件的，得3分；最近4个季度内发生的投资决策操作风险事件次数超过3次的，得0分。</t>
  </si>
  <si>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</si>
  <si>
    <t>根据《保险资产运用内部控制指引》（保监发〔2015〕114号），保险公司应当建立完善的交易记录制度，每日的交易记录应当及时核对并存档。</t>
  </si>
  <si>
    <t>交易行为操作风险事件包括交易执行过程中越权交易、投资指令误操作、错误传达信息、交易下单差错、数据维护错误等风险事件，具体事件分类不重复计算。</t>
  </si>
  <si>
    <t>最近4个季度内未发生交易行为操作风险事件的，得5分；最近4个季度内发生1次以上、3次以内交易行为操作风险事件的，得3分；最近4个季度内发生的交易行为操作风险事件次数超过3次的，得0分。</t>
  </si>
  <si>
    <t>保险机构应当建立适当的会计估值政策与制度规范。估值结果应当经过恰当的复核审查，按照有关规定和合同的约定及时处理估值错误，并进行信息披露。</t>
  </si>
  <si>
    <t>保险公司自行投资的，建立会计估值政策与制度规范，估值结果经过复核审查，得1分；否则，得0分。保险公司委托投资的，能够提供受托机构相关证明材料的，得1分；否则，得0分。</t>
  </si>
  <si>
    <t xml:space="preserve">保险机构每日完成交易后，应当进行清算和交易信息核对工作。投资部门的业务交易台账应该与后台清算记录和资金记录保持一致，并保留复核纪录。
</t>
  </si>
  <si>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</si>
  <si>
    <t>信息披露风险事件是指未按照保险公司资金运用信息披露相关准则及时、准确、完整披露相关信息的事件。</t>
  </si>
  <si>
    <t>最近4个季度内按照保险公司资金运用信息披露相关准则及时、准确、完整披露相关信息的，得5分；未及时、准确、完整披露相关信息的，累计1次以上、3次以内的，得3分；累计超过3次的，得0分。</t>
  </si>
  <si>
    <t>根据《保险资产运用管理暂行办法》（保监会令2014年第3号），保险公司应当建立保险资金运用信息管理系统，信息管理系统应当设定合规性和风险指标阀值，将风险监控的各项要素固化到相关信息技术系统之中。</t>
  </si>
  <si>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</si>
  <si>
    <t>系统设计差错是指在资金运用信息系统上线后，发现的设计开发中存在的核算规则错误、逻辑错误、设置错误等差错。</t>
  </si>
  <si>
    <t>资金运用信息系统设计差错量小于2个的，得1分；否则，得0分。</t>
  </si>
  <si>
    <t>系统中断次数是指资金运用信息系统出现故障，无法正常运转的次数。</t>
  </si>
  <si>
    <t>最近4个季度内累计中断次数小于1次的，得1分；否则，得0分。</t>
  </si>
  <si>
    <t>系统异常事件是指资金运用相关人员使用资金运用信息系统过程中，出现的用户无法登录、数据传输失败等个体事件。</t>
  </si>
  <si>
    <t>最近4个季度内系统异常事件数量累计小于5次的，得1分；超过5次的，得0分。</t>
  </si>
  <si>
    <t xml:space="preserve">信息安全事件是指资金运用信息系统等遭受病毒攻击、非法入侵、木马植入、外部网络攻击、信息泄露等，给公司声誉造成负面影响或者造成直接经济损失的事件数量。   </t>
  </si>
  <si>
    <t xml:space="preserve"> 最近4个季度内信息安全事件数量累计小于3次的，得2分；超过3次，少于6次的，得1分；其他情况，得0分。 </t>
  </si>
  <si>
    <t>数据差错量指保险公司资金运用信息系统数据出现差错的次数。</t>
  </si>
  <si>
    <t>最近4个季度内资金运用信息系统数据出现差错少于3次的，得2分；否则，得0分。</t>
  </si>
  <si>
    <t>保险公司是否能积极参与、密切跟踪新的资金运用、偿付能力等政策制度，能够及时对新政作出调整资金运用管理流程和经营行为的情况。</t>
  </si>
  <si>
    <t>能积极参与、密切跟踪新的资金运用、偿付能力等政策制度，能够及时对新政作出调整资金运用管理流程和经营行为的，得3分；否则，得0分。</t>
  </si>
  <si>
    <t>保险公司及时对高管、相关部门人员进行的新的资金运用、偿付能力等政策制度培训的情况。</t>
  </si>
  <si>
    <t>对新的资金运用、偿付能力等政策制度，保险公司能够及时对高管、相关部门人员进行培训的，得2分；否则，得0分。</t>
  </si>
  <si>
    <t>财会部门人数指保险公司总公司财会部门的人员数量。</t>
  </si>
  <si>
    <t>财会部门人员流失率＝最近4个季度内离职的财会人员数量÷（前4个季度初的财会人员数量+最近4个季度增加的财会人员数量）×100％；
财会部门人员指总公司财会部门的人员。</t>
  </si>
  <si>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</si>
  <si>
    <t>员工培训频率≥2，得4分；
不满足上述要求的，得0分。</t>
  </si>
  <si>
    <t>业绩考核指公司有明确的制度规定总公司财会部门负责人和分支机构财会部门负责人的业绩考核应与财务管理相关操作风险相挂钩。</t>
  </si>
  <si>
    <t>总公司财会部门负责人和分支机构财会部门负责人的业绩考核与相关操作风险相挂钩的，得4分；否则，得0分</t>
  </si>
  <si>
    <t>操作风险数据库指保险公司建立的财务管理操作风险数据库及时记录会计核算、财务报告、资金管理、单证管理、印章管理、税收管理的操作风险事件。</t>
  </si>
  <si>
    <t>建立财务管理操作风险数据库且如实记录操作风险事件的，得5分，否则得0分。</t>
  </si>
  <si>
    <t>核算集中度指保险公司的会计核算应在总公司或省级分公司集中处理。</t>
  </si>
  <si>
    <t>保险公司的会计核算在总公司或省级分公司集中处理的，得1分；否则，得0分。</t>
  </si>
  <si>
    <t>会计差错量指是保险公司发生的，达到《企业会计准则第28号－会计政策、会计估计变更和差错更正》规定的前期差错的数量。</t>
  </si>
  <si>
    <t>会计差错量小于等于2次的，得4分；大于2次的，得0分。</t>
  </si>
  <si>
    <t xml:space="preserve">委托投资资产数据核对指保险公司建立了委托投资资产的数据核对机制，受托方与托管行每日核对委托投资资产数据；保险公司与受托方、托管行定期核对委托投资资产数据。  </t>
  </si>
  <si>
    <t xml:space="preserve"> 符合要求的，得1分；否则，得0分。</t>
  </si>
  <si>
    <t>最近4个季度内，未发生过错报、漏报和未按时报送的，得5分；最近4个季度内，错报、漏报或未按时报送的次数少于2次的，得3分；最近4个季度内，错报、漏报或未按时报送的次数超过2次，或者发生1次重大错报或漏报的，得0分。</t>
  </si>
  <si>
    <t>财务报告差错量指保险公司向保监会报送财务报告出现错报、漏报、未按时报送等差错的次数。</t>
  </si>
  <si>
    <t>资金收支应按照“收支两条线”，由总公司进行集中管理，且总公司有专人专岗负责资金管理。
大病保险等有特别规定的除外（下同）。</t>
  </si>
  <si>
    <t>符合要求的，得1分；否则，得0分。</t>
  </si>
  <si>
    <t>银行账户应由总公司集中管理，银行账户的设立、变更或注销是否报总公司审批或备案。</t>
  </si>
  <si>
    <t>资金管理操作风险事件指最近4个季度内保险公司在资金管理方面出现挪用公款、票据欺诈、私自开立银行账户、账外资金等事件。</t>
  </si>
  <si>
    <t>单证管理指单证的领用、核销等有专门内控程序和专人负责。单证是指保险公司财会部门负责管理的有价单证，如发票、银行票据等（下同）。</t>
  </si>
  <si>
    <t>单证的领用、核销有专门内控程序和专人负责的，得1分；否则，得0分。</t>
  </si>
  <si>
    <t>印章管理指财务类印章印鉴实行专人管理，且其使用有明确的内部审批流程。</t>
  </si>
  <si>
    <t>财务类印章印鉴实行专人管理，且其使用有明确的内部审批流程的，得1分；否则，得0分。</t>
  </si>
  <si>
    <t>印章管理操作风险事件指最近4个季度内发生印章遗失，未经审批擅自制造印章，未经审批使用财务印章等事件。</t>
  </si>
  <si>
    <t>最近4个季度内未发生过财务类印章管理操作风险事件的，得3分；最近4个季度内发生过1次以上、3次以内财务类印章管理操作风险事件的，得1分；最近4个季度内发生3次以上财务类印章管理操作风险事件的，得0分。</t>
  </si>
  <si>
    <t>保险公司总公司和分公司应安排专人专岗负责税收管理，或者安排专人负责税收管理。</t>
  </si>
  <si>
    <t>I类保险公司总公司和分公司有专人专岗负责税收管理的，得1分；II类保险公司总公司和分公司有专人负责税收管理的，得1分；否则，得0分。</t>
  </si>
  <si>
    <t>税收类操作风险事件是指最近4个季度内税务部门对保险公司进行的处罚。</t>
  </si>
  <si>
    <t>最近4个季度内未发生过税收类操作风险事件的，得4分；最近4个季度内发生1次以上、3次以内税收类操作风险事件的，得2分；最近4个季度内发生过3次以上税收类操作风险事件的，得0分。</t>
  </si>
  <si>
    <t>系统自动化指保险公司应建立了会计核算系统、资金管理系统等财务信息系统，将财务管理的流程内嵌入相关系统，实现管理自动化。</t>
  </si>
  <si>
    <t>保险公司建立了财务信息系统，实现管理自动化的，得2分；否则，得0分。</t>
  </si>
  <si>
    <t>系统异常事件数量指财务信息系统在最近4个季度内出现故障，导致系统无法正常运转时间超过4小时的次数。</t>
  </si>
  <si>
    <t>系统异常事件数量小于或等于3次的，得4分；大于3次但小于或等于5次的2分；否则，得0分。</t>
  </si>
  <si>
    <t>系统管理集中度指财务数据应由总公司集中存储，分支机构没有修改财务数据权限。</t>
  </si>
  <si>
    <t>财务数据由总公司集中存储，分支机构没有修改财务数据权限的，得3分；否则，得0分。</t>
  </si>
  <si>
    <t>数据核对频率指保险公司财务系统与业务系统、再保系统、精算系统等相关系统之间进行人工数据核对的频率。
人工数据核对指在系统自动核对的基础上，有专人进行系统差错核对处理，并保存相关作业文档。</t>
  </si>
  <si>
    <t>核对频率高于等于每周一次的，得3分；核对频率低于每周一次但高于等于每月一次的，得1分；否则，得0分</t>
  </si>
  <si>
    <t>对新政策的参与和反应速度指保险公司应能积极参与、密切跟踪新的会计、税收、财务监管、偿付能力等政策制度，并能及时调整财务管理流程和经营行为的情况、及时对高管、相关部门人员进行培训。</t>
  </si>
  <si>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</si>
  <si>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</si>
  <si>
    <t>设行业平均水平为θ，评分为：x&lt;0.5∙θ，1分；0.5∙θ≤x&lt;0.85∙θ，3分；0.85∙θ≤x&lt;1.25∙θ，5分；1.25∙θ≤x&lt;1.5∙θ，7分；1.5∙θ≤x，9分。</t>
  </si>
  <si>
    <t>大于2次，得0分；等于2次，得1分；等于1次，得5分；等于0次，得9分。</t>
  </si>
  <si>
    <t>设行业平均水平为θ，评分为：x&lt;0.85∙θ，3分；0.85∙θ≤x&lt;1.25∙θ，5分；1.25∙θ≤x&lt;1.5∙θ，7分；1.5∙θ≤x，9分。</t>
  </si>
  <si>
    <t>过去12个月因再保险合同内容出现遗漏或错误导致公司经济损失。</t>
  </si>
  <si>
    <t>每出现一次，扣2分，扣完为止。</t>
  </si>
  <si>
    <t>过去12个月直保公司在分出业务时计算分出保费、再保险费、摊回赔款、摊回手续费和摊回费用等业务数据时出现计算错误，或者财务系统中记录的上述再保险业务数据出现差错。</t>
  </si>
  <si>
    <t>过去12个月准备金评估所使用的基础数据与核心业务系统中的数据存在偏差。</t>
  </si>
  <si>
    <t>过去12个月精算软件或EXCEL软件中用于准备金评估的模型设置存在错误，或者用于准备金评估的方法不符合监管规定。</t>
  </si>
  <si>
    <t>过去12个月精算报告、偿付能力报告等监管报告中存在数据错误、遗漏。</t>
  </si>
  <si>
    <t>过去12个月用于准备金评估的数据库系统、精算软件发生故障的次数。</t>
  </si>
  <si>
    <t>过去12个月保险公司与再保险公司发生合同纠纷的次数。</t>
  </si>
  <si>
    <t>未受到该类行政处罚的，扣0分。受到该类行政处罚的，扣5分。</t>
  </si>
  <si>
    <t>未设置合规管理部门，扣10分。
未按照规定制定合规管理政策，扣5分。
未制定员工行为准则等落实合规政策的文件，扣5分。
未定期开展合规培训，扣5分。
未按时提交年度合规报告，扣5分。</t>
  </si>
  <si>
    <t>警告，或者罚款和没收违法所得累计金额30万元以下的次数</t>
    <phoneticPr fontId="3" type="noConversion"/>
  </si>
  <si>
    <t>罚款和没收违法所得累计金额30万元以上100万元以下的次数</t>
    <phoneticPr fontId="3" type="noConversion"/>
  </si>
  <si>
    <t>罚款和没收违法所得累计金额100万元以上的次数</t>
    <phoneticPr fontId="3" type="noConversion"/>
  </si>
  <si>
    <t>董事长、总经理被处以罚款的次数</t>
    <phoneticPr fontId="3" type="noConversion"/>
  </si>
  <si>
    <t>董事长、总经理以外的其他董事、高级管理人员被撤销任职资格或者禁止进入保险业的次数</t>
    <phoneticPr fontId="3" type="noConversion"/>
  </si>
  <si>
    <t>每家分支机构受罚款金额</t>
    <phoneticPr fontId="3" type="noConversion"/>
  </si>
  <si>
    <t>评估期内各分支机构罚款总额</t>
    <phoneticPr fontId="3" type="noConversion"/>
  </si>
  <si>
    <t>总公司当期保险类行政处罚情况</t>
    <phoneticPr fontId="3" type="noConversion"/>
  </si>
  <si>
    <t>评估期内受处罚的分支机构总家次</t>
    <phoneticPr fontId="3" type="noConversion"/>
  </si>
  <si>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</si>
  <si>
    <t>总公司在上一评估期内受到行政处罚的，扣5分。</t>
  </si>
  <si>
    <t>总公司保险类既往行政处罚情况</t>
    <phoneticPr fontId="3" type="noConversion"/>
  </si>
  <si>
    <t>特殊评价</t>
    <phoneticPr fontId="3" type="noConversion"/>
  </si>
  <si>
    <t>（100）</t>
    <phoneticPr fontId="3" type="noConversion"/>
  </si>
  <si>
    <t>评估期内总公司（不包括责任人员）因违反反洗钱、反垄断或者其他金融监管规定，受到人民银行、发改委等单位或者其他金融监管部门的行政处罚。</t>
    <phoneticPr fontId="3" type="noConversion"/>
  </si>
  <si>
    <t>根据保险公司总公司执行保监会合规监管要求的情况，评价保险公司的合规管理。</t>
    <phoneticPr fontId="3" type="noConversion"/>
  </si>
  <si>
    <t>评估期内保险公司总公司及其责任人员受到严重处罚，对公司的合规风险产生重大影响，则直接扣除该保险公司合规风险100分。</t>
    <phoneticPr fontId="3" type="noConversion"/>
  </si>
  <si>
    <t>有下列情形之一的，扣100分：
1.总公司被限制业务范围、责令停止接受新业务、责令停业整顿、吊销业务许可证的；
2.总公司董事长、总经理被撤销任职资格或者禁止进入保险业的。</t>
    <phoneticPr fontId="3" type="noConversion"/>
  </si>
  <si>
    <t>统计期间</t>
    <phoneticPr fontId="3" type="noConversion"/>
  </si>
  <si>
    <t>指标说明</t>
    <phoneticPr fontId="3" type="noConversion"/>
  </si>
  <si>
    <t>评分规则</t>
    <phoneticPr fontId="3" type="noConversion"/>
  </si>
  <si>
    <t>评估期内</t>
  </si>
  <si>
    <t>评估期内</t>
    <phoneticPr fontId="12" type="noConversion"/>
  </si>
  <si>
    <t>评估期末时点</t>
  </si>
  <si>
    <t>评估期末时点</t>
    <phoneticPr fontId="12" type="noConversion"/>
  </si>
  <si>
    <t>评估期末</t>
    <phoneticPr fontId="12" type="noConversion"/>
  </si>
  <si>
    <t>4个季度</t>
  </si>
  <si>
    <t>4个季度</t>
    <phoneticPr fontId="3" type="noConversion"/>
  </si>
  <si>
    <t>评估期末时点</t>
    <phoneticPr fontId="3" type="noConversion"/>
  </si>
  <si>
    <t>评估期末时点</t>
    <phoneticPr fontId="3" type="noConversion"/>
  </si>
  <si>
    <t>2年</t>
    <phoneticPr fontId="3" type="noConversion"/>
  </si>
  <si>
    <t>12个月</t>
    <phoneticPr fontId="3" type="noConversion"/>
  </si>
  <si>
    <t>评估期内</t>
    <phoneticPr fontId="3" type="noConversion"/>
  </si>
  <si>
    <t>评估期内</t>
    <phoneticPr fontId="3" type="noConversion"/>
  </si>
  <si>
    <t>上一评估期</t>
    <phoneticPr fontId="3" type="noConversion"/>
  </si>
  <si>
    <t>总分</t>
    <phoneticPr fontId="3" type="noConversion"/>
  </si>
  <si>
    <t>4个季度</t>
    <phoneticPr fontId="3" type="noConversion"/>
  </si>
  <si>
    <t>评价项目</t>
    <phoneticPr fontId="3" type="noConversion"/>
  </si>
  <si>
    <t>分值</t>
  </si>
  <si>
    <t>指标说明</t>
    <phoneticPr fontId="23" type="noConversion"/>
  </si>
  <si>
    <t>评价标准</t>
    <phoneticPr fontId="3" type="noConversion"/>
  </si>
  <si>
    <t>报告期的实际净现金流</t>
    <phoneticPr fontId="3" type="noConversion"/>
  </si>
  <si>
    <t>保险公司报告期的净现金流量。</t>
    <phoneticPr fontId="23" type="noConversion"/>
  </si>
  <si>
    <t>净现金流量小于0，得0分；净现金流量大于等于0，得10分。</t>
  </si>
  <si>
    <t>在基本情景下未来预计净现金流</t>
    <phoneticPr fontId="3" type="noConversion"/>
  </si>
  <si>
    <t>保险公司在基本情景下未来一段期间内的净现金流量。</t>
    <phoneticPr fontId="3" type="noConversion"/>
  </si>
  <si>
    <t>保险公司在压力情景下未来一段时间内的净现金流量。</t>
    <phoneticPr fontId="3" type="noConversion"/>
  </si>
  <si>
    <t>（1）财产险公司和再保险公司，必测压力情景一、必测压力情景二下的未来1季度、未来2季度、未来3季度、未来4季度的净现金流量每项小于0的，该项得0分；净现金流量每项大于等于0的，该项得1.25分。
（2）人身险公司，现金流测试范围为公司整体，必测压力情景一、必测压力情景二下的未来1季度、未来2季度、未来3季度、未来4季度、报告日后第2年、报告日后第3年的净现金流量每项小于0的，该项得0分；必测压力情景一、必测压力情景二下的未来1季度、未来2季度、未来3季度、未来4季度的净现金流量每项大于等于0的，该项得1分；报告日后第2年、报告日后第3年的净现金流量每项大于等于0的，该项得0.5分。</t>
  </si>
  <si>
    <t>综合流动比率</t>
    <phoneticPr fontId="3" type="noConversion"/>
  </si>
  <si>
    <t>综合流动比率反映保险公司各项资产和负债在未来期间现金流分布情况以及现金流入和现金流出的匹配情况。
综合流动比率＝现有资产的预期现金流入合计/现有负债的预期现金流出合计*100%</t>
    <phoneticPr fontId="23" type="noConversion"/>
  </si>
  <si>
    <t>未来1季度</t>
  </si>
  <si>
    <t>未来2季度</t>
  </si>
  <si>
    <t>未来3季度</t>
  </si>
  <si>
    <t>未来4季度</t>
  </si>
  <si>
    <t>报告日后第2年</t>
  </si>
  <si>
    <t>报告日后第3年</t>
  </si>
  <si>
    <t>必测压力情景1
净现金流量</t>
    <phoneticPr fontId="3" type="noConversion"/>
  </si>
  <si>
    <t>3个月内</t>
    <phoneticPr fontId="3" type="noConversion"/>
  </si>
  <si>
    <t>1年内</t>
    <phoneticPr fontId="3" type="noConversion"/>
  </si>
  <si>
    <t>将全部n家公司的销售人员责任追究指标按从小到大排序，根据排名Ri进行赋分，其中
1≤Ri&lt;[0.25∙n]，8分；
[0.25∙n]≤Ri&lt;[0.5∙n]，6分；
[0.5∙n]≤Ri&lt;[0.75∙n]，3分；
[0.75∙n]≤Ri&lt;n，0分。</t>
    <phoneticPr fontId="12" type="noConversion"/>
  </si>
  <si>
    <t>每发现一次，扣2分，扣完为止。</t>
    <phoneticPr fontId="3" type="noConversion"/>
  </si>
  <si>
    <t>每发现一次，扣3分，扣完为止。</t>
    <phoneticPr fontId="3" type="noConversion"/>
  </si>
  <si>
    <t>将全部n家公司各自接到的投诉占比指标按从小到大排序，根据排名Ri进行赋分，其中：
1≤Ri&lt;[0.2∙n]，10分；
[0.2∙n]≤Ri&lt;[0.4∙n]，7分；
[0.4∙n]≤Ri&lt;[0.6∙n]，5分；
[0.6∙n]≤Ri&lt;[0.8∙n]，3分；
[0.8∙n]≤Ri&lt;n，0分。</t>
    <phoneticPr fontId="12" type="noConversion"/>
  </si>
  <si>
    <t>将全部n家公司各自接到的投诉占比指标按从小到大排序，根据排名Ri进行赋分，其中：
1≤Ri&lt;[0.2∙n]，11分；
[0.2∙n]≤Ri&lt;[0.4∙n]，9分；
[0.4∙n]≤Ri&lt;[0.6∙n]，6分；
[0.6∙n]≤Ri&lt;[0.8∙n]，3分；
[0.8∙n]≤Ri&lt;n，0分。</t>
    <phoneticPr fontId="12" type="noConversion"/>
  </si>
  <si>
    <t>上一评估期内，总公司受到保险行政处罚的递延影响。</t>
    <phoneticPr fontId="3" type="noConversion"/>
  </si>
  <si>
    <t>1年至3年内</t>
    <phoneticPr fontId="3" type="noConversion"/>
  </si>
  <si>
    <t>3年至5年内</t>
    <phoneticPr fontId="3" type="noConversion"/>
  </si>
  <si>
    <t>5年以上</t>
    <phoneticPr fontId="3" type="noConversion"/>
  </si>
  <si>
    <t>流动性覆盖率反映保险公司在压力情景下未来一个季度的流动性水平，压力情景由保监会另行制定。
流动性覆盖率＝优质流动资产的期末账面价值/未来一个季度的净现金流*100%</t>
  </si>
  <si>
    <t>公司整体</t>
    <phoneticPr fontId="3" type="noConversion"/>
  </si>
  <si>
    <t>压力情景一下流动性覆盖率</t>
    <phoneticPr fontId="3" type="noConversion"/>
  </si>
  <si>
    <t>独立账户</t>
    <phoneticPr fontId="3" type="noConversion"/>
  </si>
  <si>
    <t>压力情景二下流动性覆盖率</t>
    <phoneticPr fontId="3" type="noConversion"/>
  </si>
  <si>
    <t>12个月</t>
    <phoneticPr fontId="12" type="noConversion"/>
  </si>
  <si>
    <t>必测压力情景2
净现金流量</t>
    <phoneticPr fontId="3" type="noConversion"/>
  </si>
  <si>
    <t>12个月</t>
    <phoneticPr fontId="12" type="noConversion"/>
  </si>
  <si>
    <t>总公司人力资源部</t>
    <phoneticPr fontId="3" type="noConversion"/>
  </si>
  <si>
    <t>总公司法律合规部</t>
    <phoneticPr fontId="3" type="noConversion"/>
  </si>
  <si>
    <t>总公司各个渠道</t>
    <phoneticPr fontId="3" type="noConversion"/>
  </si>
  <si>
    <t>总公司信息技术部</t>
    <phoneticPr fontId="3" type="noConversion"/>
  </si>
  <si>
    <t>流动性覆盖率的测试范围为公司整体和独立账户，压力情景分为压力情景一和压力情景二。压力情景一下公司整体流动性覆盖率、压力情景一下独立账户流动性覆盖率、压力情景二下公司整体流动性覆盖率、压力情景二下独立账户流动性覆盖率，每项满足：
流动性覆盖率≥2,得7.5分；1≤流动性覆盖率&lt;2，得6.25分；
0.8≤流动性覆盖率&lt;1，得3.75分；0.5≤流动性覆盖率&lt;0.8，得1.25分；流动性覆盖率&lt;0.5，得0分。</t>
    <phoneticPr fontId="3" type="noConversion"/>
  </si>
  <si>
    <t>总得分</t>
    <phoneticPr fontId="3" type="noConversion"/>
  </si>
  <si>
    <t>扣分</t>
    <phoneticPr fontId="3" type="noConversion"/>
  </si>
  <si>
    <t>百分制后</t>
    <phoneticPr fontId="3" type="noConversion"/>
  </si>
  <si>
    <t>对IRR总分影响</t>
    <phoneticPr fontId="3" type="noConversion"/>
  </si>
  <si>
    <t>行业水平确定可得</t>
    <phoneticPr fontId="12" type="noConversion"/>
  </si>
  <si>
    <t>监管评分</t>
    <phoneticPr fontId="12" type="noConversion"/>
  </si>
  <si>
    <t>行业评分无法确定</t>
    <phoneticPr fontId="12" type="noConversion"/>
  </si>
  <si>
    <t>扣分项</t>
    <phoneticPr fontId="12" type="noConversion"/>
  </si>
  <si>
    <t>扣分项</t>
    <phoneticPr fontId="3" type="noConversion"/>
  </si>
  <si>
    <t>设行业平均水平为θ，评分为：
x&lt;0.85∙θ，4分；
0.85∙θ≤x&lt;1.25∙θ，5分；
1.25∙θ≤x&lt;1.5∙θ，6分；
1.5∙θ≤x，7分。</t>
    <phoneticPr fontId="12" type="noConversion"/>
  </si>
  <si>
    <t xml:space="preserve">将全部n家公司的客户信息真实性比例按从小到大排序，根据排名Ri进行赋分，其中
1≤Ri&lt;[0.25∙n]，7分；
[0.25∙n]≤Ri&lt;[0.5∙n]，5分；
[0.5∙n]≤Ri&lt;[0.75∙n]，3分；
[0.75∙n]≤Ri≤n，1分；
</t>
    <phoneticPr fontId="12" type="noConversion"/>
  </si>
  <si>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12" type="noConversion"/>
  </si>
  <si>
    <t>3个月</t>
    <phoneticPr fontId="3" type="noConversion"/>
  </si>
  <si>
    <t>将全部n家公司的销售人员离职率按从小到大排序，根据排名Ri进行赋分，其中
1≤Ri&lt;[0.25∙n]，9分；
[0.25∙n]≤Ri&lt;[0.5∙n]，6分；
[0.5∙n]≤Ri&lt;[0.75∙n]，3分；
[0.75∙n]≤Ri≤n，0分。</t>
    <phoneticPr fontId="12"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</si>
  <si>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12" type="noConversion"/>
  </si>
  <si>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phoneticPr fontId="3" type="noConversion"/>
  </si>
  <si>
    <t>数据差错率＝数据差错金额绝对值之和/当期保费收入
数据差错金额指最近4个季度内保险公司财务系统与业务、再保、精算等系统之间出现数据差错的金额。</t>
    <phoneticPr fontId="3" type="noConversion"/>
  </si>
  <si>
    <t>评估时点之前12个月发现产品说明会销售误导事件的次数</t>
  </si>
  <si>
    <t>评估时点之前12个月发现组织参与非法集资事件的次数</t>
  </si>
  <si>
    <t>评估时点之前12个月发现通过盗用、伪造印鉴和保单进行诈骗的次数</t>
  </si>
  <si>
    <t>评估时点之前12个月发现侵占、挪用保费事件的次数</t>
  </si>
  <si>
    <t>评估时点之前12个月发现侵占、挪用保费或保险金的次数</t>
  </si>
  <si>
    <t>评估时点之前12个月系统发生故障次数</t>
  </si>
  <si>
    <t>评估时点之前12个月发现系统管控漏洞的次数</t>
  </si>
  <si>
    <t>评估时点之前12个月理赔、保全业务引发的群体性事件的数量</t>
  </si>
  <si>
    <t>具有三年以上工作经验的人员占比</t>
  </si>
  <si>
    <t>检查发现准备金评估数据存在偏差次数</t>
  </si>
  <si>
    <t>检查发现准备金评估模型错误次数</t>
  </si>
  <si>
    <t>检查发现监管报告错误次数</t>
  </si>
  <si>
    <t>检查发现的合同纠纷次数</t>
  </si>
  <si>
    <t>指标类别</t>
    <phoneticPr fontId="3" type="noConversion"/>
  </si>
  <si>
    <t>分值</t>
    <phoneticPr fontId="3" type="noConversion"/>
  </si>
  <si>
    <t>附件1</t>
    <phoneticPr fontId="3" type="noConversion"/>
  </si>
  <si>
    <t>保险法人机构公司治理自评表</t>
    <phoneticPr fontId="3" type="noConversion"/>
  </si>
  <si>
    <t>指标事项</t>
  </si>
  <si>
    <t>指标说明</t>
  </si>
  <si>
    <t>自我评价</t>
    <phoneticPr fontId="3" type="noConversion"/>
  </si>
  <si>
    <t>得分</t>
    <phoneticPr fontId="3" type="noConversion"/>
  </si>
  <si>
    <t>职责边界</t>
  </si>
  <si>
    <t>股东（大）会、董事会和管理层职责</t>
  </si>
  <si>
    <t>股东（大）会、董事会和管理层的职责清晰</t>
    <phoneticPr fontId="3" type="noConversion"/>
  </si>
  <si>
    <t>是</t>
    <phoneticPr fontId="3" type="noConversion"/>
  </si>
  <si>
    <t>主要负责人权力制衡</t>
  </si>
  <si>
    <t>对主要负责人的授权明确</t>
    <phoneticPr fontId="3" type="noConversion"/>
  </si>
  <si>
    <t>对主要负责人的授权不过于集中</t>
    <phoneticPr fontId="3" type="noConversion"/>
  </si>
  <si>
    <t>内部授权体系</t>
  </si>
  <si>
    <t>重大决策有明确标准</t>
    <phoneticPr fontId="3" type="noConversion"/>
  </si>
  <si>
    <t>有明确的重大决策审议程序并实际执行</t>
    <phoneticPr fontId="3" type="noConversion"/>
  </si>
  <si>
    <t>部门设置及部门职责分工制度</t>
  </si>
  <si>
    <t>有明确制度界定各部门职责分工</t>
    <phoneticPr fontId="3" type="noConversion"/>
  </si>
  <si>
    <t>对分支机构授权</t>
  </si>
  <si>
    <t>公司的IT系统能对分支机构的财务、业务进行有效的监控</t>
    <phoneticPr fontId="3" type="noConversion"/>
  </si>
  <si>
    <t>胜任能力</t>
  </si>
  <si>
    <t>主要股东持续出资能力及股权结构稳定性</t>
  </si>
  <si>
    <t>主要股东在过去三年未连续亏损</t>
    <phoneticPr fontId="3" type="noConversion"/>
  </si>
  <si>
    <t>主要股东未频繁变更</t>
    <phoneticPr fontId="3" type="noConversion"/>
  </si>
  <si>
    <t>董事专业能力及董事会专业结构</t>
  </si>
  <si>
    <t>董事的能力和经验胜任</t>
    <phoneticPr fontId="3" type="noConversion"/>
  </si>
  <si>
    <t>董事会的专业结构合理</t>
    <phoneticPr fontId="3" type="noConversion"/>
  </si>
  <si>
    <t>监事会专业结构</t>
  </si>
  <si>
    <t>监事会的专业结构合理</t>
    <phoneticPr fontId="3" type="noConversion"/>
  </si>
  <si>
    <t>不适用</t>
    <phoneticPr fontId="3" type="noConversion"/>
  </si>
  <si>
    <t>管理层成员专业结构及配合能力</t>
    <phoneticPr fontId="3" type="noConversion"/>
  </si>
  <si>
    <t>管理层成员的经验和管理能力胜任</t>
    <phoneticPr fontId="3" type="noConversion"/>
  </si>
  <si>
    <t>管理层成员专业结构合理、团队配合协调</t>
    <phoneticPr fontId="3" type="noConversion"/>
  </si>
  <si>
    <t>董事、监事及高管人员培训</t>
  </si>
  <si>
    <t>建立了董事、监事和高管人员培训制度并严格执行</t>
    <phoneticPr fontId="3" type="noConversion"/>
  </si>
  <si>
    <t>否</t>
    <phoneticPr fontId="3" type="noConversion"/>
  </si>
  <si>
    <t>董事会及管理层稳定性</t>
  </si>
  <si>
    <t>董事会及管理层成员未频繁变动</t>
    <phoneticPr fontId="3" type="noConversion"/>
  </si>
  <si>
    <t>不存在董事长、总经理或关键岗位长期空缺的情况</t>
    <phoneticPr fontId="3" type="noConversion"/>
  </si>
  <si>
    <t>运行控制</t>
  </si>
  <si>
    <t>股东对公司业务和管理信息的获取及熟悉程度</t>
  </si>
  <si>
    <t>定期充分公平地向股东报送或披露公司业务、财务和管理信息</t>
    <phoneticPr fontId="3" type="noConversion"/>
  </si>
  <si>
    <t>及时充分地向股东披露公司重大事项</t>
    <phoneticPr fontId="3" type="noConversion"/>
  </si>
  <si>
    <t>董事对公司财务、业务和管理信息的获取及熟悉程度</t>
  </si>
  <si>
    <t>定期向董事报送公司业务、财务和管理信息</t>
    <phoneticPr fontId="3" type="noConversion"/>
  </si>
  <si>
    <t>对公司会计政策进行讨论，包括会计政策的合规性以及是否真实公允反映公司财务状况和经营成果等</t>
    <phoneticPr fontId="3" type="noConversion"/>
  </si>
  <si>
    <t>董事对公司重大事项知情</t>
    <phoneticPr fontId="3" type="noConversion"/>
  </si>
  <si>
    <t>运行控制</t>
    <phoneticPr fontId="3" type="noConversion"/>
  </si>
  <si>
    <t>董事会会议发言及表决情况</t>
  </si>
  <si>
    <t>董事会会议对议案进行详细说明</t>
    <phoneticPr fontId="3" type="noConversion"/>
  </si>
  <si>
    <t>董事相互尊重，积极充分地讨论议案</t>
    <phoneticPr fontId="3" type="noConversion"/>
  </si>
  <si>
    <t>董事积极发言并提出有价值的专业性意见或建议</t>
    <phoneticPr fontId="3" type="noConversion"/>
  </si>
  <si>
    <t>董事会对公司战略目标和业务计划执行情况的定期审查</t>
  </si>
  <si>
    <t>董事会制定清晰的公司战略目标并定期审查</t>
    <phoneticPr fontId="3" type="noConversion"/>
  </si>
  <si>
    <t>董事会定期审查管理层对业务、财务计划的执行情况</t>
    <phoneticPr fontId="3" type="noConversion"/>
  </si>
  <si>
    <t>公司经营预算和财务预算的制定情况</t>
  </si>
  <si>
    <t>董事会及时、认真制定公司经营预算和财务预算</t>
    <phoneticPr fontId="3" type="noConversion"/>
  </si>
  <si>
    <t>董事会对公司风险状况的定期评估</t>
  </si>
  <si>
    <t>董事会积极推动公司建立风险管理体系</t>
    <phoneticPr fontId="3" type="noConversion"/>
  </si>
  <si>
    <t>要求管理层定期报告风险管理工作及公司风险状况</t>
    <phoneticPr fontId="3" type="noConversion"/>
  </si>
  <si>
    <t>定期对公司风险状况进行全面评估并跟踪整改情况</t>
    <phoneticPr fontId="3" type="noConversion"/>
  </si>
  <si>
    <t>董事长与总经理的沟通协调</t>
  </si>
  <si>
    <t>董事长与总经理间工作沟通配合顺畅、协调</t>
    <phoneticPr fontId="3" type="noConversion"/>
  </si>
  <si>
    <t>专业委员会运作情况</t>
  </si>
  <si>
    <t>及时召开会议对重大事项进行专题审议</t>
    <phoneticPr fontId="3" type="noConversion"/>
  </si>
  <si>
    <t>对重大事项进行深入讨论形成专业意见并对风险作充分提示</t>
    <phoneticPr fontId="3" type="noConversion"/>
  </si>
  <si>
    <t>独立董事的独立性</t>
  </si>
  <si>
    <t>独立董事有充分的独立性</t>
    <phoneticPr fontId="3" type="noConversion"/>
  </si>
  <si>
    <t>独立董事的勤勉尽职情况</t>
  </si>
  <si>
    <t>独立董事对重大事项资料进行认真审议</t>
    <phoneticPr fontId="3" type="noConversion"/>
  </si>
  <si>
    <t>能有效的利用自己的知识、经验和专业技术，帮助公司解决所面临的问题</t>
    <phoneticPr fontId="3" type="noConversion"/>
  </si>
  <si>
    <t>能与其他董事进行有效沟通，并保持独立判断</t>
    <phoneticPr fontId="3" type="noConversion"/>
  </si>
  <si>
    <t>独立董事说明弃权或反对的原因</t>
    <phoneticPr fontId="3" type="noConversion"/>
  </si>
  <si>
    <t>法人事务管理情况</t>
    <phoneticPr fontId="3" type="noConversion"/>
  </si>
  <si>
    <t>资本规划和资本管理合理</t>
    <phoneticPr fontId="3" type="noConversion"/>
  </si>
  <si>
    <t>业务范围变更符合要求</t>
    <phoneticPr fontId="3" type="noConversion"/>
  </si>
  <si>
    <t>变更营业场所经保监会审批</t>
    <phoneticPr fontId="3" type="noConversion"/>
  </si>
  <si>
    <t>住所变更及时报备</t>
    <phoneticPr fontId="3" type="noConversion"/>
  </si>
  <si>
    <t>公司章程、股东名册及工商登记文件与实际情况一致</t>
    <phoneticPr fontId="3" type="noConversion"/>
  </si>
  <si>
    <t>股权管理情况</t>
    <phoneticPr fontId="3" type="noConversion"/>
  </si>
  <si>
    <t>无股权委托代持行为</t>
    <phoneticPr fontId="3" type="noConversion"/>
  </si>
  <si>
    <t>股权没有频繁、高比例质押</t>
    <phoneticPr fontId="3" type="noConversion"/>
  </si>
  <si>
    <t>及时将公司股东的控股股东、实际控制人及其变更情况和股东之间的关联关系报告保监会</t>
    <phoneticPr fontId="3" type="noConversion"/>
  </si>
  <si>
    <t>按照《保险公司股权管理办法》第22条要求，将股东相关事项及时报告保监会</t>
    <phoneticPr fontId="3" type="noConversion"/>
  </si>
  <si>
    <t>关联交易管理情况</t>
  </si>
  <si>
    <t>收集并及时更正关联方信息</t>
    <phoneticPr fontId="3" type="noConversion"/>
  </si>
  <si>
    <t>资金运用关联交易符合比例要求</t>
    <phoneticPr fontId="3" type="noConversion"/>
  </si>
  <si>
    <t>关联交易按照相关规定进行信息披露</t>
    <phoneticPr fontId="3" type="noConversion"/>
  </si>
  <si>
    <t>关联交易按规定进行内部审查</t>
    <phoneticPr fontId="3" type="noConversion"/>
  </si>
  <si>
    <t>每年对关联交易进行审计</t>
    <phoneticPr fontId="3" type="noConversion"/>
  </si>
  <si>
    <t>信息披露管理</t>
    <phoneticPr fontId="3" type="noConversion"/>
  </si>
  <si>
    <t>建立信息披露内部管理制度并报保监会</t>
    <phoneticPr fontId="3" type="noConversion"/>
  </si>
  <si>
    <t>指定专人负责信息披露事务</t>
    <phoneticPr fontId="3" type="noConversion"/>
  </si>
  <si>
    <t>根据保监会监管要求，在保险公司网站等信息披露载体上披露公司治理、风险管理、重大关联交易、重大事项和资金运用关联交易等信息</t>
    <phoneticPr fontId="3" type="noConversion"/>
  </si>
  <si>
    <t>考核激励</t>
    <phoneticPr fontId="3" type="noConversion"/>
  </si>
  <si>
    <t>董事、监事及高管薪酬水平</t>
  </si>
  <si>
    <t>薪酬水平与公司业务规模、盈利状况相匹配</t>
    <phoneticPr fontId="3" type="noConversion"/>
  </si>
  <si>
    <t>高管人员绩效考核指标的合理性</t>
  </si>
  <si>
    <t>考核指标纳入偿付能力、企业价值、业务质量及风险等因素</t>
    <phoneticPr fontId="3" type="noConversion"/>
  </si>
  <si>
    <t>考核结果能科学反映高管人员对公司的贡献</t>
    <phoneticPr fontId="3" type="noConversion"/>
  </si>
  <si>
    <t>董事会对高管业绩考核指标体系建立及执行的参与度</t>
  </si>
  <si>
    <t>高管人员薪酬考核指标由薪酬委员会主导制定</t>
    <phoneticPr fontId="3" type="noConversion"/>
  </si>
  <si>
    <t>薪酬管理情况</t>
  </si>
  <si>
    <t>薪酬管理程序严格明确</t>
    <phoneticPr fontId="3" type="noConversion"/>
  </si>
  <si>
    <t>不存在在业务计划执行末期调整考核标准的情形</t>
    <phoneticPr fontId="3" type="noConversion"/>
  </si>
  <si>
    <t>董事会自我评价制度的建立及执行情况</t>
  </si>
  <si>
    <t>已建立和落实董事会自我评价制度</t>
    <phoneticPr fontId="3" type="noConversion"/>
  </si>
  <si>
    <t>职务消费制度的建立及执行情况</t>
  </si>
  <si>
    <t>有明确制度规定高管人员职务消费并有效执行</t>
    <phoneticPr fontId="3" type="noConversion"/>
  </si>
  <si>
    <t>监督问责</t>
    <phoneticPr fontId="3" type="noConversion"/>
  </si>
  <si>
    <t>监事会对董事会决议及董事和高管人员行为的监督</t>
  </si>
  <si>
    <t>监事会能够对董事会决议提出意见或建议</t>
    <phoneticPr fontId="3" type="noConversion"/>
  </si>
  <si>
    <t>监事会对高管人员进行监督谈话或调查</t>
    <phoneticPr fontId="3" type="noConversion"/>
  </si>
  <si>
    <t>管理层及分支机构高管人员离任审计</t>
  </si>
  <si>
    <t>对管理层或分公司高管人员进行离任审计</t>
    <phoneticPr fontId="3" type="noConversion"/>
  </si>
  <si>
    <t>内审的健全性和独立性</t>
  </si>
  <si>
    <t>审计人员数量和结构符合监管要求或满足工作需要</t>
    <phoneticPr fontId="3" type="noConversion"/>
  </si>
  <si>
    <t>采取审计集中制或垂直管理</t>
    <phoneticPr fontId="3" type="noConversion"/>
  </si>
  <si>
    <t>内审工作的覆盖面和频率</t>
  </si>
  <si>
    <t>不存在主要业务单位连续两年未被审计的情况</t>
    <phoneticPr fontId="3" type="noConversion"/>
  </si>
  <si>
    <t>内审结果与薪酬考核、职务任免和责任追究的关联性</t>
  </si>
  <si>
    <t>建立了审计问题整改的跟踪、督促制度</t>
    <phoneticPr fontId="3" type="noConversion"/>
  </si>
  <si>
    <t>内审结果在被审计对象的考核任免中得到体现</t>
    <phoneticPr fontId="3" type="noConversion"/>
  </si>
  <si>
    <t>外部审计</t>
  </si>
  <si>
    <t>及时出具外审报告</t>
    <phoneticPr fontId="3" type="noConversion"/>
  </si>
  <si>
    <t>内部举报机制的健全性和有效性</t>
  </si>
  <si>
    <t>建立通畅的举报机制并及时处理举报</t>
    <phoneticPr fontId="3" type="noConversion"/>
  </si>
  <si>
    <t>重要工作岗位的委派制度</t>
  </si>
  <si>
    <t>建立人事、财务和审计等重要岗位的委派制度</t>
    <phoneticPr fontId="3" type="noConversion"/>
  </si>
  <si>
    <t>董事、监事及高管人员问责制度的建立和执行</t>
  </si>
  <si>
    <t>董事和高管人员没有违反公司章程、股东会决议及董事会决议的情形</t>
    <phoneticPr fontId="3" type="noConversion"/>
  </si>
  <si>
    <t>有明确制度规定董事、监事及高管人员的责任追究</t>
    <phoneticPr fontId="3" type="noConversion"/>
  </si>
  <si>
    <t>自评得分</t>
    <phoneticPr fontId="3" type="noConversion"/>
  </si>
  <si>
    <t>填报说明：</t>
  </si>
  <si>
    <t>1.由各公司在“自我评价”栏下填写“是”或“否”,其中，“是”得分，“否”不得分。</t>
    <phoneticPr fontId="3" type="noConversion"/>
  </si>
  <si>
    <t>2.人寿集团和出口信保对董事会的相关指标不予填报。阳光集团、太保集团、平安集团、中再集团及太平集团5家集团(控股)公司的下属子公司对独立董事、董事会专业委员会的相关指标可以不予填报。财产险公司、资产管理公司可以不填写总精算师指标。外资保险公司对独立董事、专业委员会、监事会相关指标可以暂不填报。外国保险公司在中国设立的分公司不参与评价。</t>
    <phoneticPr fontId="3" type="noConversion"/>
  </si>
  <si>
    <t>3.主要负责人包括董事长、首席执行官、总经理、财务负责人及与上述人员具有相同或相似职权的人。</t>
    <phoneticPr fontId="3" type="noConversion"/>
  </si>
  <si>
    <t>4.主要股东是指持有公司15%以上股份（上市公司为5%）或其持有股份不足15%（上市公司为5%），但以其出资额或持有的股份所享有的表决权足以对公司股东（大）会、董事会决议产生重大影响的股东。</t>
    <phoneticPr fontId="3" type="noConversion"/>
  </si>
  <si>
    <t>5.主要股东频繁变更是指在过去两年内，公司有两家以上主要股东的持股比例发生变化；董事和高管频繁变动是指在过去两年内公司有25%的董事和高管离职、职级或职责分工发生变动。</t>
    <phoneticPr fontId="3" type="noConversion"/>
  </si>
  <si>
    <t>6.关键岗位是指合规负责人、总精算师、财务负责人、审计责任人和财务部门负责人等。</t>
    <phoneticPr fontId="3" type="noConversion"/>
  </si>
  <si>
    <t>7.重大事项是指涉及利润分配、薪酬、董事和高管任免及占公司净资产的百分之一以上的重大投资及资产处置事项。</t>
    <phoneticPr fontId="3" type="noConversion"/>
  </si>
  <si>
    <t>8.“明确”、“清晰”、“胜任”、“合理”、“充分”等主观性指标的得分标准为：符合相关法律法规要求；与保险公司经营管理要求相匹配；独立董事认可。</t>
    <phoneticPr fontId="3" type="noConversion"/>
  </si>
  <si>
    <t>9.“频繁”指次数大于一次。</t>
    <phoneticPr fontId="3" type="noConversion"/>
  </si>
  <si>
    <t>10.各公司应按照实际情况开展自评，确保评分的真实性和准确性。</t>
    <phoneticPr fontId="3" type="noConversion"/>
  </si>
  <si>
    <t>11.各公司应于每年5月15日前报送《保险公司治理报告》时报送本表，《关于进一步规范报送〈保险公司治理报告〉的通知》（保监发改〔2015〕95号）附件中的《保险法人机构公司治理自评表》作废</t>
    <phoneticPr fontId="3" type="noConversion"/>
  </si>
  <si>
    <t>设行业平均水平为θ，待评价保险公司的风险事件合计次数为x，本项得分＝Min{ 10,  10-10×(x-θ)/θ }。</t>
    <phoneticPr fontId="3" type="noConversion"/>
  </si>
  <si>
    <t>风险事件合计次数（10分）</t>
    <phoneticPr fontId="3" type="noConversion"/>
  </si>
  <si>
    <t>未发现</t>
  </si>
  <si>
    <t>未发生</t>
    <phoneticPr fontId="12" type="noConversion"/>
  </si>
  <si>
    <t>人事铂金系统抽取数据</t>
  </si>
  <si>
    <t>各渠道提供</t>
  </si>
  <si>
    <t>HR提供报表</t>
    <phoneticPr fontId="3" type="noConversion"/>
  </si>
  <si>
    <t>会议通知</t>
    <phoneticPr fontId="3" type="noConversion"/>
  </si>
  <si>
    <t>1季度投资收益率计算错误，2季度已更正</t>
    <phoneticPr fontId="3" type="noConversion"/>
  </si>
  <si>
    <t>单证月报，台账</t>
    <phoneticPr fontId="3" type="noConversion"/>
  </si>
  <si>
    <t>取自Oracle财务系统老准则保费收入口径</t>
  </si>
  <si>
    <t>公司OA</t>
  </si>
  <si>
    <t>附件8：保险公司信息系统相关的操作风险评价标准</t>
    <phoneticPr fontId="12" type="noConversion"/>
  </si>
  <si>
    <t>评价指标</t>
    <phoneticPr fontId="3" type="noConversion"/>
  </si>
  <si>
    <t>评价点</t>
    <phoneticPr fontId="3" type="noConversion"/>
  </si>
  <si>
    <t>评分标准</t>
    <phoneticPr fontId="3" type="noConversion"/>
  </si>
  <si>
    <t>（一）信息化治理（本项目采取百分制，最后综合得分×15%，为该项监管内容的最终评分。）</t>
    <phoneticPr fontId="3" type="noConversion"/>
  </si>
  <si>
    <t>信息化目标与规划（10分）</t>
  </si>
  <si>
    <t>（1）工作目标与规划制定</t>
    <phoneticPr fontId="3" type="noConversion"/>
  </si>
  <si>
    <t>根据业务发展目标明确信息化目标和规划，3分；信息化规划得到批准，2分。</t>
  </si>
  <si>
    <t>（2）规划实施与定期评估</t>
    <phoneticPr fontId="3" type="noConversion"/>
  </si>
  <si>
    <t>根据信息化规划开展工作，3分；每年进行一次评估和审查，2分。</t>
  </si>
  <si>
    <t>信息化治理架构（40分）</t>
  </si>
  <si>
    <t>（1）董事会职责</t>
    <phoneticPr fontId="3" type="noConversion"/>
  </si>
  <si>
    <t>董事会对信息化工作重大决策，4分；掌握公司主要的信息化工作情况，每年审阅信息化工作年度报告，4分。</t>
  </si>
  <si>
    <t>（2）信息化工作委员会</t>
    <phoneticPr fontId="3" type="noConversion"/>
  </si>
  <si>
    <t>按照要求设立信息化工作委员会，4分；履行信息化工作委员会的各项职责，4分。</t>
  </si>
  <si>
    <t>（3）首席信息官</t>
    <phoneticPr fontId="3" type="noConversion"/>
  </si>
  <si>
    <t>设计首席信息官，4分；首席信息官履行各项职责，4分。</t>
  </si>
  <si>
    <t>（4）信息技术部门</t>
    <phoneticPr fontId="3" type="noConversion"/>
  </si>
  <si>
    <t>设立专职信息技术部门，4分；信息技术部门全面履行职责，4分。</t>
  </si>
  <si>
    <t>（5）信息化人员配备</t>
    <phoneticPr fontId="3" type="noConversion"/>
  </si>
  <si>
    <t>查看组织架构岗位设置与岗位职责说明，4分；岗位分离和职责权限限制，4分。</t>
  </si>
  <si>
    <t>信息化发展环境（50分）</t>
    <phoneticPr fontId="3" type="noConversion"/>
  </si>
  <si>
    <t>（1）信息化水平</t>
    <phoneticPr fontId="3" type="noConversion"/>
  </si>
  <si>
    <t>核心业务、财务、经营管理信息化，5分；核心业务系统、财务系统、经营管理系统无缝对接，5分。</t>
  </si>
  <si>
    <t>（2）信息化工作经费</t>
    <phoneticPr fontId="3" type="noConversion"/>
  </si>
  <si>
    <t>预算能够支撑信息化规划，10分。</t>
  </si>
  <si>
    <t>（3）信息化工作考核</t>
    <phoneticPr fontId="3" type="noConversion"/>
  </si>
  <si>
    <t>建立了信息化工作评价体系，5分；开展了信息化工作评价。5分。</t>
  </si>
  <si>
    <t>（4）信息技术能力</t>
    <phoneticPr fontId="3" type="noConversion"/>
  </si>
  <si>
    <t>具有专业的技术研究组织或者团队，或者结合业务自身需求积极引入新技术应用：4分；通过国家/国际标准组织认证：每通过一项得1分，最高3分；参加制定行业技术标准：每参与一项得1分，最高3分。</t>
  </si>
  <si>
    <t>（5）信息化人力资源规划与培训</t>
    <phoneticPr fontId="3" type="noConversion"/>
  </si>
  <si>
    <t>信息化人员比例合理，5分；培训考核，5分。</t>
    <phoneticPr fontId="3" type="noConversion"/>
  </si>
  <si>
    <t>（二）信息化风险管理（本项目采用百分制，最后综合得分×15%，为该项监管内容的最终评分。）</t>
    <phoneticPr fontId="3" type="noConversion"/>
  </si>
  <si>
    <t>信息化风险管理制度（20分）</t>
    <phoneticPr fontId="3" type="noConversion"/>
  </si>
  <si>
    <t>（1）风险管理制度体系</t>
    <phoneticPr fontId="3" type="noConversion"/>
  </si>
  <si>
    <t>具备规范的风险管理制度，覆盖信息化主要风险，8分；管理制度定期评审，4分；具备执行层面的技术标准和操作流程，8分。</t>
    <phoneticPr fontId="3" type="noConversion"/>
  </si>
  <si>
    <t>信息化风险识别与控制（40分）</t>
    <phoneticPr fontId="3" type="noConversion"/>
  </si>
  <si>
    <t>（1）技术风险</t>
    <phoneticPr fontId="3" type="noConversion"/>
  </si>
  <si>
    <t>（2）合规风险</t>
    <phoneticPr fontId="3" type="noConversion"/>
  </si>
  <si>
    <t>本年度无违法违规行为，8分。</t>
  </si>
  <si>
    <t>（3）声誉风险</t>
    <phoneticPr fontId="3" type="noConversion"/>
  </si>
  <si>
    <t>建立了与信息技术有关的客户投诉处理和调解的管理机制，4分；建立了与信息技术有关的声誉危机应对机制，4分。</t>
  </si>
  <si>
    <t>（4）知识产权</t>
    <phoneticPr fontId="3" type="noConversion"/>
  </si>
  <si>
    <t>软硬件产品均为正版化，4分；对自主研发的产品进行知识产权保护，4分。</t>
  </si>
  <si>
    <t>（5）风险提示与发布</t>
    <phoneticPr fontId="3" type="noConversion"/>
  </si>
  <si>
    <t>建立了信息化风险提示与发布的管理制度，4分；对近期发生过的风险事件已经按照保监会相关规定要求进行了排查与报送，4分。</t>
  </si>
  <si>
    <t>信息化风险内控（40分）</t>
    <phoneticPr fontId="3" type="noConversion"/>
  </si>
  <si>
    <t>（1）风险管理策略检查</t>
    <phoneticPr fontId="3" type="noConversion"/>
  </si>
  <si>
    <t>建立了对信息化风险管理策略执行情况的检查机制，4分；具有信息化风险管理策略执行情况的检查记录，4分。</t>
  </si>
  <si>
    <t>（2）风险评估</t>
    <phoneticPr fontId="3" type="noConversion"/>
  </si>
  <si>
    <t>建立了风险评估制度，4分；每年至少开展一次信息化风险评估：4分。</t>
  </si>
  <si>
    <t>（3）风险处置</t>
    <phoneticPr fontId="3" type="noConversion"/>
  </si>
  <si>
    <t>建立了风险处置流程，4分；建立了风险管理持续改进机制，4分。</t>
    <phoneticPr fontId="3" type="noConversion"/>
  </si>
  <si>
    <t>（4）与风险管理部门沟通</t>
    <phoneticPr fontId="3" type="noConversion"/>
  </si>
  <si>
    <t>建立了与风险管理相关职能部门沟通的机制，4分；具有与风险管理相关职能部门进行沟通的记录，4分。</t>
  </si>
  <si>
    <t>（5）风险监测和计量机制</t>
    <phoneticPr fontId="3" type="noConversion"/>
  </si>
  <si>
    <t>建立了风险监测和计量的方法，4分；有监测和计量记录，4分。</t>
  </si>
  <si>
    <t>（三）信息安全（本项目采用百分制，最后综合得分×20%，为该项监管内容的最终评分。）</t>
    <phoneticPr fontId="3" type="noConversion"/>
  </si>
  <si>
    <t>信息安全等级保护机制（10分）</t>
  </si>
  <si>
    <t>（1）定级备案</t>
    <phoneticPr fontId="3" type="noConversion"/>
  </si>
  <si>
    <t>对重要信息系统进行定级并备案，5分。</t>
  </si>
  <si>
    <t>（2）测评整改</t>
    <phoneticPr fontId="3" type="noConversion"/>
  </si>
  <si>
    <t>聘请具有资质的测评机构进行测评并通过，5分。</t>
  </si>
  <si>
    <t>物理安全（10分）</t>
  </si>
  <si>
    <t>（1）机房设施</t>
    <phoneticPr fontId="3" type="noConversion"/>
  </si>
  <si>
    <t>重要基础设施建设应符合国家《电子信息系统机房设计规范》A级要求，具备完善的供电、访问控制、防电磁、防雷、防水、防火、温湿度控制等措施，并配备环境自动监控系统，5分。</t>
  </si>
  <si>
    <t>（2）访问控制</t>
  </si>
  <si>
    <t>对物理区域进行合理的划分，2分；建立了物理安全访问控制机制，3分。</t>
  </si>
  <si>
    <t>网络安全（15分）</t>
  </si>
  <si>
    <t>（1）网络结构</t>
  </si>
  <si>
    <t>划分合理的网络区域，3分；具有网络带宽保障和设备、线路冗余备份措施，2分。</t>
  </si>
  <si>
    <t>（2）网络防护</t>
  </si>
  <si>
    <t>具有网络边界隔离措施，3分；具有网络安全防范措施与设备，2分。</t>
  </si>
  <si>
    <t>（3）网络安全审计</t>
  </si>
  <si>
    <t>具有网络审计日志记录，5分。</t>
  </si>
  <si>
    <t>主机安全（15分）</t>
  </si>
  <si>
    <t>（1）主机安全防护</t>
  </si>
  <si>
    <t>具有主机安全防护措施，主要包括系统最小化安装和补丁管理、身份鉴别、访问控制、恶意代码防范、资源控制等措施，5分；具有主机监控措施，5分。</t>
  </si>
  <si>
    <t>（2）主机安全审计</t>
  </si>
  <si>
    <t>具有审计日志记录，5分。</t>
  </si>
  <si>
    <t>应用安全（10分）</t>
  </si>
  <si>
    <t>（1）应用安全防护</t>
  </si>
  <si>
    <t>具有身份鉴别，访问和资源控制，通信安全等措施，5分。</t>
  </si>
  <si>
    <t>（2）应用安全审计</t>
  </si>
  <si>
    <t>数据安全（15分）</t>
  </si>
  <si>
    <t>（1）数据安全防护</t>
  </si>
  <si>
    <t>（2）数据管理与使用</t>
  </si>
  <si>
    <t>具有重要数据使用与流转的控制措施，3分。</t>
  </si>
  <si>
    <t>（3）重要数据安全审计</t>
  </si>
  <si>
    <t>具有重要数据安全审计机制与定期（至少每年一次）审计报告，2分。</t>
  </si>
  <si>
    <t>密码与算法（10分）</t>
  </si>
  <si>
    <t>（1）国产密码算法</t>
  </si>
  <si>
    <t>电子保单及保险各领域应用系统使用国产密码算法和支持国产密码算法的密码设备产品。在华外资机构按照“法人为主、标准引导、自主选择”的原则开展国产密码的应用推广工作。</t>
  </si>
  <si>
    <t>安全评估与自查（10分）</t>
  </si>
  <si>
    <t>（1）对外部安全风险态势和事件的响应</t>
    <phoneticPr fontId="3" type="noConversion"/>
  </si>
  <si>
    <t>具有外部重大安全风险事件排查记录和应对措施，4分。</t>
  </si>
  <si>
    <t>（2）信息安全控制措施执行情况的检查</t>
    <phoneticPr fontId="3" type="noConversion"/>
  </si>
  <si>
    <t>对安全策略、标准及制度的执行进行跟踪和检查的记录，6分。</t>
  </si>
  <si>
    <t>信息安全培训（5分）</t>
  </si>
  <si>
    <t>（1）信息安全培训</t>
  </si>
  <si>
    <t>有定期（至少每年一次）全员信息化安全方面的培训制度，2分；有定期全员培训的记录，3分。</t>
  </si>
  <si>
    <t>（四）信息系统开发与测试（本项目采用百分制，最后综合得分×10%，为该项监管内容的最终评分。）</t>
    <phoneticPr fontId="3" type="noConversion"/>
  </si>
  <si>
    <t>项目管理（50 分）</t>
  </si>
  <si>
    <t>（1）项目管理制度</t>
  </si>
  <si>
    <t>具有项目管理制度，5分；具有项目管理制度执行记录，5分。</t>
  </si>
  <si>
    <t>（2）项目风险评估</t>
  </si>
  <si>
    <t>（3）项目风险控制</t>
  </si>
  <si>
    <t>（4）项目群管理</t>
  </si>
  <si>
    <t>建立了项目群协调机制（如项目管理办公室PMO），2分；具有项目群管理执行流程，2分；具有子项目沟通协调机制，1分。</t>
  </si>
  <si>
    <t>开发管理（20 分）</t>
  </si>
  <si>
    <t>（1）需求和技术架构管理</t>
    <phoneticPr fontId="3" type="noConversion"/>
  </si>
  <si>
    <t>具有需求分析方案和可行性报告，2分；具有技术架构管理机制，2分。</t>
  </si>
  <si>
    <t>（2）开发质量保证</t>
  </si>
  <si>
    <t>（3）开发、测试、生产环境相互分离</t>
    <phoneticPr fontId="3" type="noConversion"/>
  </si>
  <si>
    <t xml:space="preserve">（4）开发过程检查 </t>
  </si>
  <si>
    <t>具有开发过程的检查记录，3分；具有完整性、恶意代码和后门程序的检查记录，2分；制定信息系统代码编写安全规范，3分。</t>
  </si>
  <si>
    <t xml:space="preserve">测试管理（20分） </t>
  </si>
  <si>
    <t>（1）测试的充分性</t>
  </si>
  <si>
    <t>具有完整的测试记录，测试包括单元测试、集成测试和验收测试；具有测试充分性的审核报告，4分。</t>
    <phoneticPr fontId="3" type="noConversion"/>
  </si>
  <si>
    <t xml:space="preserve">（2）测试的独立性 </t>
  </si>
  <si>
    <t>建立了独立于开发队伍的测试团队，4分；测试团队的测试人员中参与了项目开发活动，或测试用例由开发人员参与编写，本评价点不得分。</t>
  </si>
  <si>
    <t>（3）功能测试</t>
  </si>
  <si>
    <t>（4）非功能测试</t>
  </si>
  <si>
    <t>具有完整的非功能测试报告，非功能测试主要包括：配置和安装测试、兼容性和互操作性测试、文档和帮助测试、错误恢复测试、性能测试、可靠性测试、保密性测试、压力测试、可用性测试、容量测试，4分。</t>
  </si>
  <si>
    <t>（5）安全性测试</t>
  </si>
  <si>
    <t>具有完整的安全性测试文档，4分。</t>
  </si>
  <si>
    <t>验收和发布管理（10分）</t>
  </si>
  <si>
    <t>（1）系统测试验收</t>
  </si>
  <si>
    <t>系统发布前对测试的过程和充分性进行了审查并对测试质量进行了评估，2分。</t>
  </si>
  <si>
    <t>（2）系统版本交付物完整性验收</t>
  </si>
  <si>
    <t>对系统版本交付物的完整性进行了检查，检查的内容应该包括软件开发文档、发布计划、操作手册、部署环境和应急预案等文档，2分。</t>
  </si>
  <si>
    <t xml:space="preserve">（3）试运行 </t>
  </si>
  <si>
    <t xml:space="preserve">（4）发布管理 </t>
  </si>
  <si>
    <t>具有软件发布相关过程的文档以及上线审批记录，如版本计划、流程审核、用户通知等软件发布相关过程的文档以及上线审批记录，3分。</t>
    <phoneticPr fontId="3" type="noConversion"/>
  </si>
  <si>
    <t>（五）信息系统运行（本项目采取百分制，最后综合得分×18%，为该项监管内容的最终评分。）</t>
    <phoneticPr fontId="3" type="noConversion"/>
  </si>
  <si>
    <t>系统管理（20 分）</t>
  </si>
  <si>
    <t>（1）系统账户管理</t>
  </si>
  <si>
    <t>（2）系统性能监控</t>
  </si>
  <si>
    <t>建立了监控系统，并设定了系统重要监控参数和预警阈值（至少包含：CPU利用率、网络利用率、存储容量、系统状态），3分；具有峰值报警记录，具有性能状况、趋势的分析报告，2分。</t>
  </si>
  <si>
    <t>（3）日志管理与分析</t>
  </si>
  <si>
    <t>按规定保存日志记录，3分；具有定期分析日志的记录，2分。</t>
  </si>
  <si>
    <t>（4）运行报告</t>
  </si>
  <si>
    <t>具有重要系统运行报告；3分。具有将运行报告上报管理层的记录，2分。</t>
    <phoneticPr fontId="3" type="noConversion"/>
  </si>
  <si>
    <t>配置与变更管理（20分）</t>
  </si>
  <si>
    <t>（1）信息系统配置管理</t>
  </si>
  <si>
    <t>（2）信息系统变更管理</t>
  </si>
  <si>
    <t>具有变更管理制度与流程，3分；具有变更流程记录，4分；具有变更的应急回退计划，3分。</t>
  </si>
  <si>
    <t>事件管理（15分）</t>
  </si>
  <si>
    <t>（1）服务台管理</t>
  </si>
  <si>
    <t>建立了服务台及管理制度，2分；有服务台服务过程记录文档，3分。</t>
  </si>
  <si>
    <t>（2）事件与问题管理</t>
  </si>
  <si>
    <t>建立了事件与问题管理机制，4分；有问题管理处理过程记录文档，2分；建立了知识库，4分。</t>
  </si>
  <si>
    <t>基础设施运行管理（15分）</t>
  </si>
  <si>
    <t>（1）物理环境运行管理</t>
  </si>
  <si>
    <t>对物理设施的运行状态进行了管理，5分。</t>
  </si>
  <si>
    <t>（2）网络运行管理</t>
  </si>
  <si>
    <t>按照各类系统的重要性，定义了网络优先服务等级，2分；对网络性能进行了监控，3分。</t>
  </si>
  <si>
    <t>（3）设备与介质管理</t>
  </si>
  <si>
    <t>可用性管理（15分）</t>
  </si>
  <si>
    <t>（1）信息系统备份恢复管理</t>
  </si>
  <si>
    <t>建立了管理制度并有备份恢复记录，5分。</t>
  </si>
  <si>
    <t>（2）信息系统运行的风险排查</t>
  </si>
  <si>
    <t>具有排查记录，5分。</t>
  </si>
  <si>
    <t>（3）单点故障的排查</t>
  </si>
  <si>
    <t>运行维护管理平台(15分)</t>
    <phoneticPr fontId="3" type="noConversion"/>
  </si>
  <si>
    <t>（1）运行维护管理平台</t>
  </si>
  <si>
    <t>是否建立了运行维护管理平台，5分；所有运维工单是否通过运维平台进行电子化流转，5分；是否定期对运维工作进行评估与改进，5分。</t>
    <phoneticPr fontId="3" type="noConversion"/>
  </si>
  <si>
    <t>（六）灾难恢复（本项目采取百分制，最后综合得分×7%，为该项监管内容的最终评分。）</t>
    <phoneticPr fontId="3" type="noConversion"/>
  </si>
  <si>
    <t>需求分析和策略制定（20）</t>
  </si>
  <si>
    <t>（1）需求分析和风险分析</t>
  </si>
  <si>
    <t xml:space="preserve">具有内容全面的风险分析和业务影响分析报告，3分 ；灾难恢复需求再分析周期不超过3年，2分。                       </t>
  </si>
  <si>
    <t>（2）灾难恢复范围</t>
  </si>
  <si>
    <t>具有明确的灾难恢复范围，5分。</t>
  </si>
  <si>
    <t>（3）灾难恢复目标</t>
  </si>
  <si>
    <t>明确了应用系统的灾难恢复能力等级，以及具体的灾难恢复指标，至少包括RTO和RPO，5分。</t>
  </si>
  <si>
    <t>（4）灾难恢复策略</t>
  </si>
  <si>
    <t>具有完善的灾难恢复策略，3分；具有策略审核批准材料，2分。</t>
  </si>
  <si>
    <t>灾难恢复建设模式选择与备案（10分）</t>
  </si>
  <si>
    <t>（1）灾难恢复建设模式</t>
  </si>
  <si>
    <t>自建模式，5分；外包模式，且满足资质要求和外包管理要求，5分；共建模式，且满足共建模式要求，5分。保险机构选择三种建设模式中的一种或几种，本评价点最高得分不超过5分。</t>
    <phoneticPr fontId="3" type="noConversion"/>
  </si>
  <si>
    <t>（2）灾备中心设立备案</t>
  </si>
  <si>
    <t>已向中国保监会备案，5分。</t>
    <phoneticPr fontId="3" type="noConversion"/>
  </si>
  <si>
    <t>灾备中心建设（20分）</t>
  </si>
  <si>
    <t>（1）灾备中心选址</t>
  </si>
  <si>
    <t>灾难备份中心在中华人民共和国境内，5分。</t>
  </si>
  <si>
    <t>（2）灾备中心基础设施</t>
  </si>
  <si>
    <t>有完善的基础设施，5分。</t>
  </si>
  <si>
    <t>（3）灾备系统技术方案</t>
  </si>
  <si>
    <t>制定灾备系统技术方案，4分；定期灾备恢复测试，3分；技术支持体系完善，3分。</t>
  </si>
  <si>
    <t>灾备中心运维（20分）</t>
  </si>
  <si>
    <t>（1）运维制度与流程</t>
  </si>
  <si>
    <t xml:space="preserve">具有完善的运维管理制度和流程，5分。                                                       </t>
  </si>
  <si>
    <t>（2）运维队伍</t>
  </si>
  <si>
    <t>具有专业的运维队伍，5分。</t>
  </si>
  <si>
    <t>（3）检测维护</t>
  </si>
  <si>
    <t>具有定期检测和维护的记录，5分。</t>
  </si>
  <si>
    <t>（4）监控</t>
  </si>
  <si>
    <t>具有监控机制和记录，5分。</t>
  </si>
  <si>
    <t>灾难恢复预案建立与演练（20分）</t>
  </si>
  <si>
    <t>（1）灾难恢复预案</t>
  </si>
  <si>
    <t>预案的结构、内容和步骤清晰明确，其中：组织职责，2分； 灾难恢复过程，2分；所需资料和配套资源，2分。</t>
  </si>
  <si>
    <t>（2）预案演练</t>
  </si>
  <si>
    <t>具有演练记录，6分；具有总结评估报告，4分；频次低于要求，此评价点（分值）得分不超过5分。</t>
  </si>
  <si>
    <t>（3）预案维护</t>
  </si>
  <si>
    <t>预案有专人维护，1分；预案有更新机制和记录，2分；每年进行预案审查和批准，1分。</t>
  </si>
  <si>
    <t>应急响应和灾难恢复（10分）</t>
  </si>
  <si>
    <t>（1）应急机制的建立</t>
  </si>
  <si>
    <t>具有应急指挥处置组织和机制，4分。</t>
  </si>
  <si>
    <t>（2）信息系统重建方案</t>
  </si>
  <si>
    <t>具有明确的信息系统重建方案，2分。</t>
  </si>
  <si>
    <t>（3）灾难恢复总结</t>
  </si>
  <si>
    <t xml:space="preserve">具有灾难恢复总结报告与修订，2分。                                                       </t>
  </si>
  <si>
    <t>（4）第三方应急管理</t>
  </si>
  <si>
    <t>具有与第三方应急沟通机制和协议，2分。</t>
  </si>
  <si>
    <t>（七）外包与采购管理（本项目采取百分制，最后综合得分×5%，为该项监管内容的最终评分。）</t>
    <phoneticPr fontId="3" type="noConversion"/>
  </si>
  <si>
    <t>信息技术安全可控能力（20分）</t>
  </si>
  <si>
    <t>（1）信息技术外包事项</t>
  </si>
  <si>
    <t>信息系统安全管理责任未外包；对涉及国家安全信息、本机构商业秘密，以及客户隐私等敏感内容的信息系统进行外包经过本机构信息化工作委员会批准；数据中心、信息技术基础设施准备实施外包时书面材料正式报告中国保监会，10分。</t>
  </si>
  <si>
    <t>（2）信息产品安全可控程度</t>
  </si>
  <si>
    <t>重要系统和关键部位安全可控率达到10%，得1分；达到20%；得2分；以此类推，最高得10分。</t>
  </si>
  <si>
    <t>外包与采购服务（50分）</t>
  </si>
  <si>
    <t>（1）外包与采购管理制度</t>
  </si>
  <si>
    <t>制定了外包管理制度，10分；有外包服务审核流程及内外部的审计，5分；重要设施外包已报备保监会，5分。</t>
  </si>
  <si>
    <t>（2）外包与采购过程</t>
  </si>
  <si>
    <t>外包与采购过程和记录符合管理制度，10分。</t>
  </si>
  <si>
    <t>（3）外包服务商考核评估</t>
  </si>
  <si>
    <t>具有对外包服务商财务状况、技术实力、安全资质、风险控制水平、诚信记录和成功案例等的考核评估记录，5分；具有对外包服务质量及外包风险的评估报告，5分。</t>
  </si>
  <si>
    <t>（4）外包服务商管理</t>
  </si>
  <si>
    <t xml:space="preserve">具有外包服务商服务水平、服务规范性等方面的管理机制和管理记录，10分。                                                     </t>
  </si>
  <si>
    <t>外包软件开发（30分）</t>
  </si>
  <si>
    <t>（1）软件质量检测</t>
  </si>
  <si>
    <t>具有测试记录，5分；具有验收报告，5分。</t>
    <phoneticPr fontId="3" type="noConversion"/>
  </si>
  <si>
    <t>（2）源代码审查</t>
  </si>
  <si>
    <t>具有源代码审查报告，10分。</t>
  </si>
  <si>
    <t>（3）开发文档管理</t>
  </si>
  <si>
    <t>具有需求分析、软件设计说明书、软件操作手册等开发文档，10分。</t>
    <phoneticPr fontId="3" type="noConversion"/>
  </si>
  <si>
    <t>（八）互联网保险（本项目采取百分制，最后综合得分×5%，为该项监管内容的最终评分。）</t>
    <phoneticPr fontId="3" type="noConversion"/>
  </si>
  <si>
    <t>技术资质条件（20分）</t>
  </si>
  <si>
    <t>网络接入地点</t>
  </si>
  <si>
    <t>网络接入地在中华人民共和国境内（不含港、澳、台地区），10分。</t>
  </si>
  <si>
    <t>互联网主管部门备案</t>
  </si>
  <si>
    <t>互联网保险业务网站依法取得互联网行业主管部门颁发的互联网信息服务增值电信业务经营许可证，或者在互联网行业主管部门完成网站备案，5分。</t>
  </si>
  <si>
    <t>第三方平台技术资质条件</t>
  </si>
  <si>
    <t>基于第三方平台开展互联网保险业务，确认第三方平台满足上述技术资质条件，5分。</t>
  </si>
  <si>
    <t>网站技术安全保障（60分）</t>
  </si>
  <si>
    <t>客户端安全</t>
  </si>
  <si>
    <t>客户端软件具有完整性、程序逻辑机密性和数据安全技术措施，3分；客户端软件定期进行评估，2分。</t>
  </si>
  <si>
    <t>交易认证手段</t>
  </si>
  <si>
    <t>具有身份鉴别、交易认证手段，5分；身份鉴别和交易认证手段应满足监管要求和业界规范，5分。</t>
  </si>
  <si>
    <t>交易请求验证</t>
  </si>
  <si>
    <t>交易具有请求入口和权限控制措施，5分 ；具有服务器端请求数据检查措施，5分。</t>
  </si>
  <si>
    <t>网络安全防护</t>
  </si>
  <si>
    <t>具有合理的网络安全防护措施，10分。</t>
  </si>
  <si>
    <t>定期风险评估</t>
  </si>
  <si>
    <t>每年进行风险评估，5分。</t>
  </si>
  <si>
    <t>数据安全保护</t>
  </si>
  <si>
    <t>具有保护客户端输入信息的技术措施，4分 ；具有保证机构返回到客户端重要信息完整性的技术措施，4分；具有防钓鱼欺诈措施，2分。</t>
  </si>
  <si>
    <t>支付指令安全控制</t>
  </si>
  <si>
    <t>具有确保交易指令安全的措施，10分。</t>
  </si>
  <si>
    <t>第三方平台网站技术安全保障</t>
  </si>
  <si>
    <t>或者60</t>
    <phoneticPr fontId="3" type="noConversion"/>
  </si>
  <si>
    <t>如果基于第三方平台开展互联网保险业务，不单独评价1-7项，保险机构自行评估或者通过协议确认第三方平台满足上述技术安全保障措施，60分。注：自建网站，不填写该项。</t>
    <phoneticPr fontId="3" type="noConversion"/>
  </si>
  <si>
    <t>内容安全和风险提示（20分）</t>
    <phoneticPr fontId="3" type="noConversion"/>
  </si>
  <si>
    <t>内容管理</t>
  </si>
  <si>
    <t>具有内容发布和变更流程，10分。</t>
  </si>
  <si>
    <t>客户宣传和提示</t>
  </si>
  <si>
    <t>具有客户宣传和提示手段，5分。</t>
  </si>
  <si>
    <t>假冒网站管理</t>
  </si>
  <si>
    <t>有检查报告，5分。</t>
  </si>
  <si>
    <t>（九）信息技术审计（本项目采取百分制，最后综合得分×5%，为该项监管内容的最终评分。）</t>
    <phoneticPr fontId="3" type="noConversion"/>
  </si>
  <si>
    <t xml:space="preserve">审计组织与计划（25分） </t>
  </si>
  <si>
    <t>（1）审计部门</t>
    <phoneticPr fontId="3" type="noConversion"/>
  </si>
  <si>
    <t>设立独立于信息技术部门的信息化审计部门或者审计岗位，可以是设在公司审计部门或者其他部门，5分。</t>
  </si>
  <si>
    <t>（2）信息技术审计制度</t>
  </si>
  <si>
    <t>制定信息技术审计制度，规范审计目标、范围、流程和周期，6分。</t>
  </si>
  <si>
    <t>（3）信息技术审计计划</t>
  </si>
  <si>
    <t>制订了本年度审计计划，计划内容至少包括审计覆盖层面、审计性质、审计目标、审计范围及工作计划，4分。</t>
  </si>
  <si>
    <t>（4）信息技术外部审计</t>
    <phoneticPr fontId="3" type="noConversion"/>
  </si>
  <si>
    <t>外部审计机构和审计人员具备审计资质，10分。</t>
    <phoneticPr fontId="3" type="noConversion"/>
  </si>
  <si>
    <t xml:space="preserve">信息技术一般控制审计（20 分） </t>
  </si>
  <si>
    <t>（1）信息化规划及其实施情况的审计</t>
  </si>
  <si>
    <t>审计报告中含信息化规划及其实施情况，5分。</t>
  </si>
  <si>
    <t>（2）信息安全审计</t>
  </si>
  <si>
    <t>审计报告中包含信息安全管理制度和措施执行和有效性情况，10分。</t>
  </si>
  <si>
    <t>（3）对灾难恢复工作的审计</t>
  </si>
  <si>
    <t>审计报告中含灾难恢复工作的审计，5分。</t>
  </si>
  <si>
    <t>信息技术应用控制审计（15分）</t>
  </si>
  <si>
    <t xml:space="preserve">（1）信息技术应用控制审计 </t>
  </si>
  <si>
    <t>以保险业务流程为核心，根据业务流程风险管理要求，对应用系统访问控制、职责分离、输入控制、处理控制、输出控制机制进行了审计，15分。</t>
  </si>
  <si>
    <t>信息技术审计报告与备案（10分）</t>
  </si>
  <si>
    <t xml:space="preserve">（1）向管理层报告 </t>
  </si>
  <si>
    <t>具有管理层确认审计报告的记录，2分。</t>
  </si>
  <si>
    <t>（2）向保监会备案</t>
  </si>
  <si>
    <t>每两年向保监会备案信息技术审计报告，4分；每三年向保监会备案灾难恢复工作专项审计报告，4分。</t>
  </si>
  <si>
    <t>信息技术审计监控与后续跟进（30分）</t>
  </si>
  <si>
    <t xml:space="preserve">（1）审计结果反馈 </t>
  </si>
  <si>
    <t>管理层根据审计意见提出了具体的整改要求，10分。</t>
  </si>
  <si>
    <t>（2）整改计划落实</t>
  </si>
  <si>
    <t>提出了整改计划，2分；落实了整改计划，8分。</t>
  </si>
  <si>
    <t>（3）整改跟踪审计</t>
  </si>
  <si>
    <t>整改效果达到了管理层确定的整改要求，10分；后续审计意见没有管理层确认的记录，本评价点不得分。</t>
  </si>
  <si>
    <t>（十）扣分项目</t>
    <phoneticPr fontId="3" type="noConversion"/>
  </si>
  <si>
    <t>保险机构未按照保监会要求通过信息化风险监管系统报送信息化风险监管报表数据，存在严重拒报、迟报、漏报、瞒报、虚报、误报等行为的，视情节严重程度扣减1-10分。</t>
    <phoneticPr fontId="3" type="noConversion"/>
  </si>
  <si>
    <t>保险机构未按照保监会要求通过中国保险统计信息系统报送统计数据快报、月报、季报、半年报，存在拒报、迟报、漏报、瞒报、虚报、误报等行为的，视情节严重程度扣减1-10分。</t>
    <phoneticPr fontId="3" type="noConversion"/>
  </si>
  <si>
    <t>对于发生重大信息安全事件，未采取应急处理措施或者应急处理不力，对保险业造成重大损失或者不良影响的，视情节严重程度扣减10-30分。</t>
    <phoneticPr fontId="3" type="noConversion"/>
  </si>
  <si>
    <t>在保监会和相关信息安全监管机构检查过程中发现重大风险的，扣减对应评价指标项的分值。</t>
    <phoneticPr fontId="3" type="noConversion"/>
  </si>
  <si>
    <t>拒绝或者妨碍保监会依法进行网络安全与信息化工作进行检查监督的，视情节严重程度扣减10-30分。</t>
    <phoneticPr fontId="3" type="noConversion"/>
  </si>
  <si>
    <t>总公司投资部，信息技术部</t>
  </si>
  <si>
    <t>总公司投资部，信息技术部</t>
    <phoneticPr fontId="3" type="noConversion"/>
  </si>
  <si>
    <t xml:space="preserve">根据《保险资产运用管理暂行办法》（保监会令2014年第3号），保险公司应实行集中交易制度，严格隔离投资决策与交易执行，构建符合相关要求的集中交易监测系统、预警系统和反馈系统。
</t>
    <phoneticPr fontId="3" type="noConversion"/>
  </si>
  <si>
    <t>保险公司自行投资的，建立完善的交易记录制度，每日对交易记录及时核对并存档的，得1分；否则，得0分。保险公司委托投资的，能够提供受托机构相关证明材料的，得1分；否则，得0分。</t>
    <phoneticPr fontId="3" type="noConversion"/>
  </si>
  <si>
    <t>总公司财务部</t>
    <phoneticPr fontId="3" type="noConversion"/>
  </si>
  <si>
    <t>月度非法集资报表</t>
    <phoneticPr fontId="12" type="noConversion"/>
  </si>
  <si>
    <t>附件11：保险公司战略风险评价标准</t>
    <phoneticPr fontId="3" type="noConversion"/>
  </si>
  <si>
    <t>评价指标</t>
  </si>
  <si>
    <t>评分标准</t>
  </si>
  <si>
    <t>规划机制（6分）</t>
    <phoneticPr fontId="12" type="noConversion"/>
  </si>
  <si>
    <t>工作机制</t>
  </si>
  <si>
    <t>建立发展规划委员会（或明确其他专业委员会），设置专职部门（或指定相关部门）</t>
  </si>
  <si>
    <t>董事会秘书</t>
  </si>
  <si>
    <t>规划要素（20分）</t>
    <phoneticPr fontId="12" type="noConversion"/>
  </si>
  <si>
    <t>战略目标</t>
  </si>
  <si>
    <t>战略定位清晰，发展目标切实可行</t>
    <phoneticPr fontId="12" type="noConversion"/>
  </si>
  <si>
    <t>经营领域</t>
    <phoneticPr fontId="12" type="noConversion"/>
  </si>
  <si>
    <t>业务发展</t>
  </si>
  <si>
    <t>业务规模、结构、渠道等（保险集团包括非保险金融类企业和非金融类企业发展规划）</t>
  </si>
  <si>
    <t>机构发展</t>
  </si>
  <si>
    <t>经营区域范围、分支机构类型等（保险集团拟进入和退出的行业领域）</t>
  </si>
  <si>
    <t>偿付能力管理</t>
  </si>
  <si>
    <t>资本管理</t>
  </si>
  <si>
    <t>风险管理</t>
  </si>
  <si>
    <t>基础管理</t>
  </si>
  <si>
    <t>保障措施</t>
  </si>
  <si>
    <t>制定程序（6分）</t>
    <phoneticPr fontId="3" type="noConversion"/>
  </si>
  <si>
    <t>制定</t>
  </si>
  <si>
    <t>充分研究论证</t>
  </si>
  <si>
    <t>审议</t>
  </si>
  <si>
    <t>听取主要股东和监事会意见</t>
  </si>
  <si>
    <t>规划报董事会审议</t>
  </si>
  <si>
    <t>经股东大会（创立大会）通过</t>
  </si>
  <si>
    <t>调整频率（5分）</t>
    <phoneticPr fontId="3" type="noConversion"/>
  </si>
  <si>
    <t>年度调整</t>
  </si>
  <si>
    <t>次数≤1</t>
  </si>
  <si>
    <t>规划实施（32分）</t>
    <phoneticPr fontId="3" type="noConversion"/>
  </si>
  <si>
    <t>任务分解</t>
  </si>
  <si>
    <t>制定年度分解任务和落实措施</t>
  </si>
  <si>
    <t>报董事会和经理层通过</t>
  </si>
  <si>
    <t>分支机构</t>
  </si>
  <si>
    <t>新设机构符合发展规划</t>
  </si>
  <si>
    <t>日常监测</t>
  </si>
  <si>
    <t>开展季度分析并报董事会和经理层</t>
  </si>
  <si>
    <t>内容调整</t>
  </si>
  <si>
    <t>规划部门提出调整建议报董事会审议</t>
  </si>
  <si>
    <t>重大事项调整说明清楚、详尽、理由充分</t>
  </si>
  <si>
    <t>年度考核</t>
  </si>
  <si>
    <t>制定方案，完成年度考核报告，
结果报董事会和公司经理层</t>
  </si>
  <si>
    <t>考核报告符合实际，责任清晰，措施得当</t>
  </si>
  <si>
    <t>评估工作（16分）</t>
    <phoneticPr fontId="3" type="noConversion"/>
  </si>
  <si>
    <t>组织评估</t>
  </si>
  <si>
    <t>制定方案，开展评估，并将结果报董事会审议</t>
  </si>
  <si>
    <t>监事会意见</t>
  </si>
  <si>
    <t>监事会审议规划年度实施情况并提出意见</t>
  </si>
  <si>
    <t>评估报告</t>
  </si>
  <si>
    <t>对照规划要素全面评估</t>
  </si>
  <si>
    <t>说明保费收入、总资产、利润率、偿付能力充足率、分支机构建设等重要指标年度完成情况，并与规划目标进行差异分析</t>
  </si>
  <si>
    <t>材料报送（15分）</t>
    <phoneticPr fontId="3" type="noConversion"/>
  </si>
  <si>
    <t>报送时间</t>
  </si>
  <si>
    <t>按时报送保险公司发展规划、调整说明
和评估报告</t>
  </si>
  <si>
    <t>附件9：保险公司案件管理相关的操作风险评价标准</t>
    <phoneticPr fontId="12" type="noConversion"/>
  </si>
  <si>
    <t>评价项目</t>
    <phoneticPr fontId="12" type="noConversion"/>
  </si>
  <si>
    <t>评价指标</t>
    <phoneticPr fontId="3" type="noConversion"/>
  </si>
  <si>
    <t>分值</t>
    <phoneticPr fontId="12" type="noConversion"/>
  </si>
  <si>
    <t>指标说明</t>
    <phoneticPr fontId="12" type="noConversion"/>
  </si>
  <si>
    <t>评价标准</t>
    <phoneticPr fontId="12" type="noConversion"/>
  </si>
  <si>
    <t xml:space="preserve">洗钱风险（20分）
</t>
    <phoneticPr fontId="3" type="noConversion"/>
  </si>
  <si>
    <t>机构人员</t>
    <phoneticPr fontId="3" type="noConversion"/>
  </si>
  <si>
    <t>设置反洗钱专门机构或者指定内设机构，设立反洗钱岗位</t>
    <phoneticPr fontId="12" type="noConversion"/>
  </si>
  <si>
    <t>基础分3分，最高3分，最低0分。分别统计产险、寿险公司百亿元保费反洗钱人员配置数量，计算被评价公司百亿元保费反洗钱人员配置人数并与之相比较，每低于平均数50%扣1.5分，最多扣3分。</t>
    <phoneticPr fontId="3" type="noConversion"/>
  </si>
  <si>
    <t>客户身份识别</t>
    <phoneticPr fontId="12" type="noConversion"/>
  </si>
  <si>
    <t>按照规定开展客户身份识别工作</t>
    <phoneticPr fontId="3" type="noConversion"/>
  </si>
  <si>
    <t>基础分4分，最高4分，最低0分。分别统计产险、寿险公司达到识别金额以上的百亿元保费平均识别件数，计算被评价公司百亿元保费识别件数并与之相比较，每低于平均数50%扣2分，最多扣4分。</t>
    <phoneticPr fontId="3" type="noConversion"/>
  </si>
  <si>
    <t>大额和可疑交易报告</t>
    <phoneticPr fontId="3" type="noConversion"/>
  </si>
  <si>
    <t>1.及时、准确报送大额交易和可疑交易</t>
    <phoneticPr fontId="3" type="noConversion"/>
  </si>
  <si>
    <t>基础分4分，最高4分，最低0分。1.分别统计产险、寿险公司百亿元保费可疑交易报告平均件数，计算被评价公司百亿元保费报告件数并与之相比较，每低于平均数50%扣1分，最多扣2分；2.根据反洗钱监测分析中心保险机构大额和可疑交易报告通报情况，受批评公司扣2分。</t>
    <phoneticPr fontId="3" type="noConversion"/>
  </si>
  <si>
    <t>2.报送的可疑交易质量高</t>
    <phoneticPr fontId="12" type="noConversion"/>
  </si>
  <si>
    <t>洗钱案件</t>
    <phoneticPr fontId="12" type="noConversion"/>
  </si>
  <si>
    <t>协助发现洗钱案件，对已发生洗钱案件报告了可疑交易报告</t>
    <phoneticPr fontId="12" type="noConversion"/>
  </si>
  <si>
    <t xml:space="preserve">基础分4分，最高4分，最低0分。公司发生洗钱案件，在查证之前，公司存在应报未报可疑交易情形的，每件扣1分，最多扣4分。应报未报可疑交易情形包括：（1）客户投保金额50万元以上；（2）客户投保理财型保险产品；（3）客户为恐怖组织或恐怖分子；（4）其他具有明显可疑情形的。
</t>
    <phoneticPr fontId="12" type="noConversion"/>
  </si>
  <si>
    <t>信息报送</t>
    <phoneticPr fontId="3" type="noConversion"/>
  </si>
  <si>
    <t>及时、准确、规范报送监管机构要求的反洗钱信息</t>
    <phoneticPr fontId="3" type="noConversion"/>
  </si>
  <si>
    <t>基础分2分，最高2分，最低0分。在反洗钱信息报送工作中迟报、漏报、不报的扣1分，连续两次迟报、漏报、不报的扣2分。</t>
    <phoneticPr fontId="3" type="noConversion"/>
  </si>
  <si>
    <t>奖惩情况</t>
    <phoneticPr fontId="3" type="noConversion"/>
  </si>
  <si>
    <t>1.在人民银行、保监会系统组织的反洗钱评比中获得荣誉，或因协助发现重大洗钱案件获得人民银行、司法机关等部门书面表扬或荣誉</t>
    <phoneticPr fontId="3" type="noConversion"/>
  </si>
  <si>
    <t>基础分1分，最高3分，最低0分。1.公司各级机构在人民银行、保监会系统组织的反洗钱评比中获得荣誉，或因协助发现重大洗钱案件获得人民银行、司法机关等部门书面表扬或荣誉的，每次加1分，最多加2分；2.公司在人民银行组织的反洗钱检查中受到行政处罚，扣1分。</t>
    <phoneticPr fontId="3" type="noConversion"/>
  </si>
  <si>
    <t>2.反洗钱工作受到人民银行行政处罚</t>
    <phoneticPr fontId="3" type="noConversion"/>
  </si>
  <si>
    <t xml:space="preserve">保险欺诈风险（30分）
</t>
    <phoneticPr fontId="3" type="noConversion"/>
  </si>
  <si>
    <t>制度建设</t>
    <phoneticPr fontId="12" type="noConversion"/>
  </si>
  <si>
    <t>健全反保险欺诈制度</t>
    <phoneticPr fontId="12" type="noConversion"/>
  </si>
  <si>
    <t>组织体系</t>
    <phoneticPr fontId="12" type="noConversion"/>
  </si>
  <si>
    <t>完善反保险欺诈组织体系</t>
    <phoneticPr fontId="12" type="noConversion"/>
  </si>
  <si>
    <t>基础分5分，最高分5分，最低分0分。1.总公司未设立专门的部门或指定内设机构作为反欺诈职能部门，扣2分；2.省级分支机构未设立反欺诈岗位，1个省级分支机构扣0.5分，最高扣3分。</t>
    <phoneticPr fontId="3" type="noConversion"/>
  </si>
  <si>
    <t>预防欺诈风险</t>
    <phoneticPr fontId="12" type="noConversion"/>
  </si>
  <si>
    <t>强化保险欺诈风险监测与评估</t>
    <phoneticPr fontId="12" type="noConversion"/>
  </si>
  <si>
    <t>基础分5分，最高分5分，最低分0分。1.未定期分析、评估公司整体的欺诈风险状况，扣3分；2.内部审计部门未检查或评估公司欺诈风险管理体系运行情况和运行效果，监督欺诈风险管理政策的执行情况，扣2分。</t>
    <phoneticPr fontId="3" type="noConversion"/>
  </si>
  <si>
    <t>处置欺诈风险</t>
    <phoneticPr fontId="12" type="noConversion"/>
  </si>
  <si>
    <t>主动处置保险欺诈风险</t>
    <phoneticPr fontId="12" type="noConversion"/>
  </si>
  <si>
    <t>基础分10分，最高分10分，最低分0分。1.未建立保险欺诈行为的举报投诉渠道，扣2分；2.保险公司每漏报、迟报1起保险欺诈类风险案件扣0.5分，瞒报1起扣2分，最高扣4分；3.未对保险欺诈责任人进行责任追究或案件移送的，扣4分。</t>
    <phoneticPr fontId="3" type="noConversion"/>
  </si>
  <si>
    <t>信息系统</t>
    <phoneticPr fontId="12" type="noConversion"/>
  </si>
  <si>
    <t>借助信息系统防控保险欺诈风险</t>
    <phoneticPr fontId="12" type="noConversion"/>
  </si>
  <si>
    <t xml:space="preserve">刑事案件风险（50分）
</t>
    <phoneticPr fontId="3" type="noConversion"/>
  </si>
  <si>
    <t>百亿元保费案件数</t>
    <phoneticPr fontId="12" type="noConversion"/>
  </si>
  <si>
    <t>截至季末累计案件数÷截至季末累计原保险保费收入（单位：件/百亿元）</t>
    <phoneticPr fontId="12" type="noConversion"/>
  </si>
  <si>
    <t>R为公司指标值，N为行业平均值：
R≤N，不扣分
N＜R≤1.5N，扣2分
1.5N＜R≤2N，扣4分
2N＜R≤3N，扣6分
3N＜R，扣8分</t>
    <phoneticPr fontId="12" type="noConversion"/>
  </si>
  <si>
    <t>案发机构占比</t>
    <phoneticPr fontId="12" type="noConversion"/>
  </si>
  <si>
    <t>截至季末发案省公司数÷季末省公司数×100%</t>
    <phoneticPr fontId="12" type="noConversion"/>
  </si>
  <si>
    <t>1.未发生刑事案件的公司，不扣分；
2.发生刑事案件的公司计分方式为：
R为排名，N为发案公司总数：
R≤20%N，扣1分
20%N＜R≤40%N，扣3分
40%N＜R≤60%N，扣5分
60%N＜R≤80%N，扣7分
80%N＜R，扣9分</t>
    <phoneticPr fontId="3" type="noConversion"/>
  </si>
  <si>
    <t>重大案件情况</t>
    <phoneticPr fontId="12" type="noConversion"/>
  </si>
  <si>
    <t>截至季末累计发生涉案金额100万元及以上案件的情况。</t>
    <phoneticPr fontId="12" type="noConversion"/>
  </si>
  <si>
    <t>S为涉案金额，每发生1件扣分标准为：
100万元≤S＜500万元，扣2分
500万元≤S＜1000万元，扣4分
1000万元≤S＜2000万元，扣6分
2000万元≤S＜5000万元，扣8分
5000万元≤S＜1亿元，扣10分
1亿元≤S，扣12分
最高扣20分。</t>
    <phoneticPr fontId="12" type="noConversion"/>
  </si>
  <si>
    <t>案件报送情况</t>
    <phoneticPr fontId="3" type="noConversion"/>
  </si>
  <si>
    <t>保险公司应准确、及时、规范报送案件信息</t>
    <phoneticPr fontId="12" type="noConversion"/>
  </si>
  <si>
    <t>基础分5分，最高5分，最低0分。每迟报、错报或漏报1起案件扣0.5分，瞒报案件扣5分，最高扣5分。</t>
    <phoneticPr fontId="3" type="noConversion"/>
  </si>
  <si>
    <t>宣传教育</t>
    <phoneticPr fontId="12" type="noConversion"/>
  </si>
  <si>
    <t>加强风险案件宣传教育</t>
    <phoneticPr fontId="12" type="noConversion"/>
  </si>
  <si>
    <t>基础分5分，最高5分，最低0分。1.未开展反保险欺诈公益宣传、教育培训的，扣2分；2.未按规定开展风险案件警示教育，每发生1起，扣1分，最高扣3分。</t>
    <phoneticPr fontId="3" type="noConversion"/>
  </si>
  <si>
    <t>不适用</t>
    <phoneticPr fontId="3" type="noConversion"/>
  </si>
  <si>
    <t>行业水平评分</t>
    <phoneticPr fontId="3" type="noConversion"/>
  </si>
  <si>
    <t>直接评分</t>
    <phoneticPr fontId="3" type="noConversion"/>
  </si>
  <si>
    <t>从业经验指资产管理部门主持工作的负责人从事金融机构投资相关工作的时间。</t>
    <phoneticPr fontId="3" type="noConversion"/>
  </si>
  <si>
    <t>人员结构是指资金运用风险管理人员数量与投研人员数量的比例。风险管理人员数量是指与资金运用相关的风险控制、合规法律、内控稽核、投后跟踪管理人员数量。</t>
    <phoneticPr fontId="3" type="noConversion"/>
  </si>
  <si>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
I类保险公司和II类保险公司根据《保险公司偿付能力监管规则第11号：偿付能力风险管理要求与评估》第六条确定（下同）。
本项中，再保险公司按照Ⅱ类保险公司的标准进行评分。</t>
    <phoneticPr fontId="3" type="noConversion"/>
  </si>
  <si>
    <t>不扣分</t>
  </si>
  <si>
    <t>HR人员名单</t>
  </si>
  <si>
    <t>行业水平评分</t>
    <phoneticPr fontId="3"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</si>
  <si>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12" type="noConversion"/>
  </si>
  <si>
    <t>责任部门权重</t>
    <phoneticPr fontId="3" type="noConversion"/>
  </si>
  <si>
    <t>投资部</t>
    <phoneticPr fontId="3" type="noConversion"/>
  </si>
  <si>
    <t>人身保险公司分支机构销售、承保、保全业务线操作风险</t>
  </si>
  <si>
    <t>北京</t>
    <phoneticPr fontId="3" type="noConversion"/>
  </si>
  <si>
    <t>天津</t>
    <phoneticPr fontId="3" type="noConversion"/>
  </si>
  <si>
    <t>辽宁</t>
    <phoneticPr fontId="3" type="noConversion"/>
  </si>
  <si>
    <t>大连</t>
    <phoneticPr fontId="3" type="noConversion"/>
  </si>
  <si>
    <t>江苏</t>
    <phoneticPr fontId="3" type="noConversion"/>
  </si>
  <si>
    <t>山东</t>
    <phoneticPr fontId="3" type="noConversion"/>
  </si>
  <si>
    <t>青岛</t>
    <phoneticPr fontId="3" type="noConversion"/>
  </si>
  <si>
    <t>河南</t>
    <phoneticPr fontId="3" type="noConversion"/>
  </si>
  <si>
    <t>广东</t>
    <phoneticPr fontId="3" type="noConversion"/>
  </si>
  <si>
    <t>四川</t>
    <phoneticPr fontId="3" type="noConversion"/>
  </si>
  <si>
    <t>行次</t>
    <phoneticPr fontId="3" type="noConversion"/>
  </si>
  <si>
    <t>评价指标</t>
    <phoneticPr fontId="3" type="noConversion"/>
  </si>
  <si>
    <t>指标说明</t>
    <phoneticPr fontId="3" type="noConversion"/>
  </si>
  <si>
    <t>评价标准</t>
    <phoneticPr fontId="3" type="noConversion"/>
  </si>
  <si>
    <t>证据</t>
    <phoneticPr fontId="3" type="noConversion"/>
  </si>
  <si>
    <t>数据校验</t>
    <phoneticPr fontId="3" type="noConversion"/>
  </si>
  <si>
    <t>分数差</t>
    <phoneticPr fontId="3" type="noConversion"/>
  </si>
  <si>
    <t>扣分项</t>
    <phoneticPr fontId="3" type="noConversion"/>
  </si>
  <si>
    <t>管理层离职率</t>
  </si>
  <si>
    <t>总公司人力资源部</t>
  </si>
  <si>
    <t>人事铂金系统抽取数据</t>
    <phoneticPr fontId="3" type="noConversion"/>
  </si>
  <si>
    <t>分公司</t>
  </si>
  <si>
    <t>员工流失率≤15%，得3分；15%＜员工流失率≤30%，得1.5分；员工流失率&gt;30%，得0分。</t>
    <phoneticPr fontId="3" type="noConversion"/>
  </si>
  <si>
    <t>最近4个季度部门负责人培训次数</t>
  </si>
  <si>
    <t>4个季度</t>
    <phoneticPr fontId="3" type="noConversion"/>
  </si>
  <si>
    <t>业绩考核</t>
    <phoneticPr fontId="3" type="noConversion"/>
  </si>
  <si>
    <t>将操作风险纳入省级分公司和中心支公司销售、承保、保全部门负责人考核体系的，得4分；否则，得0分。</t>
  </si>
  <si>
    <t>1|将操作风险纳入省级分公司和中心支公司销售、承保、保全部门负责人考核体系</t>
  </si>
  <si>
    <t>中介协议签订率</t>
  </si>
  <si>
    <t>中介协议签订率=评估期期末公司与代理机构签订有效的合作协议份数÷代理机构总家数×100%。合作协议过期视为无效。</t>
    <phoneticPr fontId="49" type="noConversion"/>
  </si>
  <si>
    <t>销售人员协议签订率</t>
    <phoneticPr fontId="3" type="noConversion"/>
  </si>
  <si>
    <t>销售人员协议签订率=100%，得2分；否则，得0分。</t>
    <phoneticPr fontId="49" type="noConversion"/>
  </si>
  <si>
    <t>千张保单投诉量=评估期公司受理的有效投诉件数总量/期末有效保单总量*1000（单位：件/千张）。投诉件包括公司受理的投诉件和监管部门转办的投诉件。</t>
    <phoneticPr fontId="49" type="noConversion"/>
  </si>
  <si>
    <t>千张保单投诉量≤3，得2分；3&lt;千张保单投诉量≤5，得1分；千张保单投诉量&gt;5，得0分。</t>
    <phoneticPr fontId="49" type="noConversion"/>
  </si>
  <si>
    <t>总公司客服部</t>
  </si>
  <si>
    <t>咨诉系统</t>
    <phoneticPr fontId="3" type="noConversion"/>
  </si>
  <si>
    <t>精算提供</t>
    <phoneticPr fontId="3"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</si>
  <si>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49" type="noConversion"/>
  </si>
  <si>
    <t>评价得分=2×代理制销售人员13个月留存率。</t>
    <phoneticPr fontId="49" type="noConversion"/>
  </si>
  <si>
    <t>总公司个险渠道</t>
  </si>
  <si>
    <t>展业操作风险事件指公司存在销售误导，给予或承诺给予保险合同约定以外利益，未履行告知义务，代签名或代抄录风险提示语句，未经批准擅自制作或印制产品宣传材料等情形。</t>
    <phoneticPr fontId="3" type="noConversion"/>
  </si>
  <si>
    <t>最近4个季度，监管部门发现公司存在展业操作风险事件的，每项次扣2分；公司自查发现存在展业操作风险事件的，每项次扣0.5分，扣完6分为止。</t>
    <phoneticPr fontId="49" type="noConversion"/>
  </si>
  <si>
    <t>未发现</t>
    <phoneticPr fontId="3" type="noConversion"/>
  </si>
  <si>
    <t>最近4个季度公司自查发现中介业务操作风险事件次数</t>
  </si>
  <si>
    <t>最近4个季度监管发现中介业务操作风险事件次数</t>
  </si>
  <si>
    <t>承保标的风险评估评价公司是否建立了保险标的生调、体检等核验和风险评估制度，能否严格按制度规定展开核验可能产生的操作风险。</t>
    <phoneticPr fontId="49" type="noConversion"/>
  </si>
  <si>
    <t>公司建立了保险标的生调、体检等核验和风险评估制度，并能严格按制度规定展开核验的，得1分；其他情况，得0分。</t>
    <phoneticPr fontId="49" type="noConversion"/>
  </si>
  <si>
    <t>1|公司建立了保险标的生调、体检等核验和风险评估制度，并能严格按制度规定展开核验</t>
  </si>
  <si>
    <t>2|其他情况</t>
  </si>
  <si>
    <t>犹豫期内电话回访成功率</t>
  </si>
  <si>
    <t>协同业务系统</t>
    <phoneticPr fontId="3" type="noConversion"/>
  </si>
  <si>
    <t>最近4个季度公司因反洗钱工作被监管部门处罚次数</t>
    <phoneticPr fontId="3" type="noConversion"/>
  </si>
  <si>
    <t>最近4个季度，公司因反洗钱工作被监管部门处罚的，每项次扣2分；下发监管函的，每项次扣1分，扣完4分为止。</t>
    <phoneticPr fontId="3" type="noConversion"/>
  </si>
  <si>
    <t>最近4个季度，监管部门发现公司存在承保管理操作风险事件的，每项次扣3分；公司自查发现存在承保管理操作风险事件的，每项次扣0.5分，扣完6分为止。</t>
    <phoneticPr fontId="3" type="noConversion"/>
  </si>
  <si>
    <t>最近4个季度监管部门发现承保管理操作风险事件次数</t>
  </si>
  <si>
    <t>续期收费率=评估期本期应收实收保费 ÷ 评估期本期应收保费 ×100%。续期收费指根据保险合同约定按期缴方式支付保险费的第二期及以后各期保险费的过程。</t>
  </si>
  <si>
    <t>保全变更完成率</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</si>
  <si>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</si>
  <si>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</si>
  <si>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保全系统数据统计</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</si>
  <si>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</si>
  <si>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评估期本期合计撤保金总额</t>
  </si>
  <si>
    <t>精算提供</t>
  </si>
  <si>
    <t>保全差错率</t>
  </si>
  <si>
    <t>保全差错率=评估期内保全差错件总量（包括保全撤销、影像重扫补扫、非客户原因的账号变更、审批修改、审批退回）÷ 评估期操作的确认生效的保全件总量×100%.</t>
  </si>
  <si>
    <t>保全质检登记</t>
  </si>
  <si>
    <t>保单质押贷款支付方式</t>
  </si>
  <si>
    <t>保单质押贷款支付方式评价公司保单质押贷款是否通过银行转账支付至投保人银行账户可能产生的操作风险。</t>
  </si>
  <si>
    <t>评估期，保单质押贷款均通过银行转账支付至投保人银行账户的，得1分；否则，得0分。</t>
  </si>
  <si>
    <t>评估期内</t>
    <phoneticPr fontId="3" type="noConversion"/>
  </si>
  <si>
    <t>1|评估期，保单质押贷款均通过银行转账支付至投保人银行账户</t>
  </si>
  <si>
    <t>最近4个季度，监管部门发现公司存在保全管理操作风险事件的，每项次扣3分；公司自查发现存在保全管理操作风险事件的，每项次扣0.5分，扣完6分为止。</t>
  </si>
  <si>
    <t>最近4个季度监管部门检查发现保全管理操作风险事件的次数</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</si>
  <si>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</si>
  <si>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</si>
  <si>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不扣分</t>
    <phoneticPr fontId="3" type="noConversion"/>
  </si>
  <si>
    <t>公司自查发现账号管理安全事件的次数</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</si>
  <si>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</si>
  <si>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监管部门检查发现账号管理安全事件的次数</t>
  </si>
  <si>
    <t>佣金系统计提评价公司佣金及手续费是否通过系统跟单自动计提可能产生的操作风险。</t>
  </si>
  <si>
    <t>评估期各业务条线佣金及手续费均通过系统跟单自动计提的，得2分；否则，得0分。</t>
  </si>
  <si>
    <t>1|评估期各业务条线佣金及手续费均通过系统跟单自动计提</t>
  </si>
  <si>
    <t>最近4个季度评估公司原保费收入</t>
  </si>
  <si>
    <t>设行业平均水平为θ，评分为：x&lt;θ，10分；θ≤x&lt;1.5θ，5分；1.5θ≤x&lt;2θ，2分；2θ≤x，0分。</t>
  </si>
  <si>
    <t>行业水平评分</t>
    <phoneticPr fontId="3" type="noConversion"/>
  </si>
  <si>
    <t>最近4个季度保户投资款本年新增交费</t>
  </si>
  <si>
    <t>最近4个季度投连险独立账户本年新增交费</t>
  </si>
  <si>
    <t>直接评分</t>
    <phoneticPr fontId="3" type="noConversion"/>
  </si>
  <si>
    <t>公式行</t>
    <phoneticPr fontId="3" type="noConversion"/>
  </si>
  <si>
    <t>人身保险公司分支机构理赔业务线操作风险</t>
    <phoneticPr fontId="3" type="noConversion"/>
  </si>
  <si>
    <t>从业经验指省级分公司及中心支公司理赔部门负责人从事保险理赔相关工作的时间。</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</si>
  <si>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</si>
  <si>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</si>
  <si>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</si>
  <si>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</si>
  <si>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</si>
  <si>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1|省级分公司和中心支公司理赔部门负责人的业绩考核与操作风险相挂钩</t>
  </si>
  <si>
    <t>案均核赔支付时效</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</si>
  <si>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</si>
  <si>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3" type="noConversion"/>
  </si>
  <si>
    <t>理赔系统</t>
    <phoneticPr fontId="3"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</si>
  <si>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</si>
  <si>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3" type="noConversion"/>
  </si>
  <si>
    <t>与行业平均水平相比</t>
    <phoneticPr fontId="3" type="noConversion"/>
  </si>
  <si>
    <t>与行业平均水平相比</t>
  </si>
  <si>
    <t>赔款转账直付比例</t>
  </si>
  <si>
    <t>赔款转账直付比例=评估期转账支付至被保险人（或受益人）银行账户的赔款件数÷评估期已决赔案数量×100%</t>
  </si>
  <si>
    <t>赔款转账直付比例≥95%的，得6分；90%≤赔款转账直付比例＜95%，得2分；赔款转账直付比例＜90%的，得0分</t>
    <phoneticPr fontId="3"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</si>
  <si>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</si>
  <si>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理赔档案遗失次数</t>
  </si>
  <si>
    <t>理赔档案管理评价公司是否存在理赔档案管理遗失、理赔档案案卷资料不完整或要素填写不完整、理赔档案案卷归档不及时等以及其他理赔档案管理不善情形。</t>
  </si>
  <si>
    <t>理赔档案资料不完整或要素填写不完整次数</t>
  </si>
  <si>
    <t>理赔档案案卷归档不及时次数</t>
  </si>
  <si>
    <t>其他理赔档案管理不善的次数</t>
  </si>
  <si>
    <t>最近4个季度，监管部门发现公司存在理赔操管理作风险事件的，每项次扣3分；公司自查发现公司存在理赔操管理作风险事件的，每项次扣0.5分，扣完20分为止。</t>
    <phoneticPr fontId="3" type="noConversion"/>
  </si>
  <si>
    <t>最近4个季度监管部门发现理赔管理操作风险事件的次数</t>
  </si>
  <si>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</si>
  <si>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3" type="noConversion"/>
  </si>
  <si>
    <t>最近4个季度公司发生业外欺诈案件的次数</t>
  </si>
  <si>
    <t>重大操作风险事件调整次数</t>
  </si>
  <si>
    <t>公司理赔环节每发现1项次重大操作风险事件，理赔业务线内部操作流程总得分扣减10分，扣完60分为止。</t>
    <phoneticPr fontId="3"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</si>
  <si>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</si>
  <si>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phoneticPr fontId="3" type="noConversion"/>
  </si>
  <si>
    <t>反欺诈识别</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</si>
  <si>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</si>
  <si>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</si>
  <si>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1|公司理赔信息系统设置了反欺诈识别提醒功能，对出险时间与起保或终止时间接近、保险年度内索赔次数异常等情况进行提示的，对重点领域和环节设立欺诈案件和可疑赔案筛查功能</t>
  </si>
  <si>
    <t>系统对接情况</t>
  </si>
  <si>
    <t>系统对接指公司理赔信息系统与接报案系统对接。</t>
  </si>
  <si>
    <t>公司理赔信息系统与接报案系统对接，理赔信息系统中报案时间由接报案系统直接导入，报案时间无法手工修改的，得1分；否则，得0分。</t>
  </si>
  <si>
    <t>1|公司理赔信息系统与接报案系统对接，理赔信息系统中报案时间由接报案系统直接导入，报案时间无法手工修改</t>
  </si>
  <si>
    <t>设行业平均水平为θ，评分为：x&lt;θ，10分；θ≤x&lt;1.5θ，5分；1.5θ≤x&lt;2θ，2分；2θ≤x，0分。</t>
    <phoneticPr fontId="3" type="noConversion"/>
  </si>
  <si>
    <t>保险分支机构总公司财务管理操作风险</t>
  </si>
  <si>
    <t>四川</t>
  </si>
  <si>
    <t>从业经验指省级分公司财会部门负责人从事财务、会计类工作的时间。</t>
  </si>
  <si>
    <t>省级分公司财会部门负责人具有5年以上财务、会计类工作经验的，得5分；否则，得0分。</t>
  </si>
  <si>
    <t>会计证持证率</t>
    <phoneticPr fontId="3" type="noConversion"/>
  </si>
  <si>
    <t>会计证持证率=100%的，得2分; 会计证持证率＜100%的,得0分。</t>
  </si>
  <si>
    <t>期末省级分公司及所有下辖分支机构参加财务工作一年以上的会计人员中持有会计证人员数量</t>
  </si>
  <si>
    <t>期末省级分公司及所有下辖分支机构参加财务工作一年以上的会计人员总数</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</si>
  <si>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</si>
  <si>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</si>
  <si>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财务部门总人数</t>
  </si>
  <si>
    <t>管理方式</t>
  </si>
  <si>
    <t>管理方式指是否存在公司会计、出纳、稽核等不相容岗位兼职的情况。</t>
  </si>
  <si>
    <t>不存在公司会计、出纳、稽核等不相容岗位兼职情况的 得2分；否则，得0分。</t>
  </si>
  <si>
    <t>1|不存在公司会计、出纳、稽核等不相容岗位兼职情况</t>
  </si>
  <si>
    <t>业绩考核指省级分公司财会部门负责人和中心支公司财会部门负责人的业绩考核是否与操作风险相挂钩。</t>
  </si>
  <si>
    <t>省级分公司和中心支公司财务部门负责人的业绩考核与操作风险相挂钩的，得2分；否则，得0分</t>
  </si>
  <si>
    <t>1|省级分公司和中心支公司财务部门负责人的业绩考核与操作风险相挂钩</t>
  </si>
  <si>
    <t>报告差错量是指保险分支机构向监管部门报送的财务类报告、报表和统计数据等出现错报、漏报、未按时报送等差错的次数。</t>
  </si>
  <si>
    <t>出现重大错报或漏报的次数</t>
  </si>
  <si>
    <t>无错报、漏报、未按时报送等差错</t>
  </si>
  <si>
    <t>最近4个季度监管部门发现财务核算操作风险事件的次数</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</si>
  <si>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</si>
  <si>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</si>
  <si>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最近4个季度公司自查发现财务核算操作风险事件的次数</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</si>
  <si>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</si>
  <si>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</si>
  <si>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</si>
  <si>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</si>
  <si>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</si>
  <si>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</si>
  <si>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</si>
  <si>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评估期评估公司原保费收入</t>
  </si>
  <si>
    <t>评估期内保户投资款本年新增交费</t>
  </si>
  <si>
    <t>评估期内投连险独立账户本年新增交费</t>
  </si>
  <si>
    <t>非现金付款比率</t>
  </si>
  <si>
    <t>非现金付款比率=评估期内非现金付款金额÷（评估期内赔付金+评估期内退保金）×100％</t>
  </si>
  <si>
    <t>非现金付款比率≥95%，得3分；90%≤非现金付款比率＜95%，得1分；非现金付i款比率＜90%，得0分。</t>
  </si>
  <si>
    <t>非寿险业务非正常应收保费比例</t>
    <phoneticPr fontId="3" type="noConversion"/>
  </si>
  <si>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</si>
  <si>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</si>
  <si>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t>
  </si>
  <si>
    <t>费用预算执行情况评价省级分公司执行总公司预算情况。</t>
  </si>
  <si>
    <t>评估期末公司本年度累计实际发生费用未超过预算的，得3分；否则，得0分。</t>
  </si>
  <si>
    <t>1|评估期末公司本年度累计实际发生费用未超过预算</t>
  </si>
  <si>
    <t>费用管理操作风险事件包括公司以虚列经济事项、虚列人员薪酬、虚假发票报销费用等方式违规套取费用等情形。</t>
    <phoneticPr fontId="3" type="noConversion"/>
  </si>
  <si>
    <t>最近4个季度公司自查发现费用管理操作风险事件次数</t>
    <phoneticPr fontId="3" type="noConversion"/>
  </si>
  <si>
    <t>单证回销率</t>
  </si>
  <si>
    <t>单证回销率≥100％的，得2分；95%≤单证回销率＜100%，得1分；单证回销率＜95%，得0分。</t>
  </si>
  <si>
    <t>最近4个季度监管部门发现单证印章管理操作风险事件次数</t>
  </si>
  <si>
    <t>最近4个季度税收操作风险事件次数</t>
    <phoneticPr fontId="3" type="noConversion"/>
  </si>
  <si>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</si>
  <si>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</si>
  <si>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重大操作风险事件次数</t>
    <phoneticPr fontId="3" type="noConversion"/>
  </si>
  <si>
    <t>公司财务环节每发现1项次重大操作风险事件，财务管理内部操作流程总得分扣减10分，扣完60分为止。</t>
  </si>
  <si>
    <t>监管部门发现账号安全问题次数</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</si>
  <si>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</si>
  <si>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</si>
  <si>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公司自查发现账号安全问题次数</t>
  </si>
  <si>
    <t>系统对接指财务系统与单证系统、业务系统、再保系统、精算系统等对接，实现系统间数据自动交换的</t>
  </si>
  <si>
    <t>财务系统与单证系统、业务系统、再保系统、精算系统等对接，实现系统间数据自动交换的，得2分；否则，得0分。</t>
  </si>
  <si>
    <t>1|财务系统与单证系统、业务系统、再保系统、精算系统等对接，实现系统间数据自动交换</t>
  </si>
  <si>
    <t>OR04-分公司销售承保保全</t>
    <phoneticPr fontId="3" type="noConversion"/>
  </si>
  <si>
    <t>OR08-分公司理赔</t>
    <phoneticPr fontId="3" type="noConversion"/>
  </si>
  <si>
    <t>OR13-分公司财务管理</t>
    <phoneticPr fontId="3" type="noConversion"/>
  </si>
  <si>
    <t>OR02-销售承保</t>
    <phoneticPr fontId="3" type="noConversion"/>
  </si>
  <si>
    <t>OR06-理赔保全</t>
    <phoneticPr fontId="3" type="noConversion"/>
  </si>
  <si>
    <t>IT</t>
    <phoneticPr fontId="3" type="noConversion"/>
  </si>
  <si>
    <t>财务管理部</t>
    <phoneticPr fontId="3" type="noConversion"/>
  </si>
  <si>
    <t>满分</t>
    <phoneticPr fontId="3" type="noConversion"/>
  </si>
  <si>
    <t>得分</t>
    <phoneticPr fontId="3" type="noConversion"/>
  </si>
  <si>
    <t>无</t>
  </si>
  <si>
    <t>分支机构封面页</t>
    <phoneticPr fontId="3" type="noConversion"/>
  </si>
  <si>
    <t>报告期间</t>
    <phoneticPr fontId="53" type="noConversion"/>
  </si>
  <si>
    <t>公司中文名称</t>
    <phoneticPr fontId="53" type="noConversion"/>
  </si>
  <si>
    <t>公司英文名称</t>
    <phoneticPr fontId="53" type="noConversion"/>
  </si>
  <si>
    <t>公司类型</t>
    <phoneticPr fontId="53" type="noConversion"/>
  </si>
  <si>
    <t>1|人身险公司</t>
  </si>
  <si>
    <t>分支机构负责人</t>
    <phoneticPr fontId="53" type="noConversion"/>
  </si>
  <si>
    <t>注册地址</t>
    <phoneticPr fontId="53" type="noConversion"/>
  </si>
  <si>
    <t>保险机构法人许可证号（经营保险业务许可证）</t>
    <phoneticPr fontId="53" type="noConversion"/>
  </si>
  <si>
    <t>开业时间</t>
    <phoneticPr fontId="53" type="noConversion"/>
  </si>
  <si>
    <t>业务范围（经营范围）</t>
    <phoneticPr fontId="53" type="noConversion"/>
  </si>
  <si>
    <t>联系人姓名</t>
    <phoneticPr fontId="53" type="noConversion"/>
  </si>
  <si>
    <t>联系人办公室电话</t>
    <phoneticPr fontId="53" type="noConversion"/>
  </si>
  <si>
    <t>联系人移动电话</t>
    <phoneticPr fontId="53" type="noConversion"/>
  </si>
  <si>
    <t>联系人传真号码</t>
    <phoneticPr fontId="53" type="noConversion"/>
  </si>
  <si>
    <t>联系人电子信箱</t>
    <phoneticPr fontId="53" type="noConversion"/>
  </si>
  <si>
    <t>分支机构隶属保监局</t>
    <phoneticPr fontId="53" type="noConversion"/>
  </si>
  <si>
    <t>恒安标准人寿保险有限公司天津分公司</t>
  </si>
  <si>
    <t>天津市南开区卫津南路与霞光道交口西南侧花园别墅42号宁泰广场7层01单元、4层03单元及18层04单元</t>
  </si>
  <si>
    <t>022-87790088-2613</t>
  </si>
  <si>
    <t>022-23136466</t>
  </si>
  <si>
    <t>TJ.Alisa_Yu@hengansl.com</t>
  </si>
  <si>
    <t>恒安标准人寿保险有限公司辽宁分公司</t>
  </si>
  <si>
    <t>辽宁省沈阳市沈河区北站路59号沈阳财富中心E座5层</t>
  </si>
  <si>
    <t>000056210000</t>
  </si>
  <si>
    <t>0532-83079905</t>
  </si>
  <si>
    <t>0532-85793249</t>
  </si>
  <si>
    <t>qd.haisheng_sui@hengansl.com</t>
  </si>
  <si>
    <t>恒安标准人寿保险有限公司河南分公司</t>
    <phoneticPr fontId="12" type="noConversion"/>
  </si>
  <si>
    <t>刘剑</t>
    <phoneticPr fontId="3" type="noConversion"/>
  </si>
  <si>
    <t>郑州市金水区经三路北段86号院6号楼，金印现代城9楼02B、03、04室和15 楼02、03、04、05室</t>
    <phoneticPr fontId="12" type="noConversion"/>
  </si>
  <si>
    <t>000056410000</t>
    <phoneticPr fontId="12" type="noConversion"/>
  </si>
  <si>
    <t>在河南省行政辖区内经营以下业务（法定保险业务除外）：人寿保险、健康保险和意外伤害保险等保险业务；上款业务的再保险业务。</t>
    <phoneticPr fontId="12" type="noConversion"/>
  </si>
  <si>
    <t>0371-60185388</t>
  </si>
  <si>
    <t>恒安标准人寿保险有限公司四川分公司</t>
  </si>
  <si>
    <t>恒安标准人寿保险有限公司大连分公司</t>
  </si>
  <si>
    <t>大连市中山区同兴街10号东亚银行大厦12层</t>
  </si>
  <si>
    <t>在辽宁省行政辖区内经营下列业务（法定保险业务除外）：（一）人寿保险、健康保险和意外伤害保险等保险业务；（二）上款业务的再保险业务***（依法须经批准的项目，经相关部门批准后方可开展经营活动）。</t>
  </si>
  <si>
    <t>0411-82615960</t>
  </si>
  <si>
    <t>0411-82615888</t>
  </si>
  <si>
    <t>dl.shuai_liang@hengansl.com</t>
  </si>
  <si>
    <t>恒安标准人寿保险有限公司江苏分公司</t>
  </si>
  <si>
    <t>刘剑锋</t>
  </si>
  <si>
    <t>南京市白下区中山南路49号商茂世纪广场38楼A、B、D座</t>
  </si>
  <si>
    <t>025-66673733</t>
  </si>
  <si>
    <t>025-66673999</t>
  </si>
  <si>
    <t>NJ.Jacky_Zhang@hengansl.com</t>
  </si>
  <si>
    <t>恒安标准人寿保险有限公司北京分公司</t>
  </si>
  <si>
    <t>张玉臣</t>
  </si>
  <si>
    <t>010-59235500</t>
  </si>
  <si>
    <t>恒安标准人寿保险有限公司广东分公司</t>
  </si>
  <si>
    <t>2009月5月25日</t>
  </si>
  <si>
    <t>恒安标准人寿保险有限公司山东分公司</t>
  </si>
  <si>
    <t>崔涛</t>
  </si>
  <si>
    <t>济南市泉城路17号华能大厦</t>
  </si>
  <si>
    <t>0531-80983619</t>
  </si>
  <si>
    <t>0531-80983699</t>
  </si>
  <si>
    <t>曾毅</t>
  </si>
  <si>
    <t>四川省成都市锦江区顺城大街8号中环广场1座21楼</t>
  </si>
  <si>
    <t>000056510000</t>
  </si>
  <si>
    <t>028-66608675</t>
  </si>
  <si>
    <t>028-66608699</t>
  </si>
  <si>
    <t>恒安标准人寿保险有限公司青岛分公司</t>
  </si>
  <si>
    <t>刘忠喜</t>
  </si>
  <si>
    <t>青岛市市南区香港中路59号国际金融大厦42F</t>
  </si>
  <si>
    <t>000056370200</t>
  </si>
  <si>
    <t>&lt;不适用&gt;</t>
  </si>
  <si>
    <t>000056370000</t>
    <phoneticPr fontId="3" type="noConversion"/>
  </si>
  <si>
    <t>000056320000</t>
    <phoneticPr fontId="3" type="noConversion"/>
  </si>
  <si>
    <t>000056210200</t>
    <phoneticPr fontId="3" type="noConversion"/>
  </si>
  <si>
    <t>遗失具体</t>
  </si>
  <si>
    <t>北京</t>
  </si>
  <si>
    <t>遗失处理银保通2015版1份</t>
  </si>
  <si>
    <t>大连</t>
  </si>
  <si>
    <t>遗失处理银保通2015版13份</t>
  </si>
  <si>
    <t>天津</t>
  </si>
  <si>
    <t>遗失处理银保通2015版615份</t>
  </si>
  <si>
    <t>青岛</t>
  </si>
  <si>
    <t>遗失处理团险单证49份</t>
  </si>
  <si>
    <t>河南</t>
  </si>
  <si>
    <t>遗失处理银保通2015版4份</t>
  </si>
  <si>
    <t>变动情况</t>
  </si>
  <si>
    <t>明细（期间均为2017.01-2017.12）</t>
  </si>
  <si>
    <t>江苏</t>
  </si>
  <si>
    <t>发放数减少</t>
  </si>
  <si>
    <t>期间发放团险卡单28份，增值税发票2644份，共2672份</t>
  </si>
  <si>
    <t>辽宁</t>
  </si>
  <si>
    <t>期间发放团险卡单19份，增值税发票33份，共52份</t>
  </si>
  <si>
    <t>期间发放银保通2016版500份，增值税发票70份，共570份</t>
  </si>
  <si>
    <t>山东</t>
  </si>
  <si>
    <t>期间发放银保通2015版240份，银保通2016版100份，团险卡单2份，增值税发票354份，共696份</t>
  </si>
  <si>
    <t>期间发放银保通2016版700份，团险卡单12份，发票475份，共1187份</t>
  </si>
  <si>
    <t>广东</t>
  </si>
  <si>
    <t>发放数增加</t>
  </si>
  <si>
    <t>期间发放银保通2015版240份，银保通2016版140份，增值税发票2份，共382份</t>
  </si>
  <si>
    <t>发放数量变动原因总结：</t>
  </si>
  <si>
    <r>
      <t>1</t>
    </r>
    <r>
      <rPr>
        <sz val="10.5"/>
        <color theme="1"/>
        <rFont val="宋体"/>
        <family val="3"/>
        <charset val="134"/>
      </rPr>
      <t>、发放数增加主要是因为分公司业务发展需要，导致需求量增加</t>
    </r>
  </si>
  <si>
    <r>
      <t>2</t>
    </r>
    <r>
      <rPr>
        <sz val="10.5"/>
        <color theme="1"/>
        <rFont val="宋体"/>
        <family val="3"/>
        <charset val="134"/>
      </rPr>
      <t>、发放数减少包括部分公司之前回销率未达标，总公司控制发放导致；部分分公司收缩银保渠道导致；增值税发票推广电子发票后纸质发票发放减少</t>
    </r>
  </si>
  <si>
    <t>总公司表格</t>
    <phoneticPr fontId="3" type="noConversion"/>
  </si>
  <si>
    <t>分公司表格</t>
    <phoneticPr fontId="3" type="noConversion"/>
  </si>
  <si>
    <t>满分标准</t>
  </si>
  <si>
    <t>绩效得分</t>
    <phoneticPr fontId="3" type="noConversion"/>
  </si>
  <si>
    <t>精算与战略部</t>
    <phoneticPr fontId="3" type="noConversion"/>
  </si>
  <si>
    <t>精算得分</t>
    <phoneticPr fontId="3" type="noConversion"/>
  </si>
  <si>
    <t>精算权重</t>
    <phoneticPr fontId="3" type="noConversion"/>
  </si>
  <si>
    <t>IT</t>
    <phoneticPr fontId="3" type="noConversion"/>
  </si>
  <si>
    <t>Q4</t>
    <phoneticPr fontId="3" type="noConversion"/>
  </si>
  <si>
    <t>权重</t>
    <phoneticPr fontId="3" type="noConversion"/>
  </si>
  <si>
    <t>百分制满分</t>
  </si>
  <si>
    <t>得分</t>
    <phoneticPr fontId="3" type="noConversion"/>
  </si>
  <si>
    <t>财务管理部</t>
    <phoneticPr fontId="3" type="noConversion"/>
  </si>
  <si>
    <t>会计运营部</t>
    <phoneticPr fontId="3" type="noConversion"/>
  </si>
  <si>
    <t>客服</t>
    <phoneticPr fontId="3" type="noConversion"/>
  </si>
  <si>
    <t>个险</t>
    <phoneticPr fontId="3" type="noConversion"/>
  </si>
  <si>
    <t>团险</t>
    <phoneticPr fontId="3" type="noConversion"/>
  </si>
  <si>
    <t>银保</t>
    <phoneticPr fontId="3" type="noConversion"/>
  </si>
  <si>
    <t>多元</t>
    <phoneticPr fontId="3" type="noConversion"/>
  </si>
  <si>
    <t>续期</t>
    <phoneticPr fontId="3" type="noConversion"/>
  </si>
  <si>
    <t>2018Q1</t>
    <phoneticPr fontId="3" type="noConversion"/>
  </si>
  <si>
    <t>Q1</t>
    <phoneticPr fontId="3" type="noConversion"/>
  </si>
  <si>
    <r>
      <t>建立信息技术风险识别机制，4分；</t>
    </r>
    <r>
      <rPr>
        <sz val="8"/>
        <color rgb="FFFF0000"/>
        <rFont val="微软雅黑"/>
        <family val="2"/>
        <charset val="134"/>
      </rPr>
      <t>建立了新技术、新产品的准入机制，4分。</t>
    </r>
    <phoneticPr fontId="3" type="noConversion"/>
  </si>
  <si>
    <t>SUM</t>
    <phoneticPr fontId="3" type="noConversion"/>
  </si>
  <si>
    <r>
      <t>重要系统具备安全审计功能，2分；</t>
    </r>
    <r>
      <rPr>
        <sz val="8"/>
        <color rgb="FFFF0000"/>
        <rFont val="微软雅黑"/>
        <family val="2"/>
        <charset val="134"/>
      </rPr>
      <t>具有审计记录，3分</t>
    </r>
    <r>
      <rPr>
        <sz val="8"/>
        <rFont val="微软雅黑"/>
        <family val="2"/>
        <charset val="134"/>
      </rPr>
      <t>。</t>
    </r>
    <phoneticPr fontId="3" type="noConversion"/>
  </si>
  <si>
    <r>
      <t>制定了数据安全管理相关制度和流程，对数据采集、传输、交换、存储、备份、恢复和销毁等环节提出了明确要求，4分；</t>
    </r>
    <r>
      <rPr>
        <sz val="8"/>
        <color rgb="FFFF0000"/>
        <rFont val="微软雅黑"/>
        <family val="2"/>
        <charset val="134"/>
      </rPr>
      <t>建立了重要数据分级分类标准，3分</t>
    </r>
    <r>
      <rPr>
        <sz val="8"/>
        <rFont val="微软雅黑"/>
        <family val="2"/>
        <charset val="134"/>
      </rPr>
      <t>；建立了重要数据使用审批流程，3分。</t>
    </r>
    <phoneticPr fontId="3" type="noConversion"/>
  </si>
  <si>
    <t>建立了质量控制体系，3分。</t>
    <phoneticPr fontId="3" type="noConversion"/>
  </si>
  <si>
    <r>
      <t>开发、测试、生产环境相互分离，3分；</t>
    </r>
    <r>
      <rPr>
        <sz val="8"/>
        <color rgb="FFFF0000"/>
        <rFont val="微软雅黑"/>
        <family val="2"/>
        <charset val="134"/>
      </rPr>
      <t>生产数据必须经过脱敏才能在开发或测试中使用，2分。</t>
    </r>
    <phoneticPr fontId="3" type="noConversion"/>
  </si>
  <si>
    <t>具有完整的功能测试报告，功能测试项目主要包括：等价类划分、边界值分析、错误推测分析、因果图分析、判定表驱动分析、正交实验设计、功能图分析，4分。</t>
    <phoneticPr fontId="3" type="noConversion"/>
  </si>
  <si>
    <t>具有试运行报告，3分。</t>
    <phoneticPr fontId="3" type="noConversion"/>
  </si>
  <si>
    <t>按照设备和介质的安全等级，制定了生命周期的管理措施，5分；无报废控制的要求，本评价点（分值）不得分。</t>
    <phoneticPr fontId="3" type="noConversion"/>
  </si>
  <si>
    <t>总公司风险管理部</t>
    <phoneticPr fontId="3" type="noConversion"/>
  </si>
  <si>
    <t>具有完整的重要系统单点故障定期排查的记录，5分。</t>
    <phoneticPr fontId="3" type="noConversion"/>
  </si>
  <si>
    <t>建立了系统配置管理制度与流程，5分；具有系统配置的流程记录，5分。</t>
    <phoneticPr fontId="3" type="noConversion"/>
  </si>
  <si>
    <t>系统管理员严格按照管理规定进行了系统账户管理，并定期清查系统账户，3分；重要系统的系统管理员在使用超级账户时，采取授权管控等制约措施并保留操作记录，2分。</t>
    <phoneticPr fontId="3" type="noConversion"/>
  </si>
  <si>
    <t>具有主要风险点控制措施，5分；具有主要风险点控制措施的落实记录，5分；具有主要风险危机处理预案，5分。</t>
    <phoneticPr fontId="3" type="noConversion"/>
  </si>
  <si>
    <t>具有：项目需求风险评估，2分；系统架构风险评估，2分；技术可实现性风险评估，2分；项目延期交付风险评估，2分；项目成本超支风险评估，2分；第三方风险评估，2分；测试不完整性风险评估，2分；人员流动风险评估，2分；对主要风险点进行分析4分。</t>
    <phoneticPr fontId="3" type="noConversion"/>
  </si>
  <si>
    <t>详见人力部人员变动表</t>
    <phoneticPr fontId="3" type="noConversion"/>
  </si>
  <si>
    <t>《恒安标准人寿2018年短期激励方案》</t>
    <phoneticPr fontId="3" type="noConversion"/>
  </si>
  <si>
    <t>泰康回复：投研人员以成果为导向，严格实行量化考核：投研人员是公司投资业绩的直接产出者，因此，对于其年度考核，以最核心的、量化投资业绩指标为主。同时，为了保证有效激励，对于可量化的关键绩效指标，设置三级目标制（基础目标、目标、挑战目标）。这样分级的目标体系，有效鼓励投研人员不断挑战更高业绩产出。同时，在日常工作中，投研部门内部定期进行绩效回顾和总结，确保了过程的不断优化。</t>
    <phoneticPr fontId="3" type="noConversion"/>
  </si>
  <si>
    <t>朱路总、刘峰总、任硕、边绍泉、朱逸寒JD</t>
    <phoneticPr fontId="3" type="noConversion"/>
  </si>
  <si>
    <t>HR张炜总绩效合约、JD</t>
    <phoneticPr fontId="3" type="noConversion"/>
  </si>
  <si>
    <t>泰康委托合同相关部分和投资指引</t>
    <phoneticPr fontId="3" type="noConversion"/>
  </si>
  <si>
    <t>操作风险数据库</t>
    <phoneticPr fontId="3" type="noConversion"/>
  </si>
  <si>
    <t>《恒安标准人寿委托投资管理办法》</t>
    <phoneticPr fontId="3" type="noConversion"/>
  </si>
  <si>
    <t>CWP/UWP泰康投资指引</t>
    <phoneticPr fontId="3" type="noConversion"/>
  </si>
  <si>
    <t>报送季度、年度委托投资报告</t>
    <phoneticPr fontId="3" type="noConversion"/>
  </si>
  <si>
    <t>年度资产配置情况报告</t>
    <phoneticPr fontId="3" type="noConversion"/>
  </si>
  <si>
    <t>各投资账户投资指引、O32设置、资金划拨</t>
    <phoneticPr fontId="3" type="noConversion"/>
  </si>
  <si>
    <t>产品简称：恒安标准人寿累积分红UWP、恒安标准人寿分红01、恒安标准人寿传统、恒安标准人寿传统分红。四账户分别有不同的托管账户。</t>
    <phoneticPr fontId="3" type="noConversion"/>
  </si>
  <si>
    <t>托管合同</t>
    <phoneticPr fontId="3" type="noConversion"/>
  </si>
  <si>
    <t>《投资部投资授权管理规范》</t>
    <phoneticPr fontId="3" type="noConversion"/>
  </si>
  <si>
    <t>O32/OA</t>
    <phoneticPr fontId="3" type="noConversion"/>
  </si>
  <si>
    <t>《泰康资产管理公司投资决策管理办法》</t>
    <phoneticPr fontId="3" type="noConversion"/>
  </si>
  <si>
    <t>投委会会议记录、会议纪要</t>
    <phoneticPr fontId="3" type="noConversion"/>
  </si>
  <si>
    <t>泰康回复：每笔投资决策均有书面记录，备查。</t>
    <phoneticPr fontId="3" type="noConversion"/>
  </si>
  <si>
    <t>O32</t>
    <phoneticPr fontId="3" type="noConversion"/>
  </si>
  <si>
    <t>见泰康公司股票池和债券池的构建方法、原则和流程</t>
    <phoneticPr fontId="3" type="noConversion"/>
  </si>
  <si>
    <t>《有价证券买卖委托单》、评级授信情况表</t>
    <phoneticPr fontId="3" type="noConversion"/>
  </si>
  <si>
    <t>集中交易室、电话监控、通讯工具监控。《恒安标准人寿投资部移动通讯工具集中保管工作规范》</t>
    <phoneticPr fontId="3" type="noConversion"/>
  </si>
  <si>
    <t>泰康相关制度：《公平交易制度》、《集中交易管理办法》、《集中交易补充管理办法》、《重大突发事件应急处理规定》、《重大突发事件总体应急预案》、《集中交易室固定收益交易应急管理细则》、《交易对手信用风险管理实施细则》、《银行间债券市场交易对手询价及管理细则》、《关联交易管理办法》、《关于进一步加强异常事件管理的通知》</t>
    <phoneticPr fontId="3" type="noConversion"/>
  </si>
  <si>
    <t>O32</t>
    <phoneticPr fontId="3" type="noConversion"/>
  </si>
  <si>
    <t>泰康回复交易记录完整，备查。</t>
    <phoneticPr fontId="3" type="noConversion"/>
  </si>
  <si>
    <t>《恒安标准人寿金融资产会计分类管理制度》</t>
    <phoneticPr fontId="3" type="noConversion"/>
  </si>
  <si>
    <t>泰康相关制度：《产品估值突发事件处理办法 》、《账户管理细则 》、《估值原则》、《基础设施及不动产投资计划会计核算实施细则 》、《受托资产会计核算办法 》、《估值小组管理细则 》、《金融资产分类管理实施细则 》。</t>
    <phoneticPr fontId="3" type="noConversion"/>
  </si>
  <si>
    <t>O32日操作流程控制，投资部门的业务交易台账与后台清算记录和资金记录保持一致，每日进行清算和交易信息核对。</t>
    <phoneticPr fontId="3" type="noConversion"/>
  </si>
  <si>
    <t>工行估值表、交易流水</t>
    <phoneticPr fontId="3" type="noConversion"/>
  </si>
  <si>
    <t>保监会月报，报送每月资金运用情况</t>
    <phoneticPr fontId="3" type="noConversion"/>
  </si>
  <si>
    <t>对《保险资金运用管理办法》缺口分析，新建及更新系列制度，如风险责任人管理办法。</t>
  </si>
  <si>
    <t>部门紧跟政策变化，积极参加监管部门和同业组织的各项培训。公司风险管理部多次对全体投资部人员进行偿二代政策进行培训。投资部集体学习2018年颁布的《保险资金运用管理办法》。</t>
    <phoneticPr fontId="3" type="noConversion"/>
  </si>
  <si>
    <t>无错报、漏报、未按时报送等差错</t>
    <phoneticPr fontId="3" type="noConversion"/>
  </si>
  <si>
    <t xml:space="preserve"> 风险事件合计次数指保险公司会计差错量、偿付能力报告差错量、财务报告差错量、资金管理操作风险事件、印章管理操作风险事件、税收操作风险事件等5项风险事件相加之和，各保险公司风险事件合计次数的算术平均数为该指标的行业平均水平。</t>
    <phoneticPr fontId="3" type="noConversion"/>
  </si>
  <si>
    <t>理赔管理操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phoneticPr fontId="3" type="noConversion"/>
  </si>
  <si>
    <t>最近4个季度内未发生资金管理类操作风险事件的，得4分；最近4个季度内发生1次以上、3次以内资金管理类操作风险事件的，得2分；最近4个季度内发生的资金管理类操作风险事件次数超过3次的，得0分。</t>
    <phoneticPr fontId="3" type="noConversion"/>
  </si>
  <si>
    <t>管理层离职率≤30%，得3分；30%＜管理层离职率≤50%，得1.5分；管理层离职率&gt;50%，得0分。</t>
    <phoneticPr fontId="3" type="noConversion"/>
  </si>
  <si>
    <t>90%&lt;犹豫期内电话回访成功率≤100% ，得2分；  80%&lt;犹豫期内电话回访成功率≤90%，得1分；   70%&lt;犹豫期内电话回访成功率≤80%，得0.5分；犹豫期内电话回访成功率≤70%，得 0分。</t>
    <phoneticPr fontId="3" type="noConversion"/>
  </si>
  <si>
    <t>2|未将操作风险纳入省级分公司和中心支公司销售、承保、保全部门负责人考核体系</t>
    <phoneticPr fontId="3" type="noConversion"/>
  </si>
  <si>
    <t>不适用</t>
  </si>
  <si>
    <t>评估期末，专职从事人身保险核保工作的内勤员工数量</t>
    <phoneticPr fontId="12" type="noConversion"/>
  </si>
  <si>
    <t>最近4个季度公司自查发现存在销售人员管理操作风险事件的次数</t>
    <phoneticPr fontId="3" type="noConversion"/>
  </si>
  <si>
    <t>最近4个季度公司自查发现理赔管理操作风险事件的次数</t>
    <phoneticPr fontId="3" type="noConversion"/>
  </si>
  <si>
    <t>最近4个季度公司发生业内欺诈案件的次数</t>
    <phoneticPr fontId="3" type="noConversion"/>
  </si>
  <si>
    <t>最近4个季度公司自查发现资金管理类操作风险事件次数</t>
    <phoneticPr fontId="3" type="noConversion"/>
  </si>
  <si>
    <t>最近4个季度公司自查发现单证印章管理操作风险事件次数</t>
    <phoneticPr fontId="3" type="noConversion"/>
  </si>
  <si>
    <t>数据提供部门</t>
    <phoneticPr fontId="3" type="noConversion"/>
  </si>
  <si>
    <t>评分标准</t>
    <phoneticPr fontId="3" type="noConversion"/>
  </si>
  <si>
    <t>统计期间</t>
    <phoneticPr fontId="3" type="noConversion"/>
  </si>
  <si>
    <t>证据</t>
    <phoneticPr fontId="3" type="noConversion"/>
  </si>
  <si>
    <t>分值</t>
    <phoneticPr fontId="3" type="noConversion"/>
  </si>
  <si>
    <t>数据校验</t>
    <phoneticPr fontId="3" type="noConversion"/>
  </si>
  <si>
    <t>2|未将操作风险纳入省级分公司和中心支公司销售、承保、保全部门负责人考核体系</t>
    <phoneticPr fontId="3" type="noConversion"/>
  </si>
  <si>
    <t>直接评分扣分项</t>
    <phoneticPr fontId="12" type="noConversion"/>
  </si>
  <si>
    <t>直接评分扣分</t>
    <phoneticPr fontId="12" type="noConversion"/>
  </si>
  <si>
    <t>数据提供部门</t>
    <phoneticPr fontId="3" type="noConversion"/>
  </si>
  <si>
    <t>OR08扣分情况</t>
    <phoneticPr fontId="3" type="noConversion"/>
  </si>
  <si>
    <t>直接评分得分</t>
    <phoneticPr fontId="3" type="noConversion"/>
  </si>
  <si>
    <t>行业水平确定可得</t>
    <phoneticPr fontId="3" type="noConversion"/>
  </si>
  <si>
    <t>行业水平总分</t>
    <phoneticPr fontId="3" type="noConversion"/>
  </si>
  <si>
    <t>直接评分总分</t>
    <phoneticPr fontId="3" type="noConversion"/>
  </si>
  <si>
    <t>直接评分扣分</t>
    <phoneticPr fontId="3" type="noConversion"/>
  </si>
  <si>
    <t>未发现</t>
    <phoneticPr fontId="3" type="noConversion"/>
  </si>
  <si>
    <t>4个季度</t>
    <phoneticPr fontId="3" type="noConversion"/>
  </si>
  <si>
    <t>DW系统RP6-1报表</t>
    <phoneticPr fontId="3" type="noConversion"/>
  </si>
  <si>
    <t>DW系统RP6-1报表</t>
    <phoneticPr fontId="3" type="noConversion"/>
  </si>
  <si>
    <t>评估期内</t>
    <phoneticPr fontId="3" type="noConversion"/>
  </si>
  <si>
    <t>4个季度</t>
    <phoneticPr fontId="3" type="noConversion"/>
  </si>
  <si>
    <t>扣分项</t>
    <phoneticPr fontId="3" type="noConversion"/>
  </si>
  <si>
    <t>不扣分</t>
    <phoneticPr fontId="3" type="noConversion"/>
  </si>
  <si>
    <t>评估期内</t>
    <phoneticPr fontId="3" type="noConversion"/>
  </si>
  <si>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phoneticPr fontId="3" type="noConversion"/>
  </si>
  <si>
    <t>行业水平评分</t>
    <phoneticPr fontId="3" type="noConversion"/>
  </si>
  <si>
    <t>总分</t>
    <phoneticPr fontId="3" type="noConversion"/>
  </si>
  <si>
    <t>直接评分总分</t>
    <phoneticPr fontId="3" type="noConversion"/>
  </si>
  <si>
    <t>直接评分扣分</t>
    <phoneticPr fontId="3" type="noConversion"/>
  </si>
  <si>
    <t>行业水平总分</t>
    <phoneticPr fontId="3" type="noConversion"/>
  </si>
  <si>
    <t>公式行</t>
    <phoneticPr fontId="3" type="noConversion"/>
  </si>
  <si>
    <t>直接评分</t>
    <phoneticPr fontId="3" type="noConversion"/>
  </si>
  <si>
    <t>行业水平确定评分</t>
    <phoneticPr fontId="3" type="noConversion"/>
  </si>
  <si>
    <t>行业评分无法确定</t>
    <phoneticPr fontId="12" type="noConversion"/>
  </si>
  <si>
    <t>监管评分</t>
    <phoneticPr fontId="12" type="noConversion"/>
  </si>
  <si>
    <t>OR13扣分情况</t>
    <phoneticPr fontId="3" type="noConversion"/>
  </si>
  <si>
    <t>数据提供部门</t>
    <phoneticPr fontId="3" type="noConversion"/>
  </si>
  <si>
    <t>统计期间</t>
    <phoneticPr fontId="3" type="noConversion"/>
  </si>
  <si>
    <t>证据</t>
    <phoneticPr fontId="3" type="noConversion"/>
  </si>
  <si>
    <t>评分标准</t>
    <phoneticPr fontId="12" type="noConversion"/>
  </si>
  <si>
    <t>行业排序得分</t>
    <phoneticPr fontId="12" type="noConversion"/>
  </si>
  <si>
    <t>直接评分</t>
    <phoneticPr fontId="12" type="noConversion"/>
  </si>
  <si>
    <t>直接评分</t>
    <phoneticPr fontId="12" type="noConversion"/>
  </si>
  <si>
    <t>行业排序评分</t>
    <phoneticPr fontId="12" type="noConversion"/>
  </si>
  <si>
    <t>行业排序评分</t>
    <phoneticPr fontId="12" type="noConversion"/>
  </si>
  <si>
    <t>行业水平评分</t>
    <phoneticPr fontId="12" type="noConversion"/>
  </si>
  <si>
    <t>直接评分总分</t>
    <phoneticPr fontId="12" type="noConversion"/>
  </si>
  <si>
    <t>行业排序总分</t>
    <phoneticPr fontId="12" type="noConversion"/>
  </si>
  <si>
    <t>行业水平总分</t>
    <phoneticPr fontId="12" type="noConversion"/>
  </si>
  <si>
    <t>行业排序扣分</t>
    <phoneticPr fontId="12" type="noConversion"/>
  </si>
  <si>
    <t>行业水平扣分</t>
    <phoneticPr fontId="12" type="noConversion"/>
  </si>
  <si>
    <t>直接评分扣分</t>
    <phoneticPr fontId="12" type="noConversion"/>
  </si>
  <si>
    <t>总公司信息技术部</t>
    <phoneticPr fontId="3" type="noConversion"/>
  </si>
  <si>
    <t>直接评分</t>
    <phoneticPr fontId="3" type="noConversion"/>
  </si>
  <si>
    <t>评估期末时点</t>
    <phoneticPr fontId="3" type="noConversion"/>
  </si>
  <si>
    <t>设行业平均水平为θ，评分为：x&lt;θ，10分；θ≤x&lt;1.5θ，5分；1.5θ≤x&lt;2θ，2分；2θ≤x，0分。</t>
    <phoneticPr fontId="3" type="noConversion"/>
  </si>
  <si>
    <t>4个季度</t>
    <phoneticPr fontId="3" type="noConversion"/>
  </si>
  <si>
    <t>公式行</t>
    <phoneticPr fontId="3" type="noConversion"/>
  </si>
  <si>
    <t>行业评分无法确定</t>
    <phoneticPr fontId="12" type="noConversion"/>
  </si>
  <si>
    <t>监管评分</t>
    <phoneticPr fontId="12" type="noConversion"/>
  </si>
  <si>
    <t>扣分项</t>
    <phoneticPr fontId="12" type="noConversion"/>
  </si>
  <si>
    <t>行业评分确定可得</t>
    <phoneticPr fontId="12" type="noConversion"/>
  </si>
  <si>
    <t>√</t>
    <phoneticPr fontId="12" type="noConversion"/>
  </si>
  <si>
    <t>直接评分总分</t>
    <phoneticPr fontId="12" type="noConversion"/>
  </si>
  <si>
    <t>行业排序扣分</t>
    <phoneticPr fontId="12" type="noConversion"/>
  </si>
  <si>
    <t>行业水平扣分</t>
    <phoneticPr fontId="12" type="noConversion"/>
  </si>
  <si>
    <t>责任部门</t>
    <phoneticPr fontId="3" type="noConversion"/>
  </si>
  <si>
    <t>评估期末时点</t>
    <phoneticPr fontId="3" type="noConversion"/>
  </si>
  <si>
    <t>4个季度</t>
    <phoneticPr fontId="3" type="noConversion"/>
  </si>
  <si>
    <t>分值</t>
    <phoneticPr fontId="3" type="noConversion"/>
  </si>
  <si>
    <t>证据</t>
    <phoneticPr fontId="3" type="noConversion"/>
  </si>
  <si>
    <t>数据校验</t>
    <phoneticPr fontId="3" type="noConversion"/>
  </si>
  <si>
    <t>评分标准</t>
    <phoneticPr fontId="3" type="noConversion"/>
  </si>
  <si>
    <t>扣分项</t>
    <phoneticPr fontId="3" type="noConversion"/>
  </si>
  <si>
    <t>变动幅度</t>
    <phoneticPr fontId="3" type="noConversion"/>
  </si>
  <si>
    <t>OR04得分情况</t>
    <phoneticPr fontId="3" type="noConversion"/>
  </si>
  <si>
    <t>两季分数差</t>
    <phoneticPr fontId="3" type="noConversion"/>
  </si>
  <si>
    <t>自我评价</t>
    <phoneticPr fontId="3" type="noConversion"/>
  </si>
  <si>
    <t>是</t>
    <phoneticPr fontId="3" type="noConversion"/>
  </si>
  <si>
    <t>不适用</t>
    <phoneticPr fontId="3" type="noConversion"/>
  </si>
  <si>
    <t>直接评分总分</t>
    <phoneticPr fontId="12" type="noConversion"/>
  </si>
  <si>
    <t>行业水平评分总分</t>
    <phoneticPr fontId="12" type="noConversion"/>
  </si>
  <si>
    <t>行业水平扣分</t>
    <phoneticPr fontId="12" type="noConversion"/>
  </si>
  <si>
    <t>行业水平评分总分</t>
    <phoneticPr fontId="3" type="noConversion"/>
  </si>
  <si>
    <t>直接评分扣分</t>
    <phoneticPr fontId="3" type="noConversion"/>
  </si>
  <si>
    <t>行业水平评分扣分</t>
    <phoneticPr fontId="3" type="noConversion"/>
  </si>
  <si>
    <t>数据校验</t>
    <phoneticPr fontId="3" type="noConversion"/>
  </si>
  <si>
    <t>指标说明</t>
    <phoneticPr fontId="3" type="noConversion"/>
  </si>
  <si>
    <t>评分规则</t>
    <phoneticPr fontId="3" type="noConversion"/>
  </si>
  <si>
    <t>分数差</t>
    <phoneticPr fontId="3" type="noConversion"/>
  </si>
  <si>
    <t>操作风险</t>
    <phoneticPr fontId="3" type="noConversion"/>
  </si>
  <si>
    <t>销售、承保、保全业务线</t>
    <phoneticPr fontId="3" type="noConversion"/>
  </si>
  <si>
    <t>1/9</t>
    <phoneticPr fontId="3" type="noConversion"/>
  </si>
  <si>
    <t>1/18</t>
    <phoneticPr fontId="3" type="noConversion"/>
  </si>
  <si>
    <t>1/36</t>
    <phoneticPr fontId="3" type="noConversion"/>
  </si>
  <si>
    <t>理赔业务线</t>
    <phoneticPr fontId="3" type="noConversion"/>
  </si>
  <si>
    <t>财务管理</t>
    <phoneticPr fontId="3" type="noConversion"/>
  </si>
  <si>
    <t>资金运用业务线</t>
    <phoneticPr fontId="3" type="noConversion"/>
  </si>
  <si>
    <t>—</t>
    <phoneticPr fontId="3" type="noConversion"/>
  </si>
  <si>
    <t>合规风险</t>
    <phoneticPr fontId="3" type="noConversion"/>
  </si>
  <si>
    <t>公司治理业务线</t>
    <phoneticPr fontId="3" type="noConversion"/>
  </si>
  <si>
    <t>准备金、再保险管理</t>
    <phoneticPr fontId="3" type="noConversion"/>
  </si>
  <si>
    <t>2/9</t>
    <phoneticPr fontId="3" type="noConversion"/>
  </si>
  <si>
    <t>信息系统</t>
    <phoneticPr fontId="3" type="noConversion"/>
  </si>
  <si>
    <t>案件管理</t>
    <phoneticPr fontId="3" type="noConversion"/>
  </si>
  <si>
    <t>小计</t>
    <phoneticPr fontId="3" type="noConversion"/>
  </si>
  <si>
    <t>≥70</t>
  </si>
  <si>
    <t>100%</t>
    <phoneticPr fontId="3" type="noConversion"/>
  </si>
  <si>
    <t>战略风险</t>
    <phoneticPr fontId="3" type="noConversion"/>
  </si>
  <si>
    <t>声誉风险</t>
    <phoneticPr fontId="3" type="noConversion"/>
  </si>
  <si>
    <t>流动性风险</t>
    <phoneticPr fontId="3" type="noConversion"/>
  </si>
  <si>
    <t>风险综合评级</t>
    <phoneticPr fontId="3" type="noConversion"/>
  </si>
  <si>
    <t>加权</t>
    <phoneticPr fontId="3" type="noConversion"/>
  </si>
  <si>
    <t>占操作风险</t>
    <phoneticPr fontId="3" type="noConversion"/>
  </si>
  <si>
    <t>加权</t>
    <phoneticPr fontId="12" type="noConversion"/>
  </si>
  <si>
    <t>占操作风险</t>
    <phoneticPr fontId="12" type="noConversion"/>
  </si>
  <si>
    <t>加权</t>
    <phoneticPr fontId="12" type="noConversion"/>
  </si>
  <si>
    <t>占操作风险</t>
    <phoneticPr fontId="12" type="noConversion"/>
  </si>
  <si>
    <t>占加权平均</t>
    <phoneticPr fontId="12" type="noConversion"/>
  </si>
  <si>
    <t>加权</t>
    <phoneticPr fontId="3" type="noConversion"/>
  </si>
  <si>
    <t>占操作风险</t>
    <phoneticPr fontId="3" type="noConversion"/>
  </si>
  <si>
    <t>占难以量化</t>
    <phoneticPr fontId="3" type="noConversion"/>
  </si>
  <si>
    <t>加权</t>
    <phoneticPr fontId="3" type="noConversion"/>
  </si>
  <si>
    <t>占操作风险</t>
    <phoneticPr fontId="3" type="noConversion"/>
  </si>
  <si>
    <t>权重!A1</t>
  </si>
  <si>
    <t>扣分</t>
    <phoneticPr fontId="3" type="noConversion"/>
  </si>
  <si>
    <t>得分</t>
    <phoneticPr fontId="3" type="noConversion"/>
  </si>
  <si>
    <t>总分</t>
    <phoneticPr fontId="3" type="noConversion"/>
  </si>
  <si>
    <t>评估项目</t>
    <phoneticPr fontId="3" type="noConversion"/>
  </si>
  <si>
    <t>得分</t>
    <phoneticPr fontId="3" type="noConversion"/>
  </si>
  <si>
    <t>总公司得分</t>
    <phoneticPr fontId="3" type="noConversion"/>
  </si>
  <si>
    <t>分公司得分</t>
    <phoneticPr fontId="3" type="noConversion"/>
  </si>
  <si>
    <t>权重</t>
    <phoneticPr fontId="3" type="noConversion"/>
  </si>
  <si>
    <t>占本类风险的比重</t>
    <phoneticPr fontId="3" type="noConversion"/>
  </si>
  <si>
    <t>占难以量化风险的比重</t>
    <phoneticPr fontId="3" type="noConversion"/>
  </si>
  <si>
    <t>占总风险的比重</t>
    <phoneticPr fontId="3" type="noConversion"/>
  </si>
  <si>
    <t>总公司</t>
    <phoneticPr fontId="3" type="noConversion"/>
  </si>
  <si>
    <t>分公司</t>
    <phoneticPr fontId="3" type="noConversion"/>
  </si>
  <si>
    <t>北京</t>
    <phoneticPr fontId="3" type="noConversion"/>
  </si>
  <si>
    <t>天津</t>
    <phoneticPr fontId="3" type="noConversion"/>
  </si>
  <si>
    <t>辽宁</t>
    <phoneticPr fontId="3" type="noConversion"/>
  </si>
  <si>
    <t>大连</t>
    <phoneticPr fontId="3" type="noConversion"/>
  </si>
  <si>
    <t>江苏</t>
    <phoneticPr fontId="3" type="noConversion"/>
  </si>
  <si>
    <t>山东</t>
    <phoneticPr fontId="3" type="noConversion"/>
  </si>
  <si>
    <t>青岛</t>
    <phoneticPr fontId="3" type="noConversion"/>
  </si>
  <si>
    <t>河南</t>
    <phoneticPr fontId="3" type="noConversion"/>
  </si>
  <si>
    <t>广东</t>
    <phoneticPr fontId="3" type="noConversion"/>
  </si>
  <si>
    <t>四川</t>
    <phoneticPr fontId="3" type="noConversion"/>
  </si>
  <si>
    <t>风险综合评级</t>
    <phoneticPr fontId="3" type="noConversion"/>
  </si>
  <si>
    <t>战略风险</t>
    <phoneticPr fontId="3" type="noConversion"/>
  </si>
  <si>
    <t>声誉风险</t>
    <phoneticPr fontId="3" type="noConversion"/>
  </si>
  <si>
    <t>流动性风险</t>
    <phoneticPr fontId="3" type="noConversion"/>
  </si>
  <si>
    <t>操作风险</t>
    <phoneticPr fontId="3" type="noConversion"/>
  </si>
  <si>
    <t>小计</t>
    <phoneticPr fontId="3" type="noConversion"/>
  </si>
  <si>
    <t>直接确定可得</t>
    <phoneticPr fontId="3" type="noConversion"/>
  </si>
  <si>
    <t>行业水平确定可得</t>
    <phoneticPr fontId="3" type="noConversion"/>
  </si>
  <si>
    <t>行业无法确定</t>
    <phoneticPr fontId="3" type="noConversion"/>
  </si>
  <si>
    <t>监管评分</t>
    <phoneticPr fontId="3" type="noConversion"/>
  </si>
  <si>
    <t>1/9</t>
    <phoneticPr fontId="3" type="noConversion"/>
  </si>
  <si>
    <t>1/18</t>
    <phoneticPr fontId="3" type="noConversion"/>
  </si>
  <si>
    <t>1/36</t>
    <phoneticPr fontId="3" type="noConversion"/>
  </si>
  <si>
    <t>—</t>
    <phoneticPr fontId="3" type="noConversion"/>
  </si>
  <si>
    <t>2/9</t>
    <phoneticPr fontId="3" type="noConversion"/>
  </si>
  <si>
    <t>100%</t>
    <phoneticPr fontId="3" type="noConversion"/>
  </si>
  <si>
    <t>&lt;不适用&gt;</t>
    <phoneticPr fontId="12" type="noConversion"/>
  </si>
  <si>
    <t>直接扣分</t>
    <phoneticPr fontId="3" type="noConversion"/>
  </si>
  <si>
    <t>总公司扣分</t>
    <phoneticPr fontId="3" type="noConversion"/>
  </si>
  <si>
    <t>分公司扣分</t>
    <phoneticPr fontId="3" type="noConversion"/>
  </si>
  <si>
    <t>目录!A1</t>
  </si>
  <si>
    <r>
      <rPr>
        <b/>
        <sz val="11"/>
        <color theme="9"/>
        <rFont val="微软雅黑"/>
        <family val="2"/>
        <charset val="134"/>
      </rPr>
      <t>橙色为扣分：</t>
    </r>
    <r>
      <rPr>
        <b/>
        <sz val="11"/>
        <color rgb="FF00B050"/>
        <rFont val="微软雅黑"/>
        <family val="2"/>
        <charset val="134"/>
      </rPr>
      <t>绿色为扣分改善</t>
    </r>
    <r>
      <rPr>
        <b/>
        <sz val="11"/>
        <rFont val="微软雅黑"/>
        <family val="2"/>
        <charset val="134"/>
      </rPr>
      <t xml:space="preserve"> </t>
    </r>
    <r>
      <rPr>
        <b/>
        <sz val="11"/>
        <color rgb="FFFF0000"/>
        <rFont val="微软雅黑"/>
        <family val="2"/>
        <charset val="134"/>
      </rPr>
      <t>红色为扣分恶化</t>
    </r>
    <r>
      <rPr>
        <b/>
        <sz val="11"/>
        <rFont val="微软雅黑"/>
        <family val="2"/>
        <charset val="134"/>
      </rPr>
      <t/>
    </r>
    <phoneticPr fontId="3" type="noConversion"/>
  </si>
  <si>
    <t>分数差</t>
    <phoneticPr fontId="3" type="noConversion"/>
  </si>
  <si>
    <t>分数差</t>
    <phoneticPr fontId="3" type="noConversion"/>
  </si>
  <si>
    <t>占总</t>
    <phoneticPr fontId="3" type="noConversion"/>
  </si>
  <si>
    <t>目    录</t>
    <phoneticPr fontId="3" type="noConversion"/>
  </si>
  <si>
    <t>-</t>
    <phoneticPr fontId="3" type="noConversion"/>
  </si>
  <si>
    <t>+</t>
    <phoneticPr fontId="3" type="noConversion"/>
  </si>
  <si>
    <t xml:space="preserve">名称 </t>
    <rPh sb="0" eb="1">
      <t>ming'cheng</t>
    </rPh>
    <phoneticPr fontId="3" type="noConversion"/>
  </si>
  <si>
    <t>占总</t>
    <rPh sb="0" eb="1">
      <t>zhan</t>
    </rPh>
    <rPh sb="1" eb="2">
      <t>zongshu'zhi</t>
    </rPh>
    <phoneticPr fontId="3" type="noConversion"/>
  </si>
  <si>
    <t>①</t>
    <phoneticPr fontId="3" type="noConversion"/>
  </si>
  <si>
    <t>②</t>
    <phoneticPr fontId="3" type="noConversion"/>
  </si>
  <si>
    <t>③</t>
    <phoneticPr fontId="3" type="noConversion"/>
  </si>
  <si>
    <t>分数差</t>
    <phoneticPr fontId="3" type="noConversion"/>
  </si>
  <si>
    <t>扣分项</t>
    <phoneticPr fontId="3" type="noConversion"/>
  </si>
  <si>
    <t>评估时点之前12个月违规销售非保险金融产品事件的次数</t>
    <phoneticPr fontId="12" type="noConversion"/>
  </si>
  <si>
    <t>操作风险  直接扣分</t>
    <phoneticPr fontId="3" type="noConversion"/>
  </si>
  <si>
    <t>战略风险  直接扣分</t>
    <phoneticPr fontId="3" type="noConversion"/>
  </si>
  <si>
    <t>流动性风险  直接扣分</t>
    <phoneticPr fontId="3" type="noConversion"/>
  </si>
  <si>
    <t>声誉风险</t>
    <phoneticPr fontId="3" type="noConversion"/>
  </si>
  <si>
    <t>最近4个季度，监管部门发现公司存在费用管理操作风险事件的，每项次扣3分；公司自查发现公司存在费用管理操作风险事件的，每项次扣0.5分，扣完12分为止。</t>
    <phoneticPr fontId="3" type="noConversion"/>
  </si>
  <si>
    <t>最近4个季度监管部门发现资金管理类操作风险事件次数</t>
    <phoneticPr fontId="3" type="noConversion"/>
  </si>
  <si>
    <t>总公司财务部</t>
    <phoneticPr fontId="12" type="noConversion"/>
  </si>
  <si>
    <t>010-59235771</t>
  </si>
  <si>
    <t>赵玉梅诉辽宁琛德保险代理有限公司理赔纠纷案件过期</t>
    <phoneticPr fontId="12" type="noConversion"/>
  </si>
  <si>
    <t>最近4个季度投连险独立账户本年新增交费</t>
    <phoneticPr fontId="3" type="noConversion"/>
  </si>
  <si>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phoneticPr fontId="3" type="noConversion"/>
  </si>
  <si>
    <t>四川</t>
    <phoneticPr fontId="3" type="noConversion"/>
  </si>
  <si>
    <t>郑广荣</t>
  </si>
  <si>
    <t>020-62160199-8096</t>
  </si>
  <si>
    <t>020-62160010</t>
  </si>
  <si>
    <t>GZ.Deming_Sun@hengansl.com</t>
  </si>
  <si>
    <t>广东省广州市华夏路13号南岳大厦502房之一</t>
    <phoneticPr fontId="12" type="noConversion"/>
  </si>
  <si>
    <t>000056440000</t>
    <phoneticPr fontId="12" type="noConversion"/>
  </si>
  <si>
    <t>销售人员管理操作风险事件指公司存在销售人员侵占或挪用客户资金，截留保费，参与非法集资，违规销售非保险金融产品等情形。</t>
    <phoneticPr fontId="3" type="noConversion"/>
  </si>
  <si>
    <t>最近4个季度公司自查发现展业操作风险事件次数</t>
    <phoneticPr fontId="3" type="noConversion"/>
  </si>
  <si>
    <t>最近4个季度公司因反洗钱工作被监管部门下发监管函的次数</t>
    <phoneticPr fontId="3" type="noConversion"/>
  </si>
  <si>
    <t>最近4个季度公司自查发现承保管理操作风险事件次数</t>
    <phoneticPr fontId="3" type="noConversion"/>
  </si>
  <si>
    <t>最近4个季度公司自查发现保全管理操作风险事件的次数</t>
    <phoneticPr fontId="3" type="noConversion"/>
  </si>
  <si>
    <t>评估期期末省级分公司及中心支公司理赔部门负责人人数</t>
    <phoneticPr fontId="3" type="noConversion"/>
  </si>
  <si>
    <t>评估期期末省级分公司及中心支公司理赔部门负责人具有保险理赔工作5年以上相关从业经验人数</t>
    <phoneticPr fontId="3" type="noConversion"/>
  </si>
  <si>
    <t>理赔服务时效</t>
    <phoneticPr fontId="3" type="noConversion"/>
  </si>
  <si>
    <t>财会部门人员流失率</t>
    <phoneticPr fontId="3" type="noConversion"/>
  </si>
  <si>
    <t>银行账户集中管理</t>
    <phoneticPr fontId="3" type="noConversion"/>
  </si>
  <si>
    <t>评估期内公司对销售人员实施内部责任追究的人次</t>
    <phoneticPr fontId="12" type="noConversion"/>
  </si>
  <si>
    <r>
      <rPr>
        <b/>
        <sz val="11"/>
        <color rgb="FF00B050"/>
        <rFont val="宋体"/>
        <family val="3"/>
        <charset val="134"/>
        <scheme val="minor"/>
      </rPr>
      <t>绿色比上一季度好转</t>
    </r>
    <r>
      <rPr>
        <b/>
        <sz val="11"/>
        <color theme="1"/>
        <rFont val="宋体"/>
        <family val="3"/>
        <charset val="134"/>
        <scheme val="minor"/>
      </rPr>
      <t>，</t>
    </r>
    <r>
      <rPr>
        <b/>
        <sz val="11"/>
        <color theme="9"/>
        <rFont val="宋体"/>
        <family val="3"/>
        <charset val="134"/>
        <scheme val="minor"/>
      </rPr>
      <t>橙色比上一季度恶化</t>
    </r>
    <phoneticPr fontId="3" type="noConversion"/>
  </si>
  <si>
    <t>电话回访成功率</t>
    <phoneticPr fontId="12" type="noConversion"/>
  </si>
  <si>
    <t>客户信息真实性比例</t>
    <phoneticPr fontId="12" type="noConversion"/>
  </si>
  <si>
    <t>评估期公司审核发现存在客户信息缺失、虚假问题的保单件数</t>
    <phoneticPr fontId="12" type="noConversion"/>
  </si>
  <si>
    <t>评估期公司开展客户信息真实性审核的保单件数</t>
    <phoneticPr fontId="12" type="noConversion"/>
  </si>
  <si>
    <t>具有3年以上理赔工作经验的人员占比</t>
    <phoneticPr fontId="3" type="noConversion"/>
  </si>
  <si>
    <t>从事保全工作时间5年以上的人员和从事保全工作时间1年以下的人员合计占全部保全工作人员比例</t>
    <phoneticPr fontId="3" type="noConversion"/>
  </si>
  <si>
    <t>索赔核定平均时长</t>
    <phoneticPr fontId="3" type="noConversion"/>
  </si>
  <si>
    <t>赔款支付平均时长</t>
    <phoneticPr fontId="3" type="noConversion"/>
  </si>
  <si>
    <t>保全处理平均时长</t>
    <phoneticPr fontId="3" type="noConversion"/>
  </si>
  <si>
    <t>投诉处理平均时长</t>
    <phoneticPr fontId="3" type="noConversion"/>
  </si>
  <si>
    <t>财会部门主要负责人专业性</t>
    <phoneticPr fontId="12" type="noConversion"/>
  </si>
  <si>
    <t>最近4个季度资金管理操作风险事件次数</t>
    <phoneticPr fontId="12" type="noConversion"/>
  </si>
  <si>
    <t>最近4个季度内空白单证发放的数量</t>
    <phoneticPr fontId="12"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</si>
  <si>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12" type="noConversion"/>
  </si>
  <si>
    <t>3|其他</t>
    <phoneticPr fontId="12" type="noConversion"/>
  </si>
  <si>
    <t>空白单证缺失率</t>
    <phoneticPr fontId="12" type="noConversion"/>
  </si>
  <si>
    <t>总精算师变更次数</t>
    <phoneticPr fontId="3" type="noConversion"/>
  </si>
  <si>
    <t>检查发现再保险业务数据出现差错次数</t>
    <phoneticPr fontId="3" type="noConversion"/>
  </si>
  <si>
    <t>员工流失率</t>
    <phoneticPr fontId="3" type="noConversion"/>
  </si>
  <si>
    <t>代理制销售人员13个月留存率</t>
    <phoneticPr fontId="3" type="noConversion"/>
  </si>
  <si>
    <t>新契约回访完成率</t>
    <phoneticPr fontId="3" type="noConversion"/>
  </si>
  <si>
    <t xml:space="preserve"> 95%≤新契约回访完成率≤100%，得2分；90%≤新契约回访完成率&lt;95%，得1分；新契约回访完成率&lt;90% ，得0分。 </t>
    <phoneticPr fontId="3" type="noConversion"/>
  </si>
  <si>
    <t>续期收费率</t>
    <phoneticPr fontId="3" type="noConversion"/>
  </si>
  <si>
    <t>退（撤）保率</t>
    <phoneticPr fontId="3" type="noConversion"/>
  </si>
  <si>
    <t>理赔部门人员流失率</t>
    <phoneticPr fontId="3" type="noConversion"/>
  </si>
  <si>
    <t>评估期末理赔工作人员中具有3年以上理赔工作经验的人员占比。</t>
    <phoneticPr fontId="3" type="noConversion"/>
  </si>
  <si>
    <t>设行业平均水平为θ，评分为：
x&lt;0.85∙θ，4分；
0.85∙θ≤x&lt;1.25∙θ，6分；
1.25∙θ≤x&lt;1.5∙θ，8分；
1.5∙θ≤x，10分。</t>
    <phoneticPr fontId="3" type="noConversion"/>
  </si>
  <si>
    <t>财会部门人员流失率</t>
    <phoneticPr fontId="12" type="noConversion"/>
  </si>
  <si>
    <t>财会部门人员流失率小于或等于20％的，得2分；超过20％的，得0分。</t>
    <phoneticPr fontId="3" type="noConversion"/>
  </si>
  <si>
    <t>员工培训频率</t>
    <phoneticPr fontId="12" type="noConversion"/>
  </si>
  <si>
    <t>数据差错率</t>
    <phoneticPr fontId="12" type="noConversion"/>
  </si>
  <si>
    <t>最近4个季度内差错率少于1/10000的，得3分；否则，得0分。</t>
    <phoneticPr fontId="12" type="noConversion"/>
  </si>
  <si>
    <t>员工培训频率</t>
    <phoneticPr fontId="3" type="noConversion"/>
  </si>
  <si>
    <t>非寿险业务估损代数偏差率</t>
    <phoneticPr fontId="3" type="noConversion"/>
  </si>
  <si>
    <t>非寿险业务估损代数偏差率≤20%，得4分；非寿险业务估损代数偏差率＞20%，得0分。</t>
    <phoneticPr fontId="3"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</si>
  <si>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12" type="noConversion"/>
  </si>
  <si>
    <t>表格</t>
    <phoneticPr fontId="3" type="noConversion"/>
  </si>
  <si>
    <t>指标</t>
    <phoneticPr fontId="3" type="noConversion"/>
  </si>
  <si>
    <t>权重分配</t>
    <phoneticPr fontId="3" type="noConversion"/>
  </si>
  <si>
    <t>分值</t>
    <phoneticPr fontId="3" type="noConversion"/>
  </si>
  <si>
    <t>部门负责人具有5年以上保险相关从业经验的占比</t>
    <phoneticPr fontId="3" type="noConversion"/>
  </si>
  <si>
    <t>员工流失率</t>
  </si>
  <si>
    <t>部门负责人培训次数</t>
  </si>
  <si>
    <t>业绩考核</t>
    <phoneticPr fontId="3" type="noConversion"/>
  </si>
  <si>
    <t>中介协议签订率</t>
    <phoneticPr fontId="49" type="noConversion"/>
  </si>
  <si>
    <t>销售人员协议签订率</t>
    <phoneticPr fontId="49" type="noConversion"/>
  </si>
  <si>
    <t>千张保单投诉量</t>
    <phoneticPr fontId="49" type="noConversion"/>
  </si>
  <si>
    <t>代理制销售人员13个月留存率</t>
  </si>
  <si>
    <t>承保标的风险评估</t>
    <phoneticPr fontId="3" type="noConversion"/>
  </si>
  <si>
    <t>犹豫期内电话回访成功率</t>
    <phoneticPr fontId="49" type="noConversion"/>
  </si>
  <si>
    <t>新契约回访完成率</t>
    <phoneticPr fontId="49" type="noConversion"/>
  </si>
  <si>
    <t>最近4个季度公司自查发现承保管理操作风险事件次数</t>
    <phoneticPr fontId="49" type="noConversion"/>
  </si>
  <si>
    <t>续期收费率</t>
    <phoneticPr fontId="49" type="noConversion"/>
  </si>
  <si>
    <t>退（撤）保率</t>
    <phoneticPr fontId="49" type="noConversion"/>
  </si>
  <si>
    <t>保单失效率</t>
    <phoneticPr fontId="49" type="noConversion"/>
  </si>
  <si>
    <t>保全差错率</t>
    <phoneticPr fontId="49" type="noConversion"/>
  </si>
  <si>
    <t>保单质押贷款支付方式</t>
    <phoneticPr fontId="49" type="noConversion"/>
  </si>
  <si>
    <t>最近4个季度公司自查发现保全管理操作风险事件的次数</t>
    <phoneticPr fontId="49" type="noConversion"/>
  </si>
  <si>
    <t>重大操作风险事件调整（扣分项）</t>
    <phoneticPr fontId="49" type="noConversion"/>
  </si>
  <si>
    <t>账号管理安全</t>
    <phoneticPr fontId="49" type="noConversion"/>
  </si>
  <si>
    <t>佣金系统计提</t>
    <phoneticPr fontId="49" type="noConversion"/>
  </si>
  <si>
    <t>亿元保费销售、承保、保全操作风险事件数</t>
    <phoneticPr fontId="3" type="noConversion"/>
  </si>
  <si>
    <t>OR08-分公司理赔</t>
  </si>
  <si>
    <t>理赔部门负责人具有5年以上相关从业经验的占比</t>
  </si>
  <si>
    <t>理赔部门人员流失率</t>
  </si>
  <si>
    <t>理赔服务时效</t>
    <phoneticPr fontId="3" type="noConversion"/>
  </si>
  <si>
    <t>非寿险业务估损代数偏差率</t>
  </si>
  <si>
    <t>理赔档案管理</t>
  </si>
  <si>
    <t>GD</t>
    <phoneticPr fontId="3" type="noConversion"/>
  </si>
  <si>
    <t>账号管理安全</t>
  </si>
  <si>
    <t>系统对接</t>
  </si>
  <si>
    <t>亿元保费理赔操作风险事件数</t>
  </si>
  <si>
    <t>OR13-分公司财务管理</t>
  </si>
  <si>
    <t>省级分公司财会部门负责人从业经验</t>
    <phoneticPr fontId="3" type="noConversion"/>
  </si>
  <si>
    <t>财会部门人员流失率</t>
  </si>
  <si>
    <t>会计证持证率</t>
    <phoneticPr fontId="3" type="noConversion"/>
  </si>
  <si>
    <t>员工培训频率</t>
    <phoneticPr fontId="3" type="noConversion"/>
  </si>
  <si>
    <t>财务报告差错量</t>
  </si>
  <si>
    <t>财务核算操作风险事件</t>
  </si>
  <si>
    <t>最近4个季度公司自查发现资金业务操作风险事件次数</t>
    <phoneticPr fontId="3" type="noConversion"/>
  </si>
  <si>
    <t>费用预算执行情况</t>
    <phoneticPr fontId="3" type="noConversion"/>
  </si>
  <si>
    <t>最近4个季度公司自查发现费用管理操作风险事件次数</t>
    <phoneticPr fontId="3" type="noConversion"/>
  </si>
  <si>
    <t>空白单证缺失率</t>
  </si>
  <si>
    <t>最近4个季度税收操作风险事件次数</t>
    <phoneticPr fontId="3" type="noConversion"/>
  </si>
  <si>
    <t>重大操作风险事件调整（扣分项）</t>
    <phoneticPr fontId="49" type="noConversion"/>
  </si>
  <si>
    <t>亿元保费财务操作风险事件数</t>
    <phoneticPr fontId="3" type="noConversion"/>
  </si>
  <si>
    <t>加权评分</t>
    <phoneticPr fontId="3" type="noConversion"/>
  </si>
  <si>
    <t>得分</t>
    <phoneticPr fontId="3" type="noConversion"/>
  </si>
  <si>
    <t>基于声誉风险的调整</t>
    <phoneticPr fontId="3" type="noConversion"/>
  </si>
  <si>
    <t>基于战略风险的调整</t>
    <phoneticPr fontId="3" type="noConversion"/>
  </si>
  <si>
    <t>基于流动性风险的调整</t>
    <phoneticPr fontId="3" type="noConversion"/>
  </si>
  <si>
    <t>绩效得分</t>
    <phoneticPr fontId="3" type="noConversion"/>
  </si>
  <si>
    <t>IRR指标得分</t>
    <phoneticPr fontId="3" type="noConversion"/>
  </si>
  <si>
    <t>非主动指标不扣分</t>
    <phoneticPr fontId="3" type="noConversion"/>
  </si>
  <si>
    <t>IRR指标得分</t>
    <phoneticPr fontId="3" type="noConversion"/>
  </si>
  <si>
    <t>指标类型</t>
    <phoneticPr fontId="3" type="noConversion"/>
  </si>
  <si>
    <t>IRR指标</t>
    <phoneticPr fontId="3" type="noConversion"/>
  </si>
  <si>
    <t>IRR指标</t>
    <phoneticPr fontId="3" type="noConversion"/>
  </si>
  <si>
    <t>行业水平</t>
    <phoneticPr fontId="3" type="noConversion"/>
  </si>
  <si>
    <t>IRR指标得分-扣分项</t>
    <phoneticPr fontId="3" type="noConversion"/>
  </si>
  <si>
    <t>行业排序-分公司排序</t>
    <phoneticPr fontId="3" type="noConversion"/>
  </si>
  <si>
    <t>最近4个季度部门负责人培训次数</t>
    <phoneticPr fontId="3" type="noConversion"/>
  </si>
  <si>
    <t>最近4个季度部门负责人培训次数</t>
    <phoneticPr fontId="3" type="noConversion"/>
  </si>
  <si>
    <t>BJ</t>
    <phoneticPr fontId="3" type="noConversion"/>
  </si>
  <si>
    <t>TJ</t>
    <phoneticPr fontId="3" type="noConversion"/>
  </si>
  <si>
    <t>LN</t>
    <phoneticPr fontId="3" type="noConversion"/>
  </si>
  <si>
    <t>DL</t>
    <phoneticPr fontId="3" type="noConversion"/>
  </si>
  <si>
    <t>SD</t>
    <phoneticPr fontId="3" type="noConversion"/>
  </si>
  <si>
    <t>QD</t>
    <phoneticPr fontId="3" type="noConversion"/>
  </si>
  <si>
    <t>JS</t>
    <phoneticPr fontId="3" type="noConversion"/>
  </si>
  <si>
    <t>HN</t>
    <phoneticPr fontId="3" type="noConversion"/>
  </si>
  <si>
    <t>SC</t>
    <phoneticPr fontId="3" type="noConversion"/>
  </si>
  <si>
    <t>Q2理赔平均值</t>
  </si>
  <si>
    <t>IRR指标得分-扣分项</t>
    <phoneticPr fontId="3" type="noConversion"/>
  </si>
  <si>
    <t>OR04-分公司销售、承保、保全</t>
    <phoneticPr fontId="3" type="noConversion"/>
  </si>
  <si>
    <t>行业水平指标</t>
    <phoneticPr fontId="3" type="noConversion"/>
  </si>
  <si>
    <t>评估时点之前12个月发现私印宣传、培训材料事件的次数</t>
    <phoneticPr fontId="12" type="noConversion"/>
  </si>
  <si>
    <t>评估时点之前12个月发现产品说明会销售误导事件的次数</t>
    <phoneticPr fontId="12" type="noConversion"/>
  </si>
  <si>
    <t>评估时点之前12个月发现组织参与非法集资事件的次数</t>
    <phoneticPr fontId="12" type="noConversion"/>
  </si>
  <si>
    <t>评估时点之前12个月发现组织参与非法集资事件的次数</t>
    <phoneticPr fontId="3" type="noConversion"/>
  </si>
  <si>
    <t>评估时点之前12个月发现通过盗用、伪造印鉴和保单进行诈骗的次数</t>
    <phoneticPr fontId="12" type="noConversion"/>
  </si>
  <si>
    <t>评估时点之前12个月发现侵占、挪用保费事件的次数</t>
    <phoneticPr fontId="12" type="noConversion"/>
  </si>
  <si>
    <t>评估时点之前12个月发现侵占、挪用保费事件的次数</t>
    <phoneticPr fontId="3" type="noConversion"/>
  </si>
  <si>
    <t>注：橘色填充为手动填写指标，其余指标为自动生成。</t>
    <phoneticPr fontId="3" type="noConversion"/>
  </si>
  <si>
    <t>OR10-资金运用</t>
    <phoneticPr fontId="3" type="noConversion"/>
  </si>
  <si>
    <t>最近4个季度估值核算操作风险事件次数</t>
    <phoneticPr fontId="3" type="noConversion"/>
  </si>
  <si>
    <t>最近4个季度内未发生估值核算操作风险事件的，得5分；最近4个季度内发生1次以上、3次以内估值核算操作风险事件的，得3分；最近4个季度内发生的估值核算操作风险事件次数超过3次的，得0分。</t>
    <phoneticPr fontId="3" type="noConversion"/>
  </si>
  <si>
    <t>估值与核算操作风险事件包括估值核算过程中错误计价、估值差错、模型或系统误操作、错误调整金融资产会计分类等风险事件，具体事件分类不重复计算。</t>
    <phoneticPr fontId="3" type="noConversion"/>
  </si>
  <si>
    <t>指标</t>
    <phoneticPr fontId="3" type="noConversion"/>
  </si>
  <si>
    <t>会计运营部</t>
    <phoneticPr fontId="3" type="noConversion"/>
  </si>
  <si>
    <t>精算部</t>
    <phoneticPr fontId="3" type="noConversion"/>
  </si>
  <si>
    <t>保险公司自行投资的，业绩考核</t>
  </si>
  <si>
    <t>保险公司委托投资的，业绩考核</t>
  </si>
  <si>
    <t>表格</t>
    <phoneticPr fontId="3" type="noConversion"/>
  </si>
  <si>
    <t>权重分配</t>
    <phoneticPr fontId="3" type="noConversion"/>
  </si>
  <si>
    <t>精算部</t>
    <phoneticPr fontId="3" type="noConversion"/>
  </si>
  <si>
    <t>OR15-准备金再保险</t>
    <phoneticPr fontId="3" type="noConversion"/>
  </si>
  <si>
    <t>投资部</t>
    <phoneticPr fontId="3" type="noConversion"/>
  </si>
  <si>
    <t>财务管理部</t>
    <phoneticPr fontId="3" type="noConversion"/>
  </si>
  <si>
    <t>IT</t>
    <phoneticPr fontId="3" type="noConversion"/>
  </si>
  <si>
    <t>OR04-分公司销售、承保、保全</t>
    <phoneticPr fontId="3" type="noConversion"/>
  </si>
  <si>
    <t>公司自查发现账号管理安全事件的次数</t>
    <phoneticPr fontId="3" type="noConversion"/>
  </si>
  <si>
    <t>OR02-总公司销售、承保</t>
    <phoneticPr fontId="3" type="noConversion"/>
  </si>
  <si>
    <t>OR13-分公司财务管理</t>
    <phoneticPr fontId="3" type="noConversion"/>
  </si>
  <si>
    <t>省级分公司财会部门负责人从业经验</t>
  </si>
  <si>
    <t>会计证持证率</t>
  </si>
  <si>
    <t>非寿险业务非正常应收保费比例</t>
  </si>
  <si>
    <t>最近4个季度公司自查发现单证印章管理操作风险事件次数</t>
  </si>
  <si>
    <t>重大操作风险事件调整（扣分项）</t>
  </si>
  <si>
    <t>亿元保费财务操作风险事件数</t>
  </si>
  <si>
    <t>出现错报、漏报、未按时报送等差错的次数</t>
    <phoneticPr fontId="3" type="noConversion"/>
  </si>
  <si>
    <t>OR12-总公司财务管理</t>
    <phoneticPr fontId="3" type="noConversion"/>
  </si>
  <si>
    <t>财务处理是否由集团共享中心集中操作或者外包给集团内其他公司</t>
    <phoneticPr fontId="12" type="noConversion"/>
  </si>
  <si>
    <t xml:space="preserve">符合专业性要求的得6分，否则得0分；
保险公司有多个部门负责财会工作的，所有的部门主要负责人符合专业性要求得6分，否则得0分。
</t>
    <phoneticPr fontId="12" type="noConversion"/>
  </si>
  <si>
    <t>加权得分</t>
    <phoneticPr fontId="3" type="noConversion"/>
  </si>
  <si>
    <t>改动B2标题即可</t>
    <phoneticPr fontId="12" type="noConversion"/>
  </si>
  <si>
    <t>客服</t>
  </si>
  <si>
    <t>续期</t>
  </si>
  <si>
    <t>个险</t>
  </si>
  <si>
    <t>团险</t>
  </si>
  <si>
    <t>银保</t>
  </si>
  <si>
    <t>多元</t>
  </si>
  <si>
    <t>OR04-分公司销售、承保、保全</t>
    <phoneticPr fontId="3" type="noConversion"/>
  </si>
  <si>
    <t>部门负责人具有5年以上保险相关从业经验的占比</t>
    <phoneticPr fontId="3" type="noConversion"/>
  </si>
  <si>
    <t>千张保单投诉量</t>
  </si>
  <si>
    <t>承保标的风险评估情况</t>
  </si>
  <si>
    <t>新契约回访完成率</t>
    <phoneticPr fontId="3" type="noConversion"/>
  </si>
  <si>
    <t>亿元保费销售、承保、保全操作风险事件数</t>
    <phoneticPr fontId="3" type="noConversion"/>
  </si>
  <si>
    <t>重大操作风险事件的次数调整（扣分项）</t>
    <phoneticPr fontId="3" type="noConversion"/>
  </si>
  <si>
    <t>保单失效率</t>
    <phoneticPr fontId="3" type="noConversion"/>
  </si>
  <si>
    <t>佣金系统计提情况</t>
    <phoneticPr fontId="3" type="noConversion"/>
  </si>
  <si>
    <t>中介协议签订率</t>
    <phoneticPr fontId="3" type="noConversion"/>
  </si>
  <si>
    <t>OR06-总公司理赔、保全</t>
    <phoneticPr fontId="3" type="noConversion"/>
  </si>
  <si>
    <t>具有3年以上理赔工作经验的人员占比</t>
  </si>
  <si>
    <t>从事保全工作时间5年以上的人员和从事保全工作时间1年以下的人员合计占全部保全工作人员比例</t>
  </si>
  <si>
    <t>索赔核定平均时长</t>
  </si>
  <si>
    <t>赔款支付平均时长</t>
  </si>
  <si>
    <t>保全处理平均时长</t>
  </si>
  <si>
    <t>投诉处理平均时长</t>
  </si>
  <si>
    <t>理赔、保全业务引发的群体性事件</t>
  </si>
  <si>
    <t>评估期内公司对销售人员实施内部责任追究的人次</t>
    <phoneticPr fontId="3" type="noConversion"/>
  </si>
  <si>
    <t>客户信息真实性比例</t>
  </si>
  <si>
    <t>评估时点之前12个月发现私印宣传、培训材料事件的次数</t>
    <phoneticPr fontId="3" type="noConversion"/>
  </si>
  <si>
    <t>OR02-总公司销售、承保</t>
    <phoneticPr fontId="3" type="noConversion"/>
  </si>
  <si>
    <t>理赔服务时效</t>
  </si>
  <si>
    <t>最近4个季度公司自查发现理赔管理操作风险事件的次数</t>
  </si>
  <si>
    <t>最近4个季度公司发生业内欺诈案件的次数</t>
  </si>
  <si>
    <t>亿元保费理赔操作风险事件数</t>
    <phoneticPr fontId="3" type="noConversion"/>
  </si>
  <si>
    <t>OR08-分公司理赔</t>
    <phoneticPr fontId="3" type="noConversion"/>
  </si>
  <si>
    <t>非现金收款比率</t>
    <phoneticPr fontId="3" type="noConversion"/>
  </si>
  <si>
    <t>空白单证缺失率</t>
    <phoneticPr fontId="3" type="noConversion"/>
  </si>
  <si>
    <t>亿元保费财务操作风险事件数</t>
    <phoneticPr fontId="3" type="noConversion"/>
  </si>
  <si>
    <t>OR13-分公司财务管理</t>
    <phoneticPr fontId="3" type="noConversion"/>
  </si>
  <si>
    <t>空白单证缺失率</t>
    <phoneticPr fontId="3" type="noConversion"/>
  </si>
  <si>
    <t>电话回访成功率</t>
    <phoneticPr fontId="3" type="noConversion"/>
  </si>
  <si>
    <t xml:space="preserve">KRI指标 </t>
    <phoneticPr fontId="3" type="noConversion"/>
  </si>
  <si>
    <t>客服建议</t>
    <phoneticPr fontId="3" type="noConversion"/>
  </si>
  <si>
    <t>亿元保费理赔操作风险事件数=（理赔管理操作风险事件数+反欺诈操作风险事件数）/（评估期内原保费收入+评估期内保户投资款本年新增交费+评估期内投连险独立账户本年新增交费）（亿元）</t>
    <phoneticPr fontId="3" type="noConversion"/>
  </si>
  <si>
    <t>个险</t>
    <phoneticPr fontId="3" type="noConversion"/>
  </si>
  <si>
    <t>团险</t>
    <phoneticPr fontId="3" type="noConversion"/>
  </si>
  <si>
    <t>备注</t>
    <phoneticPr fontId="3" type="noConversion"/>
  </si>
  <si>
    <t>行业水平</t>
    <phoneticPr fontId="3" type="noConversion"/>
  </si>
  <si>
    <t>非主动指标不扣分</t>
    <phoneticPr fontId="3" type="noConversion"/>
  </si>
  <si>
    <t>IRR指标</t>
    <phoneticPr fontId="3" type="noConversion"/>
  </si>
  <si>
    <t>犹豫期内电话回访成功率</t>
    <phoneticPr fontId="3" type="noConversion"/>
  </si>
  <si>
    <t>续期收费率≥90%,得3分；80%≤续期收费率&lt;90%,得1.5分;续期收费率&lt;80%,得0分。</t>
    <phoneticPr fontId="3" type="noConversion"/>
  </si>
  <si>
    <t>离职率</t>
    <phoneticPr fontId="12" type="noConversion"/>
  </si>
  <si>
    <t>得分</t>
    <phoneticPr fontId="12" type="noConversion"/>
  </si>
  <si>
    <t>客服</t>
    <phoneticPr fontId="12" type="noConversion"/>
  </si>
  <si>
    <t>北京</t>
    <phoneticPr fontId="12" type="noConversion"/>
  </si>
  <si>
    <t>个险</t>
    <phoneticPr fontId="12" type="noConversion"/>
  </si>
  <si>
    <t>团险</t>
    <phoneticPr fontId="12" type="noConversion"/>
  </si>
  <si>
    <t>银保</t>
    <phoneticPr fontId="12" type="noConversion"/>
  </si>
  <si>
    <t>多元</t>
    <phoneticPr fontId="12" type="noConversion"/>
  </si>
  <si>
    <t>续期</t>
    <phoneticPr fontId="12" type="noConversion"/>
  </si>
  <si>
    <t>天津</t>
    <phoneticPr fontId="12" type="noConversion"/>
  </si>
  <si>
    <t>个险</t>
    <phoneticPr fontId="12" type="noConversion"/>
  </si>
  <si>
    <t>团险</t>
    <phoneticPr fontId="12" type="noConversion"/>
  </si>
  <si>
    <t>银保</t>
    <phoneticPr fontId="12" type="noConversion"/>
  </si>
  <si>
    <t>多元</t>
    <phoneticPr fontId="12" type="noConversion"/>
  </si>
  <si>
    <t>续期</t>
    <phoneticPr fontId="12" type="noConversion"/>
  </si>
  <si>
    <t>辽宁</t>
    <phoneticPr fontId="12" type="noConversion"/>
  </si>
  <si>
    <t>客服</t>
    <phoneticPr fontId="12" type="noConversion"/>
  </si>
  <si>
    <t>大连</t>
    <phoneticPr fontId="12" type="noConversion"/>
  </si>
  <si>
    <t>江苏</t>
    <phoneticPr fontId="12" type="noConversion"/>
  </si>
  <si>
    <t>山东</t>
    <phoneticPr fontId="12" type="noConversion"/>
  </si>
  <si>
    <t>青岛</t>
    <phoneticPr fontId="12" type="noConversion"/>
  </si>
  <si>
    <t>河南</t>
    <phoneticPr fontId="12" type="noConversion"/>
  </si>
  <si>
    <t>广东</t>
    <phoneticPr fontId="3" type="noConversion"/>
  </si>
  <si>
    <t>四川</t>
    <phoneticPr fontId="12" type="noConversion"/>
  </si>
  <si>
    <t>个险</t>
    <phoneticPr fontId="12" type="noConversion"/>
  </si>
  <si>
    <t>北京</t>
    <phoneticPr fontId="12" type="noConversion"/>
  </si>
  <si>
    <t>团险</t>
    <phoneticPr fontId="12" type="noConversion"/>
  </si>
  <si>
    <t>银保</t>
    <phoneticPr fontId="12" type="noConversion"/>
  </si>
  <si>
    <t>多元</t>
    <phoneticPr fontId="12" type="noConversion"/>
  </si>
  <si>
    <t>续期</t>
    <phoneticPr fontId="12" type="noConversion"/>
  </si>
  <si>
    <t>天津</t>
    <phoneticPr fontId="12" type="noConversion"/>
  </si>
  <si>
    <t>辽宁</t>
    <phoneticPr fontId="12" type="noConversion"/>
  </si>
  <si>
    <t>大连</t>
    <phoneticPr fontId="12" type="noConversion"/>
  </si>
  <si>
    <t>江苏</t>
    <phoneticPr fontId="12" type="noConversion"/>
  </si>
  <si>
    <t>山东</t>
    <phoneticPr fontId="12" type="noConversion"/>
  </si>
  <si>
    <t>青岛</t>
    <phoneticPr fontId="12" type="noConversion"/>
  </si>
  <si>
    <t>河南</t>
    <phoneticPr fontId="12" type="noConversion"/>
  </si>
  <si>
    <t>广东</t>
    <phoneticPr fontId="3" type="noConversion"/>
  </si>
  <si>
    <t>四川</t>
    <phoneticPr fontId="12" type="noConversion"/>
  </si>
  <si>
    <t>平均值项:得分</t>
  </si>
  <si>
    <t>平均值项:新契约回访完成率</t>
  </si>
  <si>
    <t>平均值项:离职率</t>
  </si>
  <si>
    <t>行标签</t>
  </si>
  <si>
    <t>平均值项:犹豫期内电话回访成功率</t>
  </si>
  <si>
    <t>值</t>
  </si>
  <si>
    <t>平均值项:保费继续率</t>
  </si>
  <si>
    <t>非主动指标</t>
    <phoneticPr fontId="3" type="noConversion"/>
  </si>
  <si>
    <t xml:space="preserve">1.将客服反馈的分公司数据，粘贴复制（勾选转置）粘贴进表格中   </t>
    <phoneticPr fontId="3" type="noConversion"/>
  </si>
  <si>
    <t xml:space="preserve">2.删除无效值 </t>
  </si>
  <si>
    <t>3.刷洗数据透视表</t>
    <phoneticPr fontId="3" type="noConversion"/>
  </si>
  <si>
    <t xml:space="preserve">1.将HR反馈的分公司数据，粘贴复制（勾选转置）粘贴进表格中   </t>
    <phoneticPr fontId="3" type="noConversion"/>
  </si>
  <si>
    <t xml:space="preserve">2.删除无效值 </t>
    <phoneticPr fontId="3" type="noConversion"/>
  </si>
  <si>
    <t xml:space="preserve">1.将续期反馈的分公司数据，粘贴复制（勾选转置）粘贴进表格中   </t>
    <phoneticPr fontId="3" type="noConversion"/>
  </si>
  <si>
    <t>分数</t>
    <phoneticPr fontId="3" type="noConversion"/>
  </si>
  <si>
    <t>OR02-总公司销售、承保、保全</t>
    <phoneticPr fontId="3" type="noConversion"/>
  </si>
  <si>
    <t>总公司绩效-I</t>
    <phoneticPr fontId="3" type="noConversion"/>
  </si>
  <si>
    <t>总公司绩效-II</t>
    <phoneticPr fontId="3" type="noConversion"/>
  </si>
  <si>
    <t>犹豫期内电话回访成功率</t>
    <phoneticPr fontId="3" type="noConversion"/>
  </si>
  <si>
    <t>员工流失率</t>
    <phoneticPr fontId="3" type="noConversion"/>
  </si>
  <si>
    <t>OR10-资金运用</t>
    <phoneticPr fontId="3" type="noConversion"/>
  </si>
  <si>
    <t>OR12-财务管理</t>
    <phoneticPr fontId="3" type="noConversion"/>
  </si>
  <si>
    <t>OR15-准备金再保险</t>
    <phoneticPr fontId="3" type="noConversion"/>
  </si>
  <si>
    <t>OR18-合规风险</t>
    <phoneticPr fontId="3" type="noConversion"/>
  </si>
  <si>
    <t>RR01-声誉风险</t>
    <phoneticPr fontId="3" type="noConversion"/>
  </si>
  <si>
    <t>信息系统</t>
    <phoneticPr fontId="3" type="noConversion"/>
  </si>
  <si>
    <t>案件管理</t>
    <phoneticPr fontId="3" type="noConversion"/>
  </si>
  <si>
    <t>流动性风险</t>
    <phoneticPr fontId="3" type="noConversion"/>
  </si>
  <si>
    <t>公司治理</t>
    <phoneticPr fontId="3" type="noConversion"/>
  </si>
  <si>
    <t>战略风险</t>
    <phoneticPr fontId="3" type="noConversion"/>
  </si>
  <si>
    <t>分支机构页</t>
    <phoneticPr fontId="3" type="noConversion"/>
  </si>
  <si>
    <t>绩效总分</t>
    <phoneticPr fontId="3" type="noConversion"/>
  </si>
  <si>
    <t>分公司绩效</t>
    <phoneticPr fontId="3" type="noConversion"/>
  </si>
  <si>
    <t>退撤保率</t>
    <phoneticPr fontId="3" type="noConversion"/>
  </si>
  <si>
    <t>续期收费率</t>
    <phoneticPr fontId="3" type="noConversion"/>
  </si>
  <si>
    <t>新契约回访完成率</t>
    <phoneticPr fontId="3" type="noConversion"/>
  </si>
  <si>
    <t>具有三年以上寿险准备金评估工作经验的人员占比</t>
    <phoneticPr fontId="3" type="noConversion"/>
  </si>
  <si>
    <t>总公司绩效-II</t>
    <phoneticPr fontId="3" type="noConversion"/>
  </si>
  <si>
    <t>目录</t>
    <phoneticPr fontId="3" type="noConversion"/>
  </si>
  <si>
    <t>分公司绩效</t>
    <phoneticPr fontId="3" type="noConversion"/>
  </si>
  <si>
    <t>总公司绩效-I</t>
    <phoneticPr fontId="3" type="noConversion"/>
  </si>
  <si>
    <t>绩效总分</t>
    <phoneticPr fontId="3" type="noConversion"/>
  </si>
  <si>
    <t>总公司绩效-II</t>
    <phoneticPr fontId="3" type="noConversion"/>
  </si>
  <si>
    <t>目录</t>
    <phoneticPr fontId="3" type="noConversion"/>
  </si>
  <si>
    <t>OR04</t>
    <phoneticPr fontId="3" type="noConversion"/>
  </si>
  <si>
    <t>总公司绩效-II</t>
    <phoneticPr fontId="3" type="noConversion"/>
  </si>
  <si>
    <t>评估期期末前13个月已入职且评估期在职代理制销售人员数</t>
    <phoneticPr fontId="3" type="noConversion"/>
  </si>
  <si>
    <t>评估期前13个月已入职代理制销售人员数</t>
    <phoneticPr fontId="3" type="noConversion"/>
  </si>
  <si>
    <t xml:space="preserve"> </t>
    <phoneticPr fontId="3" type="noConversion"/>
  </si>
  <si>
    <t>评估期内发现产品说明会存在销售误导问题的场次。                        
评估期为评估时点之前12个月。</t>
    <phoneticPr fontId="12" type="noConversion"/>
  </si>
  <si>
    <t>人身险公司</t>
  </si>
  <si>
    <t>金刚</t>
  </si>
  <si>
    <t>024-22585082</t>
  </si>
  <si>
    <t>朱路总、刘峰总、陈菁靓、边绍泉、朱逸寒</t>
    <phoneticPr fontId="3" type="noConversion"/>
  </si>
  <si>
    <t>内部培训较多，正常变动</t>
  </si>
  <si>
    <t>受严重处罚分支机构占比</t>
    <phoneticPr fontId="3" type="noConversion"/>
  </si>
  <si>
    <t>受严重处罚的分支机构总家次</t>
    <phoneticPr fontId="3" type="noConversion"/>
  </si>
  <si>
    <t>未受到该类行政处罚的，扣0分。
（0，行业平均值*80%]，扣5分。
（行业平均值*80%，行业平均值*120%]，扣10分。
（行业平均值*120%，+∞），扣15分。</t>
    <phoneticPr fontId="3" type="noConversion"/>
  </si>
  <si>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phoneticPr fontId="3" type="noConversion"/>
  </si>
  <si>
    <t>评估期公司理赔档案管理中存在以下情形的，每项次扣1分，扣完4分为止：
理赔档案遗失、理赔档案案卷资料不完整或要素填写不完整、理赔档案归档不及时等以及其他理赔档案管理不善情形。</t>
    <phoneticPr fontId="3"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</si>
  <si>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3" type="noConversion"/>
  </si>
  <si>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phoneticPr fontId="3"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</si>
  <si>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phoneticPr fontId="3"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</si>
  <si>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phoneticPr fontId="3" type="noConversion"/>
  </si>
  <si>
    <t>财产保险公司和再保险公司计算预期3个月内、1年内、1年以上3个期间项目的综合流动比率，计算结果大于等于100%的期间项目各得10分，小于100%的期间项目不得分；
人身保险公司计算3个月内、1年内、1年至3年内、3年至5年内、5年以上5个期间项目的综合流动比率，计算结果大于等于100%的期间项目各得6分，小于100%的期间项目不得分。</t>
    <phoneticPr fontId="3" type="noConversion"/>
  </si>
  <si>
    <t>≥70</t>
    <phoneticPr fontId="3" type="noConversion"/>
  </si>
  <si>
    <t>1|能积极参与、密切跟踪新的会计、税收、财务监管、偿付能力等政策制度，能够及时调整财务管理流程和经营行为</t>
    <phoneticPr fontId="12" type="noConversion"/>
  </si>
  <si>
    <t>理赔档案资料不完整或要素填写不完整次数</t>
    <phoneticPr fontId="3" type="noConversion"/>
  </si>
  <si>
    <t>最近4个季度投连险独立账户本年新增交费</t>
    <phoneticPr fontId="3" type="noConversion"/>
  </si>
  <si>
    <t>最近4个季度保户投资款本年新增交费</t>
    <phoneticPr fontId="3" type="noConversion"/>
  </si>
  <si>
    <t>最近4个季度评估公司原保费收入</t>
    <phoneticPr fontId="3" type="noConversion"/>
  </si>
  <si>
    <t>崔继广</t>
    <phoneticPr fontId="12" type="noConversion"/>
  </si>
  <si>
    <t>会计人员会计证持证率=期末省级分公司及所有下辖分支机构参加财务工作一年以上的会计人员中持有会计证人员数量÷期末省级分公司及所有下辖分支机构参加财务工作一年以上的会计人员总数</t>
    <phoneticPr fontId="3" type="noConversion"/>
  </si>
  <si>
    <t>发现一次，扣0.5分，扣完为止。</t>
    <phoneticPr fontId="12" type="noConversion"/>
  </si>
  <si>
    <t>空白单证缺失率小于0.1％的，得3分；否则，得0分。</t>
    <phoneticPr fontId="12" type="noConversion"/>
  </si>
  <si>
    <t>最近4个季度公司发现费用管理操作风险事件次数</t>
    <phoneticPr fontId="3" type="noConversion"/>
  </si>
  <si>
    <t>自查</t>
    <phoneticPr fontId="3" type="noConversion"/>
  </si>
  <si>
    <t>监管</t>
    <phoneticPr fontId="3" type="noConversion"/>
  </si>
  <si>
    <t>最近4个季度监管发现展业操作风险事件次数</t>
    <phoneticPr fontId="3" type="noConversion"/>
  </si>
  <si>
    <t>最近4个季度监管部门检查发现存在销售人员管理操作风险事件的次数</t>
    <phoneticPr fontId="3" type="noConversion"/>
  </si>
  <si>
    <t>最近4个季度公司因反洗钱工作被监管部门处罚次数</t>
  </si>
  <si>
    <t>最近4个季度公司因反洗钱工作被监管部门下发监管函的次数</t>
  </si>
  <si>
    <t>公司销售、承保、保全环节重大操作风险事件的次数</t>
    <phoneticPr fontId="3" type="noConversion"/>
  </si>
  <si>
    <t>公司销售、承保、保全环节重大操作风险事件调整（扣分项）</t>
    <phoneticPr fontId="49" type="noConversion"/>
  </si>
  <si>
    <t>公司自查发现账号管理安全事件的次数</t>
    <phoneticPr fontId="3" type="noConversion"/>
  </si>
  <si>
    <t>最近4个季度，监管部门发现公司存在中介业务操作风险事件的，每项次扣2分；公司自查发现存在中介业务操作风险事件的，每项次扣0.5分，扣完6分为止。</t>
    <phoneticPr fontId="49" type="noConversion"/>
  </si>
  <si>
    <t>最近4个季度监管部门发现费用管理操作风险事件次数</t>
  </si>
  <si>
    <t>最近4个季度展业操作风险事件次数</t>
    <phoneticPr fontId="3" type="noConversion"/>
  </si>
  <si>
    <t>最近4个季度中介业务操作风险事件次数</t>
    <phoneticPr fontId="3" type="noConversion"/>
  </si>
  <si>
    <t>最近4个季度销售人员管理操作风险事件的次数</t>
    <phoneticPr fontId="3" type="noConversion"/>
  </si>
  <si>
    <t>最近4个季度公司承保管理操作风险事件次数</t>
    <phoneticPr fontId="3" type="noConversion"/>
  </si>
  <si>
    <t>更新犹豫期内电话回访成功率√</t>
    <phoneticPr fontId="3" type="noConversion"/>
  </si>
  <si>
    <t>更新新契约回访完成率√</t>
    <phoneticPr fontId="3" type="noConversion"/>
  </si>
  <si>
    <t>最近4个季度公司保全管理操作风险事件的次数</t>
    <phoneticPr fontId="3" type="noConversion"/>
  </si>
  <si>
    <t>月份</t>
    <phoneticPr fontId="12" type="noConversion"/>
  </si>
  <si>
    <t>业务渠道</t>
    <phoneticPr fontId="12" type="noConversion"/>
  </si>
  <si>
    <t>实收保费</t>
    <phoneticPr fontId="12" type="noConversion"/>
  </si>
  <si>
    <t>应收保费</t>
    <phoneticPr fontId="12" type="noConversion"/>
  </si>
  <si>
    <t>保费继续率</t>
    <phoneticPr fontId="12" type="noConversion"/>
  </si>
  <si>
    <r>
      <rPr>
        <b/>
        <sz val="10"/>
        <color theme="0"/>
        <rFont val="宋体"/>
        <family val="2"/>
        <charset val="134"/>
      </rPr>
      <t>得分</t>
    </r>
    <phoneticPr fontId="3" type="noConversion"/>
  </si>
  <si>
    <t>最近4个季度公司发现费用管理操作风险事件次数</t>
    <phoneticPr fontId="3" type="noConversion"/>
  </si>
  <si>
    <t>最近4个季度公司发现资金业务操作风险事件次数</t>
    <phoneticPr fontId="3" type="noConversion"/>
  </si>
  <si>
    <t>最近4个季度公司发现单证印章管理操作风险事件次数</t>
    <phoneticPr fontId="3" type="noConversion"/>
  </si>
  <si>
    <t>最近4个季度监管部门检查发现存在销售人员管理操作风险事件的次数</t>
    <phoneticPr fontId="3" type="noConversion"/>
  </si>
  <si>
    <t>每季度确认</t>
    <phoneticPr fontId="3" type="noConversion"/>
  </si>
  <si>
    <t>行业水平</t>
    <phoneticPr fontId="3" type="noConversion"/>
  </si>
  <si>
    <t>核保人员工作年限</t>
    <phoneticPr fontId="3" type="noConversion"/>
  </si>
  <si>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phoneticPr fontId="3" type="noConversion"/>
  </si>
  <si>
    <t>收展</t>
    <phoneticPr fontId="3" type="noConversion"/>
  </si>
  <si>
    <t>二级机构</t>
    <phoneticPr fontId="3" type="noConversion"/>
  </si>
  <si>
    <t>平均值项:退撤保率</t>
  </si>
  <si>
    <t>平均值项:分数</t>
  </si>
  <si>
    <t>渠道</t>
    <phoneticPr fontId="12" type="noConversion"/>
  </si>
  <si>
    <t>分公司</t>
    <phoneticPr fontId="12" type="noConversion"/>
  </si>
  <si>
    <t>退保金</t>
    <phoneticPr fontId="3" type="noConversion"/>
  </si>
  <si>
    <t>撤保金</t>
    <phoneticPr fontId="12" type="noConversion"/>
  </si>
  <si>
    <t>预收保费</t>
    <phoneticPr fontId="12" type="noConversion"/>
  </si>
  <si>
    <t>退撤保率</t>
    <phoneticPr fontId="12" type="noConversion"/>
  </si>
  <si>
    <t>评估期内承保的保单中完成回访的保单件数</t>
    <phoneticPr fontId="12" type="noConversion"/>
  </si>
  <si>
    <t>评估期内承保的保单件数</t>
    <phoneticPr fontId="12" type="noConversion"/>
  </si>
  <si>
    <t>新契约回访完成率</t>
    <phoneticPr fontId="12" type="noConversion"/>
  </si>
  <si>
    <t>渠道</t>
    <phoneticPr fontId="12" type="noConversion"/>
  </si>
  <si>
    <t>分公司</t>
    <phoneticPr fontId="12" type="noConversion"/>
  </si>
  <si>
    <t>评估期内通过电话回访方式在犹豫期内完成新契约回访的保单件数</t>
    <phoneticPr fontId="12" type="noConversion"/>
  </si>
  <si>
    <t>犹豫期内电话回访成功率</t>
    <phoneticPr fontId="12" type="noConversion"/>
  </si>
  <si>
    <t>最近4个季度省级分公司及以下分支机构销售、承保、保全部门离职员工人数</t>
    <phoneticPr fontId="12" type="noConversion"/>
  </si>
  <si>
    <t>前4个季度初省级分公司及以下分支机构销售、承保、保全部门员工人数</t>
    <phoneticPr fontId="12" type="noConversion"/>
  </si>
  <si>
    <t>依赖</t>
    <phoneticPr fontId="3" type="noConversion"/>
  </si>
  <si>
    <t>最近4个季度公司发生欺诈案件的次数</t>
    <phoneticPr fontId="3" type="noConversion"/>
  </si>
  <si>
    <t>最近4个季度公司发现理赔管理操作风险事件的次数</t>
    <phoneticPr fontId="3" type="noConversion"/>
  </si>
  <si>
    <t>评估期末非寿险业务一年期以上应收保费余额</t>
    <phoneticPr fontId="3" type="noConversion"/>
  </si>
  <si>
    <t>评估期本期合计实收保费金额</t>
    <phoneticPr fontId="3" type="noConversion"/>
  </si>
  <si>
    <t>评估期本期预收保费总额</t>
    <phoneticPr fontId="3" type="noConversion"/>
  </si>
  <si>
    <t>DW数据统计</t>
    <phoneticPr fontId="3" type="noConversion"/>
  </si>
  <si>
    <t>评估期末非寿险业务应收保费余额</t>
    <phoneticPr fontId="3" type="noConversion"/>
  </si>
  <si>
    <t>大连分公司因虚构费用，被大连保监局罚款20万元，对银保渠道负责人罚款4万元。</t>
    <phoneticPr fontId="3" type="noConversion"/>
  </si>
  <si>
    <t>同上</t>
    <phoneticPr fontId="3" type="noConversion"/>
  </si>
  <si>
    <t>未受到行政处罚的，扣0分。
（0，行业平均值*80%]，扣5分。
（行业平均值*80%，行业平均值*120%]，扣10分。
（行业平均值*120%，+∞），扣15分。</t>
    <phoneticPr fontId="3" type="noConversion"/>
  </si>
  <si>
    <t>1.对评估期内分支机构及其责任人员罚款进行评价；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phoneticPr fontId="3" type="noConversion"/>
  </si>
  <si>
    <t>评估期末保全工作人员数量</t>
    <phoneticPr fontId="3" type="noConversion"/>
  </si>
  <si>
    <t>设行业平均水平为θ，评分为：
x&lt;0.85∙θ，4分；
0.85∙θ≤x&lt;1.25∙θ，6分；
1.25∙θ≤x&lt;1.5∙θ，8分；
1.5∙θ≤x，10分。</t>
    <phoneticPr fontId="3" type="noConversion"/>
  </si>
  <si>
    <t>评估期末，在评估公司从事保全工作时间5年以上的人员和从事保全工作时间1年以下的人员合计占全部保全工作人员的比例。</t>
    <phoneticPr fontId="3" type="noConversion"/>
  </si>
  <si>
    <t>评估期末理赔工作人员数量</t>
    <phoneticPr fontId="3" type="noConversion"/>
  </si>
  <si>
    <t>最近4个季度内省公司及以下分支机构理赔部门离职员工人数</t>
    <phoneticPr fontId="3" type="noConversion"/>
  </si>
  <si>
    <t>最近4个季度省公司及以下分支机构增加的理赔人员数量</t>
    <phoneticPr fontId="3" type="noConversion"/>
  </si>
  <si>
    <t>评估期末具有3年以上理赔工作经验的理赔工作人员数量</t>
    <phoneticPr fontId="3" type="noConversion"/>
  </si>
  <si>
    <t>评估期本期合计退保金总额</t>
    <phoneticPr fontId="3" type="noConversion"/>
  </si>
  <si>
    <t>评估期内退保金</t>
    <phoneticPr fontId="3"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</si>
  <si>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phoneticPr fontId="3" type="noConversion"/>
  </si>
  <si>
    <t>总公司财务部</t>
    <phoneticPr fontId="12" type="noConversion"/>
  </si>
  <si>
    <t>非现金付款比率</t>
    <phoneticPr fontId="3" type="noConversion"/>
  </si>
  <si>
    <t>评估期内赔付金</t>
    <phoneticPr fontId="3" type="noConversion"/>
  </si>
  <si>
    <t>北京</t>
    <phoneticPr fontId="3" type="noConversion"/>
  </si>
  <si>
    <t>过去2年公司总精算师（包括精算临时负责人）的变更次数。</t>
    <phoneticPr fontId="3" type="noConversion"/>
  </si>
  <si>
    <t>18Q4评分</t>
    <phoneticPr fontId="3" type="noConversion"/>
  </si>
  <si>
    <t>更新续期收费率√</t>
    <phoneticPr fontId="3" type="noConversion"/>
  </si>
  <si>
    <t>更新员工流失率√</t>
    <phoneticPr fontId="3" type="noConversion"/>
  </si>
  <si>
    <t>更新退撤保率√</t>
    <phoneticPr fontId="3" type="noConversion"/>
  </si>
  <si>
    <t xml:space="preserve"> </t>
    <phoneticPr fontId="3" type="noConversion"/>
  </si>
  <si>
    <t>无错报、漏报、未按时报送等差错</t>
    <phoneticPr fontId="3" type="noConversion"/>
  </si>
  <si>
    <t>财务报告评价依据</t>
    <phoneticPr fontId="3" type="noConversion"/>
  </si>
  <si>
    <t>最近4个季度内，未发生过错报、漏报和未按时报送的，得4分；错报、漏报或未按时报送的次数少于2次的，得2分；错报、漏报或未按时报送的次数超过2次，或者发生1次重大错报或漏报的，得0分。</t>
    <phoneticPr fontId="3" type="noConversion"/>
  </si>
  <si>
    <t>千张保单投诉量</t>
    <phoneticPr fontId="3" type="noConversion"/>
  </si>
  <si>
    <t>评估期内非现金付款金额</t>
    <phoneticPr fontId="3" type="noConversion"/>
  </si>
  <si>
    <t>评估期内非现金收款金额</t>
    <phoneticPr fontId="3" type="noConversion"/>
  </si>
  <si>
    <t>（1）财产险公司和再保险公司，未来1季度、未来2季度、未来3季度、未来4季度的净现金流量每项小于0的，该项得0分；净现金流量每项大于等于0的，该项得2.5分。
（2）人身险公司，现金流测试范围为公司整体，未来1季度、未来2季度、未来3季度、未来4季度、报告日后第2年、报告日后第3年的净现金流量每项小于0的，该项得0分；未来1季度、未来2季度、未来3季度、未来4季度的净现金流量每项大于等于0的，该项得2分；报告日后第2年、报告日后第3年的净现金流量每项大于等于0的，该项得1分。</t>
    <phoneticPr fontId="3" type="noConversion"/>
  </si>
  <si>
    <t>资产管理部门人员流失率</t>
    <phoneticPr fontId="3" type="noConversion"/>
  </si>
  <si>
    <t>资产管理部门人员流失率＝最近4个季度内离职的部门人员数量÷（前4个季度初的部门人员数量+最近4个季度增加的部门人员数量）×100％</t>
    <phoneticPr fontId="3" type="noConversion"/>
  </si>
  <si>
    <t>资产管理部门人员流失率小于20％的，得2分；小于30％的，得1分；超过30％的，得0分。</t>
    <phoneticPr fontId="3" type="noConversion"/>
  </si>
  <si>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phoneticPr fontId="3" type="noConversion"/>
  </si>
  <si>
    <t>郄凌鹿</t>
    <phoneticPr fontId="12" type="noConversion"/>
  </si>
  <si>
    <t>于海凤</t>
    <phoneticPr fontId="12" type="noConversion"/>
  </si>
  <si>
    <t>最近4个季度，监管部门或公司自查发现存在销售人员管理操作风险事件的，每项次扣3分，扣完6分为止。</t>
    <phoneticPr fontId="3" type="noConversion"/>
  </si>
  <si>
    <t>总公司收展部</t>
    <phoneticPr fontId="3" type="noConversion"/>
  </si>
  <si>
    <t>总公司客服部找杨子浩提供</t>
    <phoneticPr fontId="3" type="noConversion"/>
  </si>
  <si>
    <t>评估期本期应收实收保费</t>
    <phoneticPr fontId="3" type="noConversion"/>
  </si>
  <si>
    <t>评估期本期应收保费</t>
    <phoneticPr fontId="3" type="noConversion"/>
  </si>
  <si>
    <t>尽职情况</t>
    <phoneticPr fontId="3" type="noConversion"/>
  </si>
  <si>
    <t>主营和非主营业务领域符合监管要求，非主营业务清晰，可行性论证充分，与公司经营状况、管理水平和人才储备情况相匹配</t>
    <phoneticPr fontId="12" type="noConversion"/>
  </si>
  <si>
    <t>2019Q1</t>
    <phoneticPr fontId="3"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</si>
  <si>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23" type="noConversion"/>
  </si>
  <si>
    <t>赵婧颖</t>
    <phoneticPr fontId="12" type="noConversion"/>
  </si>
  <si>
    <t>代理机构总家数</t>
    <phoneticPr fontId="3" type="noConversion"/>
  </si>
  <si>
    <t>评估期内发现分支机构及其销售人员、保险中介代理机构存在私印宣传、培训材料问题的次数。                                                             
 评估期为评估时点之前12个月。</t>
    <phoneticPr fontId="12" type="noConversion"/>
  </si>
  <si>
    <t>评估期期初保全变更留存件数</t>
    <phoneticPr fontId="3" type="noConversion"/>
  </si>
  <si>
    <t>评估期内发现分支机构及其销售人员存在违规销售非保险金融产品的问题数量。                                                                                     
评估期为评估时点之前12个月。</t>
    <phoneticPr fontId="12" type="noConversion"/>
  </si>
  <si>
    <t>评估时点之前12个月发现通过盗用、伪造印鉴和保单进行诈骗的次数</t>
    <phoneticPr fontId="12" type="noConversion"/>
  </si>
  <si>
    <t>评估期内发现公司销售人员侵占、挪用保费的案件数量。                               评估期为评估时点之前12个月。</t>
    <phoneticPr fontId="12" type="noConversion"/>
  </si>
  <si>
    <t>保全差错率≤1%,得2分；1%&lt;保全差错率≤2%,得1分;保全差错率&gt;2%,得0分。</t>
    <phoneticPr fontId="3" type="noConversion"/>
  </si>
  <si>
    <t>保全差错率</t>
    <phoneticPr fontId="3" type="noConversion"/>
  </si>
  <si>
    <t>保单失效率≤3%,得3分；3%&lt;保单失效率≤5%,得1.5分;保单失效率&gt;5%,得0分。</t>
    <phoneticPr fontId="3" type="noConversion"/>
  </si>
  <si>
    <t>最近4个季度省级分公司及以下分支机构销售、承保、保全部门增加员工人数</t>
    <phoneticPr fontId="3" type="noConversion"/>
  </si>
  <si>
    <t>扣分项</t>
    <phoneticPr fontId="12" type="noConversion"/>
  </si>
  <si>
    <t>评估期公司受理的有效投诉件数总量</t>
    <phoneticPr fontId="3" type="noConversion"/>
  </si>
  <si>
    <t>1|不存在公司会计、出纳、稽核等不相容岗位兼职情况</t>
    <phoneticPr fontId="3" type="noConversion"/>
  </si>
  <si>
    <t>BJ.JingYing_Zhao@hengansl.com</t>
    <phoneticPr fontId="3" type="noConversion"/>
  </si>
  <si>
    <t>省级分公司财会部门负责人从业年限</t>
    <phoneticPr fontId="3" type="noConversion"/>
  </si>
  <si>
    <t>1|公司理赔信息系统设置了反欺诈识别提醒功能，对出险时间与起保或终止时间接近、保险年度内索赔次数异常等情况进行提示的，对重点领域和环节设立欺诈案件和可疑赔案筛查功能</t>
    <phoneticPr fontId="3" type="noConversion"/>
  </si>
  <si>
    <t>1|公司理赔信息系统与接报案系统对接，理赔信息系统中报案时间由接报案系统直接导入，报案时间无法手工修改</t>
    <phoneticPr fontId="3" type="noConversion"/>
  </si>
  <si>
    <t>期末有效保单总量</t>
    <phoneticPr fontId="3" type="noConversion"/>
  </si>
  <si>
    <t>承保标的风险评估情况</t>
    <phoneticPr fontId="3" type="noConversion"/>
  </si>
  <si>
    <t>年初累计有效保额</t>
    <phoneticPr fontId="3" type="noConversion"/>
  </si>
  <si>
    <t>评估期内通过电话回访方式在犹豫期内完成新契约回访的保单件数</t>
    <phoneticPr fontId="3" type="noConversion"/>
  </si>
  <si>
    <t>评估期内承保的保单件数</t>
    <phoneticPr fontId="3" type="noConversion"/>
  </si>
  <si>
    <t>评估期内承保的保单中完成回访的保单件数</t>
    <phoneticPr fontId="3" type="noConversion"/>
  </si>
  <si>
    <t>评估期保全变更完成件数</t>
    <phoneticPr fontId="3" type="noConversion"/>
  </si>
  <si>
    <t>评估期保全变更新增件数</t>
    <phoneticPr fontId="3" type="noConversion"/>
  </si>
  <si>
    <t>评估期操作的确认生效的保全件总量</t>
    <phoneticPr fontId="3" type="noConversion"/>
  </si>
  <si>
    <t>评估期内所有赔案支付时点至核赔完成时点差值之和</t>
    <phoneticPr fontId="3" type="noConversion"/>
  </si>
  <si>
    <t>正常结案数量</t>
    <phoneticPr fontId="3" type="noConversion"/>
  </si>
  <si>
    <t>评估期内所有已决赔案出险日至结案的天数总和</t>
    <phoneticPr fontId="3" type="noConversion"/>
  </si>
  <si>
    <t>评估期内所有已决赔案件数</t>
    <phoneticPr fontId="3" type="noConversion"/>
  </si>
  <si>
    <t>评估期转账支付至被保险人（或受益人）银行账户的赔款件数</t>
    <phoneticPr fontId="3" type="noConversion"/>
  </si>
  <si>
    <t>评估期已决赔案数量</t>
    <phoneticPr fontId="3" type="noConversion"/>
  </si>
  <si>
    <t>评估期末，公司从事寿险准备金评估工作的精算人员中具有三年以上寿险精算工作经验的人员占比。</t>
    <phoneticPr fontId="3" type="noConversion"/>
  </si>
  <si>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phoneticPr fontId="3" type="noConversion"/>
  </si>
  <si>
    <t>公司从事再保险管理工作的人员中具有三年以上相关工作经验的人员占比。再保险管理相关工作经验是指再保险合同签订和管理等工作。</t>
    <phoneticPr fontId="3" type="noConversion"/>
  </si>
  <si>
    <t>权重!A1</t>
    <phoneticPr fontId="3" type="noConversion"/>
  </si>
  <si>
    <t>评估期电话回访成功的保单件数</t>
    <phoneticPr fontId="12" type="noConversion"/>
  </si>
  <si>
    <t>评估期开展电话回访的保单件数</t>
    <phoneticPr fontId="12" type="noConversion"/>
  </si>
  <si>
    <t>评估期内承保的保单件数</t>
    <phoneticPr fontId="3" type="noConversion"/>
  </si>
  <si>
    <t>评估期内保全差错件总量</t>
    <phoneticPr fontId="3" type="noConversion"/>
  </si>
  <si>
    <t>保单质押贷款支付方式</t>
    <phoneticPr fontId="3" type="noConversion"/>
  </si>
  <si>
    <t>前4个季度初省公司及以下分支机构的理赔人员数量</t>
    <phoneticPr fontId="3" type="noConversion"/>
  </si>
  <si>
    <t>理赔档案遗失次数</t>
    <phoneticPr fontId="3" type="noConversion"/>
  </si>
  <si>
    <t>理赔档案案卷归档不及时次数</t>
    <phoneticPr fontId="3" type="noConversion"/>
  </si>
  <si>
    <t>其他理赔档案管理不善的次数</t>
    <phoneticPr fontId="3" type="noConversion"/>
  </si>
  <si>
    <t>最近4个季度监管部门发现理赔管理操作风险事件的次数</t>
    <phoneticPr fontId="3" type="noConversion"/>
  </si>
  <si>
    <t>最近4个季度公司发生业外欺诈案件的次数</t>
    <phoneticPr fontId="3" type="noConversion"/>
  </si>
  <si>
    <t>重大操作风险事件调整次数</t>
    <phoneticPr fontId="3" type="noConversion"/>
  </si>
  <si>
    <t>评估期末，具有三年以上核保工作经验的核保人员数量</t>
    <phoneticPr fontId="12" type="noConversion"/>
  </si>
  <si>
    <t>评估期所有赔案的未决估计赔款与已决赔款差值之和</t>
    <phoneticPr fontId="3" type="noConversion"/>
  </si>
  <si>
    <t>评估期内所有正常结案赔案的已决赔款之和</t>
    <phoneticPr fontId="3" type="noConversion"/>
  </si>
  <si>
    <t>000056120000</t>
    <phoneticPr fontId="12" type="noConversion"/>
  </si>
  <si>
    <t>000056110000</t>
    <phoneticPr fontId="12" type="noConversion"/>
  </si>
  <si>
    <t>销售人员协议签订率</t>
    <phoneticPr fontId="3" type="noConversion"/>
  </si>
  <si>
    <t>吴冰</t>
    <phoneticPr fontId="12" type="noConversion"/>
  </si>
  <si>
    <t>SY.Bing_Wu@hengansl.com</t>
    <phoneticPr fontId="12" type="noConversion"/>
  </si>
  <si>
    <t>梁帅</t>
    <phoneticPr fontId="12" type="noConversion"/>
  </si>
  <si>
    <t>张烜</t>
    <phoneticPr fontId="12" type="noConversion"/>
  </si>
  <si>
    <t>郭鲁宝</t>
    <phoneticPr fontId="12" type="noConversion"/>
  </si>
  <si>
    <t>jn.lubao_guo@hengansl.com</t>
    <phoneticPr fontId="12" type="noConversion"/>
  </si>
  <si>
    <t>隋海生</t>
    <phoneticPr fontId="12" type="noConversion"/>
  </si>
  <si>
    <t>孙德明</t>
    <phoneticPr fontId="12" type="noConversion"/>
  </si>
  <si>
    <t>CD.Linglu_Qie@hengansl.com</t>
    <phoneticPr fontId="12" type="noConversion"/>
  </si>
  <si>
    <t>（一）人寿保险、健康保险和意外伤害保险等保险业务；（二）上款保险的再保险业务</t>
    <phoneticPr fontId="12" type="noConversion"/>
  </si>
  <si>
    <t>在四川省行政辖区内经营以下业务（法定保险业务除外）：1、人寿保险、健康保险和意外伤害保险等保险业务；2、上款业务的再保险业务</t>
    <phoneticPr fontId="12" type="noConversion"/>
  </si>
  <si>
    <t>人寿保险；健康保险；意外伤害保险；经保监会批准的其他人身保险业务（法定保险业务除外）。(保险业务许可证有效期限以许可证为准）。（依法须经批准的项目，经相关部门批准后方可开展经营活动）。</t>
    <phoneticPr fontId="12" type="noConversion"/>
  </si>
  <si>
    <t>在山东省行政辖区内经营：（一）人寿保险、健康保险和意外伤害保险等保险业务；（二）上款业务的再保险业务（依法须经批准的项目，经相关部门批准后方可开展经营活动，有效期限以许可证为准）。</t>
    <phoneticPr fontId="12" type="noConversion"/>
  </si>
  <si>
    <t>一、人寿保险、健康保险和意外伤害保险等保险业务；二、上述业务的再保险业务</t>
    <phoneticPr fontId="12" type="noConversion"/>
  </si>
  <si>
    <t>Q2</t>
    <phoneticPr fontId="3" type="noConversion"/>
  </si>
  <si>
    <t>Q2评分</t>
    <phoneticPr fontId="3" type="noConversion"/>
  </si>
  <si>
    <t>账号管理安全评价公司销售、承保、保全等业务管理系统账号安全管理情况。</t>
    <phoneticPr fontId="3" type="noConversion"/>
  </si>
  <si>
    <t>保全管理操作风险事件指公司存在虚假批改、虚假退保、擅自注销保单等违规保全操作的情形。</t>
    <phoneticPr fontId="3" type="noConversion"/>
  </si>
  <si>
    <t>评估期内发现系统存在管控漏洞，导致理赔、保全操作出现违法违规问题。                                       
评估期为评估时点之前12个月</t>
    <phoneticPr fontId="3" type="noConversion"/>
  </si>
  <si>
    <t>评估期内系统故障导致无法进行理赔、保全操作，或者导致理赔、保全数据遗失。                            
评估期为评估时点之前12个月</t>
    <phoneticPr fontId="3" type="noConversion"/>
  </si>
  <si>
    <t>评估期内发现保全或理赔工作人员侵占、挪用保费或保险金的案件数量。                                            
评估期为评估时点之前12个月。</t>
    <phoneticPr fontId="3" type="noConversion"/>
  </si>
  <si>
    <t>评估期内保险公司受理的投诉自受理之日到向投诉人做出明确答复的时间。                                          
评估期为评估时点之前3个月。</t>
    <phoneticPr fontId="3" type="noConversion"/>
  </si>
  <si>
    <t>评估期内处理完毕的全部保全申请，从保险公司接到保全申请到处理完毕的平均天数。                 
评估期为评估时点之前3个月。</t>
    <phoneticPr fontId="3" type="noConversion"/>
  </si>
  <si>
    <t>评估期内作出核定结果的全部索赔申请从保险公司接到报案到通知被保险人或受益人核定结果的平均天数。评估期为评估时点之前3个月。</t>
    <phoneticPr fontId="3" type="noConversion"/>
  </si>
  <si>
    <t>偿付能力报告差错量指保险公司向保监会报送偿付能力报告出现错报、漏报、未按时报送等差错的次数。</t>
    <phoneticPr fontId="12" type="noConversion"/>
  </si>
  <si>
    <t>Q2评分</t>
    <phoneticPr fontId="12" type="noConversion"/>
  </si>
  <si>
    <r>
      <t>基础分5分，最高分5分，最低分0分。</t>
    </r>
    <r>
      <rPr>
        <sz val="8"/>
        <color rgb="FFFF0000"/>
        <rFont val="微软雅黑"/>
        <family val="2"/>
        <charset val="134"/>
      </rPr>
      <t>1.未建立欺诈风险的识别、计量、监测和控制的信息系统，或者现有的信息系统未嵌入上述功能，扣2分</t>
    </r>
    <r>
      <rPr>
        <sz val="8"/>
        <color theme="1"/>
        <rFont val="微软雅黑"/>
        <family val="2"/>
        <charset val="134"/>
      </rPr>
      <t>；2.未按监管规定要求向反保险欺诈系统平台报送数据，存在错报、漏报、报送不规范的，扣3分。</t>
    </r>
    <phoneticPr fontId="3" type="noConversion"/>
  </si>
  <si>
    <r>
      <t>基础分5分，最高分5分，最低分0分。1.未制定与业务种类、规模以及性质相适应的欺诈风险管理制度，扣2分；</t>
    </r>
    <r>
      <rPr>
        <sz val="8"/>
        <color rgb="FFFF0000"/>
        <rFont val="微软雅黑"/>
        <family val="2"/>
        <charset val="134"/>
      </rPr>
      <t>2.未对交易对手欺诈风险的评估、识别和管控建立制度规范，扣1分；</t>
    </r>
    <r>
      <rPr>
        <sz val="8"/>
        <color theme="1"/>
        <rFont val="微软雅黑"/>
        <family val="2"/>
        <charset val="134"/>
      </rPr>
      <t>3.未建立欺诈案件调查和协查制度，扣2分。</t>
    </r>
    <phoneticPr fontId="3" type="noConversion"/>
  </si>
  <si>
    <t>Heng An Standard Life Insurance Company Limited Beijing Branch</t>
    <phoneticPr fontId="12" type="noConversion"/>
  </si>
  <si>
    <t>Heng An Standard Life Insurance Company Limited Liaoning Branch</t>
    <phoneticPr fontId="12" type="noConversion"/>
  </si>
  <si>
    <t>Heng An Standard Life Insurance Company Limited Dalian Branch</t>
    <phoneticPr fontId="12" type="noConversion"/>
  </si>
  <si>
    <t>Heng An Standard Life Insurance Company Limited Jiangsu Branch</t>
    <phoneticPr fontId="12" type="noConversion"/>
  </si>
  <si>
    <t>Heng An Standard Life Insurance company Limited ShanDong Branch</t>
    <phoneticPr fontId="12" type="noConversion"/>
  </si>
  <si>
    <t>Heng An Standard Life Insurance Company Limited, Qingdao Branch</t>
    <phoneticPr fontId="12" type="noConversion"/>
  </si>
  <si>
    <t>Heng An Standard Life Insurance Company Limited Tianjin Branch</t>
    <phoneticPr fontId="12" type="noConversion"/>
  </si>
  <si>
    <t>吴爱军</t>
    <phoneticPr fontId="12" type="noConversion"/>
  </si>
  <si>
    <t>人寿保险、健康保险和意外伤害保险等保险业务（法定保险业务除外）。</t>
    <phoneticPr fontId="12" type="noConversion"/>
  </si>
  <si>
    <t>（一）人寿保险、健康保险和意外伤害保险等保险业务（二）上款业务的再保险业务</t>
    <phoneticPr fontId="12" type="noConversion"/>
  </si>
  <si>
    <t>在北京市行政辖区内经营下列业务（法定保险业务除外）（一）人寿保险、健康保险和意外伤害保险等保险业务；（二）上款业务的再保险业务。</t>
    <phoneticPr fontId="12" type="noConversion"/>
  </si>
  <si>
    <t>北京市东城区新怡家园甲3号楼8层803、806室</t>
    <phoneticPr fontId="12" type="noConversion"/>
  </si>
  <si>
    <t>Heng An Standard Life Insurance Company Limited Henan Branch</t>
    <phoneticPr fontId="12" type="noConversion"/>
  </si>
  <si>
    <t>Heng An Standard Life Insurance Company Limited Guangdong Branch</t>
    <phoneticPr fontId="12" type="noConversion"/>
  </si>
  <si>
    <t>Heng An Standard Life Insurance Company Limited Sichuan Branch</t>
    <phoneticPr fontId="12" type="noConversion"/>
  </si>
  <si>
    <t>展业操作风险事件</t>
  </si>
  <si>
    <t>私印宣传、培训材料</t>
  </si>
  <si>
    <t>在治乱打非排查中发现有在微信销售群中发布不准确的产品宣传信息的问题。</t>
  </si>
  <si>
    <t>不涉及</t>
  </si>
  <si>
    <t>2.分公司自查发现部分机构销售人员私自打印带有公司产品宣传内容的纸张；公司在对营销员微信群和朋友圈监控中发现丹东中心支公司业务员在朋友圈传播一份伪造的公司核保规则类的通知文件。</t>
  </si>
  <si>
    <t>保单号810-20119449 代回访、客户投诉称业务人员讲解的收益与实际不符（2018年2月内控评估、2018年3月治乱打非中发现问题）</t>
  </si>
  <si>
    <t>2.个别机构私自在A4纸上打印不合规的产品宣传单页，未经公司审批，主要问题为产品介绍不完整，未包含除外责任、犹豫期等内容。（2018年3月治乱打非中发现问题）</t>
  </si>
  <si>
    <t>2018年1月-2月开展“治乱打非”专项检查，排查2017年1月1日至2018年2月28日的电话回访问题件，发现20253418、20253242、20253243、20253260、20207828保单为代回访。此问题反映在《恒安标准人寿保险有限公司四川分公司关于开展整治销售乱象打击非法经营自查自纠工作的报告》中。</t>
  </si>
  <si>
    <t>17Q2</t>
  </si>
  <si>
    <t>保全管理操作风险事件</t>
  </si>
  <si>
    <t>17Q1</t>
  </si>
  <si>
    <t>16Q3</t>
  </si>
  <si>
    <t>中介业务操作风险事件</t>
  </si>
  <si>
    <t>重塑监管 保险监管大巡查大整治防风险”行动的总结报告）</t>
  </si>
  <si>
    <t>2017年4月，《中国人民银行南京分行反洗钱监管意见书》（反洗钱考核评级[2017](11)号）</t>
  </si>
  <si>
    <t>因反洗钱工作被监管部门下发监管函</t>
  </si>
  <si>
    <t>2017年7月，《辽宁抚顺人民银行执法检查意见书》（抚银）检意字［２０１７]第8-1号）"</t>
  </si>
  <si>
    <t>产品说明会销售误导事件</t>
  </si>
  <si>
    <t>过期</t>
    <phoneticPr fontId="3" type="noConversion"/>
  </si>
  <si>
    <t>报告区间</t>
    <phoneticPr fontId="3" type="noConversion"/>
  </si>
  <si>
    <t>报告或事项</t>
    <phoneticPr fontId="3" type="noConversion"/>
  </si>
  <si>
    <t>风险类别</t>
    <phoneticPr fontId="3" type="noConversion"/>
  </si>
  <si>
    <t>风险概述</t>
    <phoneticPr fontId="3" type="noConversion"/>
  </si>
  <si>
    <t>涉及分公司</t>
    <phoneticPr fontId="3" type="noConversion"/>
  </si>
  <si>
    <t>涉及部门</t>
    <phoneticPr fontId="3" type="noConversion"/>
  </si>
  <si>
    <t>分公司表格</t>
    <phoneticPr fontId="3" type="noConversion"/>
  </si>
  <si>
    <t>个数</t>
    <phoneticPr fontId="3" type="noConversion"/>
  </si>
  <si>
    <t>总公司表格</t>
    <phoneticPr fontId="3" type="noConversion"/>
  </si>
  <si>
    <t>N</t>
    <phoneticPr fontId="3" type="noConversion"/>
  </si>
  <si>
    <t>四川达州反洗钱监管约谈下函</t>
    <phoneticPr fontId="3" type="noConversion"/>
  </si>
  <si>
    <t>最近4个季度公司因反洗钱工作被监管部门下发监管函的次数</t>
    <phoneticPr fontId="3" type="noConversion"/>
  </si>
  <si>
    <t>四川分公司达州机构因2018年反洗钱评级为CC级，人民银行达州中心支行对达州机构进行了约谈，并下发了监管意见书。</t>
    <phoneticPr fontId="3" type="noConversion"/>
  </si>
  <si>
    <t>四川</t>
    <phoneticPr fontId="3" type="noConversion"/>
  </si>
  <si>
    <t>不涉及</t>
    <phoneticPr fontId="3" type="noConversion"/>
  </si>
  <si>
    <t>N</t>
    <phoneticPr fontId="3" type="noConversion"/>
  </si>
  <si>
    <t>19Q1</t>
    <phoneticPr fontId="3" type="noConversion"/>
  </si>
  <si>
    <t>大连银保监局自查自纠专项工作</t>
    <phoneticPr fontId="3" type="noConversion"/>
  </si>
  <si>
    <t>展业操作风险</t>
    <phoneticPr fontId="3" type="noConversion"/>
  </si>
  <si>
    <t>通过本次自查自纠工作发现，分公司存在代签字、销售误导、违规自制宣传材料等情况，分公司已将工作报告报送至大连银保监局，后续待整改完毕后再次向大连局报送整改报告。</t>
    <phoneticPr fontId="3" type="noConversion"/>
  </si>
  <si>
    <t>大连</t>
    <phoneticPr fontId="3" type="noConversion"/>
  </si>
  <si>
    <t>个险</t>
    <phoneticPr fontId="3" type="noConversion"/>
  </si>
  <si>
    <t>19Q1</t>
    <phoneticPr fontId="3" type="noConversion"/>
  </si>
  <si>
    <t>已离职销售人员管雪花现金收取客户保费</t>
    <phoneticPr fontId="3" type="noConversion"/>
  </si>
  <si>
    <t>销售人员管理操作风险</t>
    <phoneticPr fontId="3" type="noConversion"/>
  </si>
  <si>
    <t>销售人员管理操作风险事件</t>
    <phoneticPr fontId="3" type="noConversion"/>
  </si>
  <si>
    <t>18Q4</t>
    <phoneticPr fontId="3" type="noConversion"/>
  </si>
  <si>
    <t>四川客服年度投诉报告</t>
    <phoneticPr fontId="3" type="noConversion"/>
  </si>
  <si>
    <t>四川达州销售人员鲁媛代签名遭投诉</t>
    <phoneticPr fontId="3" type="noConversion"/>
  </si>
  <si>
    <t>四川</t>
    <phoneticPr fontId="3" type="noConversion"/>
  </si>
  <si>
    <t>展业操作风险事件</t>
    <phoneticPr fontId="3" type="noConversion"/>
  </si>
  <si>
    <t>不涉及</t>
    <phoneticPr fontId="3" type="noConversion"/>
  </si>
  <si>
    <t>18Q3</t>
    <phoneticPr fontId="3" type="noConversion"/>
  </si>
  <si>
    <t>山东加强自媒体保险营销宣传行为管控</t>
    <phoneticPr fontId="3" type="noConversion"/>
  </si>
  <si>
    <t>2018年3季度开展的加强自媒体保险营销行为管控工作中，发现销售人员在朋友圈发布违规信息</t>
    <phoneticPr fontId="3" type="noConversion"/>
  </si>
  <si>
    <t>山东</t>
    <phoneticPr fontId="3" type="noConversion"/>
  </si>
  <si>
    <t>2018年三季度发现以下问题：a、在“销售过程中存在夸大保险责任或保险产品利益”方面，通过投诉清单等排查，发现个别经代公司在2007年销售的领创未来累积式分红保险D款产品时可能存在夸大收益的行为。针对该问题，公司已经通过完善的内部处置流程在发现问题的第一时间进行跟进并妥善处理。（涉及报告及报送时间：20180730-年度风险排查）；b、个别销售人员存在通过微信朋友圈私自发布未经公司审核的保险营销宣传信息的行为。（涉及报告及报告时间：20180730-关于加强自媒体保险营销宣传行为管控的自查报告）</t>
    <phoneticPr fontId="3" type="noConversion"/>
  </si>
  <si>
    <t>江苏</t>
    <phoneticPr fontId="3" type="noConversion"/>
  </si>
  <si>
    <t>大连银保监局现场检查发现问题</t>
    <phoneticPr fontId="3" type="noConversion"/>
  </si>
  <si>
    <t>展业操作风险（监管）</t>
    <phoneticPr fontId="3" type="noConversion"/>
  </si>
  <si>
    <t>3季度大连保监局现场检查发现如下问题：一是内容表述不严谨。“新产品发布20170423”，推介产品为恒安标准臻爱健终身重大疾病保险，在介绍公司基本情况时，在缺少限定条件下，表述“公司治理评分是第一最高的分数”；在缺少准确数据来源的情况下，表述“行业重大疾病理赔过程中，重大疾病的理赔额度也不过刚刚上5 万保额，而我们这一款零件化、超有价值、保费低保障高的产品平均我们就16 万的理赔”。</t>
    <phoneticPr fontId="3" type="noConversion"/>
  </si>
  <si>
    <t>二是产说会课件存在不当同业比较。产说会课件“金州20180117-卓越C”，推介产品为恒安标准幸福金生卓越版两全保险C 款（分红型），课件存在以下说法，“许多公司成立时间不足30年，各个方面均处于摸索阶段；没有真正意义上经历过‘大量理赔’的过程，对于未来属于未知状态！恒安标准借鉴股东192 年沉淀了足够的经验甚至教训，有成熟的产品设计及公司运营理念；192 年至少是七八代人的‘生老病死’，经历过、赔付过、见证过！”</t>
    <phoneticPr fontId="3" type="noConversion"/>
  </si>
  <si>
    <t>费用管理操作风险（监管）监管</t>
    <phoneticPr fontId="3" type="noConversion"/>
  </si>
  <si>
    <t>银保</t>
    <phoneticPr fontId="3" type="noConversion"/>
  </si>
  <si>
    <t>费用管理操作风险事件</t>
    <phoneticPr fontId="3" type="noConversion"/>
  </si>
  <si>
    <t>保险风险排查报告、深化保险乱象整治报告</t>
    <phoneticPr fontId="3" type="noConversion"/>
  </si>
  <si>
    <t>1、销售误导问题，如个别销售人员微信朋友圈出现“停售”等违规销售宣传、部分银邮代理网点存在隐瞒风险、夸大或承诺收益问题、个别保险销售人员承诺保障收益；</t>
    <phoneticPr fontId="3" type="noConversion"/>
  </si>
  <si>
    <t>天津</t>
    <phoneticPr fontId="3" type="noConversion"/>
  </si>
  <si>
    <t>2、部分销售人员未充分说明并深入了解客户既往病史（客户未履行如实告知义务）；</t>
    <phoneticPr fontId="3" type="noConversion"/>
  </si>
  <si>
    <t>3、 销售人员未尽职致使保单出现代签情况（代签名或代抄风险提示语句）。</t>
    <phoneticPr fontId="3" type="noConversion"/>
  </si>
  <si>
    <t>18Q2</t>
    <phoneticPr fontId="3" type="noConversion"/>
  </si>
  <si>
    <t>治乱打非报告</t>
    <phoneticPr fontId="3" type="noConversion"/>
  </si>
  <si>
    <t>治乱打非期间，公司自查发现个险渠道代理人庄树红私自印发宣传折页，当场予以销毁，并已于5月8日完成问责。</t>
    <phoneticPr fontId="3" type="noConversion"/>
  </si>
  <si>
    <t>2018年二季度发现以下问题：a、部分机构销售人员存在通过微信朋友圈私自发布“理财”、“返本”、“停售”等违规字眼的信息。（涉及报告及报告时间：20180428-“重塑监管 保险监管大巡查大整治防风险”行动的总结报告）；b、南京、扬州、盐城机构个别内部培训课件中存在“存”、“理财”、“返本”等违规的销售误导字眼。（涉及报告及报告时间：20180428-“重塑监管 保险监管大巡查大整治防风险”行动的总结报告）</t>
    <phoneticPr fontId="3" type="noConversion"/>
  </si>
  <si>
    <t>2018年1季度治理销售乱象打击非法经营专项行动中，发现1 名销售人员销售非保险金融产品</t>
    <phoneticPr fontId="3" type="noConversion"/>
  </si>
  <si>
    <t>违规销售非保险金融产品事件</t>
    <phoneticPr fontId="3" type="noConversion"/>
  </si>
  <si>
    <t>Y</t>
    <phoneticPr fontId="3" type="noConversion"/>
  </si>
  <si>
    <t>18Q1</t>
    <phoneticPr fontId="3" type="noConversion"/>
  </si>
  <si>
    <t>产品市场部1季度IRR数据反馈</t>
    <phoneticPr fontId="3" type="noConversion"/>
  </si>
  <si>
    <t>声誉风险</t>
    <phoneticPr fontId="3" type="noConversion"/>
  </si>
  <si>
    <t>2018年1月30日，河南分公司接到监管部门反馈称有4名客户投诉，客户诉称通过中介机构购买了我公司个人综合意外伤害保险产品，申请退保时不接受退保损失，公司当时未予办理。随后个别客户向当地媒体《大河报》反馈， 2月1日，《大河报》发布了一篇新闻报道，对公司带来了不利影响。</t>
    <phoneticPr fontId="3" type="noConversion"/>
  </si>
  <si>
    <t>河南</t>
    <phoneticPr fontId="3" type="noConversion"/>
  </si>
  <si>
    <t>团险</t>
    <phoneticPr fontId="3" type="noConversion"/>
  </si>
  <si>
    <t>北京</t>
    <phoneticPr fontId="3" type="noConversion"/>
  </si>
  <si>
    <t>辽宁</t>
    <phoneticPr fontId="3" type="noConversion"/>
  </si>
  <si>
    <r>
      <t>3)、2018年一季度发现以下问题：a、部分机构销售人员存在通过微信朋友圈私自发布“理财”、“返本”、“停售”等违规字眼的信息。（涉及报告及报送时间：20180325--治乱打非报告）</t>
    </r>
    <r>
      <rPr>
        <sz val="11"/>
        <color theme="1"/>
        <rFont val="宋体"/>
        <family val="3"/>
        <charset val="134"/>
        <scheme val="minor"/>
      </rPr>
      <t>b、个别人员存在私自印制展业宣传资料的违规行为；（涉及报告及报送时间：20180325--治乱打非报告）c、苏州、徐州、泰州机构个别培训课件中存在“存”、“理财”、“返本”等违规的销售误导字眼；（涉及报告及报送时间：20180325--治乱打非报告）d、个别经代公司在2007年销售的领创未来累积式分红保险D款产品时可能存在夸大收益的行为；（涉及报告及报送时间：20170630关于开展销售管理情况自查自纠的报告、20180325--治乱打非报告）e、个别销售人员在销售过程中存在夸大收益等销售误导行为；（涉及报告及报送时间：20180325--治乱打非报告）</t>
    </r>
    <phoneticPr fontId="3" type="noConversion"/>
  </si>
  <si>
    <t>私印宣传、培训材料</t>
    <phoneticPr fontId="3" type="noConversion"/>
  </si>
  <si>
    <t>2018年1季度治理销售乱象打击非法经营专项行动中，发现销售人员私自制作宣传材料1项</t>
    <phoneticPr fontId="3" type="noConversion"/>
  </si>
  <si>
    <t>财务对账时发现</t>
    <phoneticPr fontId="3" type="noConversion"/>
  </si>
  <si>
    <t>资金管理操作风险</t>
    <phoneticPr fontId="3" type="noConversion"/>
  </si>
  <si>
    <t>天分银保有一笔招商银行银保通业务，保单号为10025279，投保人为王卓，保费金额为1万元，系统显示正常投保，后该投保人申请CFI，公司又向其支付1万元退保费用，财务人员通过对账发现这笔保费资金实际并未划入公司账户，经查投保人个人账户流水，发现当日有1万元的流出和流入。</t>
    <phoneticPr fontId="3" type="noConversion"/>
  </si>
  <si>
    <t>财务、银保</t>
    <phoneticPr fontId="3" type="noConversion"/>
  </si>
  <si>
    <t>财务人员对账发现，总公司2015年2月有一笔银行结算费（1000元）重复记录，但后续未发现，直到今年1季度财务对账发现。根据公司制度，超过3个月的未达账项应上报风险事件。</t>
    <phoneticPr fontId="3" type="noConversion"/>
  </si>
  <si>
    <t>总公司</t>
    <phoneticPr fontId="3" type="noConversion"/>
  </si>
  <si>
    <t>财务</t>
    <phoneticPr fontId="3" type="noConversion"/>
  </si>
  <si>
    <t>费用管理操作风险</t>
    <phoneticPr fontId="3" type="noConversion"/>
  </si>
  <si>
    <t>山东分公司银保渠道存在不合规费用问题，金额161904元。</t>
    <phoneticPr fontId="3" type="noConversion"/>
  </si>
  <si>
    <t>17Q4</t>
    <phoneticPr fontId="3" type="noConversion"/>
  </si>
  <si>
    <t>2017年4季度再次开展保险产品销售管理情况自查自纠工作</t>
    <phoneticPr fontId="3" type="noConversion"/>
  </si>
  <si>
    <t>2017年4季度再次开展保险产品销售管理情况自查自纠工作中，发现代签名、代抄录1项风险事件</t>
    <phoneticPr fontId="3" type="noConversion"/>
  </si>
  <si>
    <t>17Q3</t>
    <phoneticPr fontId="3" type="noConversion"/>
  </si>
  <si>
    <t>2017年度风险排查报告-20170731</t>
    <phoneticPr fontId="3" type="noConversion"/>
  </si>
  <si>
    <t>2017年三季度发现以下问题：a、在“销售过程中存在夸大保险责任或保险产品利益”方面，通过排查回访和投诉记录，发现个别业务员在展业过程中未能如实向投保人讲解收益不确定性的风险，未能详细讲解所有保险条款。针对该问题，公司已经通过完善的内部处置流程在发现问题的第一时间进行跟进并妥善处理。（涉及报告及报送时间：20170731--2017年度风险排查报告）。</t>
    <phoneticPr fontId="3" type="noConversion"/>
  </si>
  <si>
    <t>年度风险排查和非法集资广告资讯排查</t>
    <phoneticPr fontId="3" type="noConversion"/>
  </si>
  <si>
    <t>2017年3季度开展的年度风险排查和非法集资广告资讯排查中，发现销售人员不合规宣传材料、课件1项风险事件（不涉及私印宣传材料）</t>
    <phoneticPr fontId="3" type="noConversion"/>
  </si>
  <si>
    <t>N/A</t>
    <phoneticPr fontId="3" type="noConversion"/>
  </si>
  <si>
    <t>反洗钱操作风险</t>
    <phoneticPr fontId="3" type="noConversion"/>
  </si>
  <si>
    <t>17Q2</t>
    <phoneticPr fontId="3" type="noConversion"/>
  </si>
  <si>
    <t>关于开展保险产品销售管理情况自查自纠工作的报告201706</t>
    <phoneticPr fontId="3" type="noConversion"/>
  </si>
  <si>
    <t>检查发现部分机构销售人员展业资料，发现存在私自打印带有公司产品宣传内容的纸张，其中对产品的保险责任介绍并无夸大或隐瞒，但其中涉及的利益演示，只有中档红利演示，并无高中低三档演示，也没有明确说明“该利益演示基于公司的精算及其他假设，不代表公司的历史经营业绩，也不代表对公司未来经营业绩的预期，保单的红利分配是不确定的。”</t>
    <phoneticPr fontId="3" type="noConversion"/>
  </si>
  <si>
    <t>20170630-关于开展销售管理情况自查自纠的报告</t>
    <phoneticPr fontId="3" type="noConversion"/>
  </si>
  <si>
    <t>3)、2017年二季度发现以下问题：a、盐城和南通机构个别培训课件中存在销售误导的情况，主要体现在课件中出现“存”的字眼。（涉及报告及报送时间：20170630-关于开展销售管理情况自查自纠的报告、20170531根据34、35、40号文开展风险防控自查报告—上报总公司）；b、部分保单存在电子投保确认书、回执、照会上投保人签名存在前后风格不一致的情况，或投、被保人签字风格相似，疑似代签名的情况。（涉及报告及报送时间：20170630-关于开展销售管理情况自查自纠的报告、20170531根据34、35、40号文开展风险防控自查报告—上报总公司）；c、个别经代公司在2007年销售的领创未来累积式分红保险D款产品时可能存在夸大收益的行为。（涉及报告及报送时间：20170630关于开展销售管理情况自查自纠的报告、20161107两两回头看、20170531根据34、35、40号文开展风险防控自查报告—上报总公司）；d、个别销售人员在销售过程中存在夸大收益、代签名的行为。（涉及报告及报送时间：20170630-关于开展销售管理情况自查自纠的报告）</t>
    <phoneticPr fontId="3" type="noConversion"/>
  </si>
  <si>
    <t>个险、多元</t>
    <phoneticPr fontId="3" type="noConversion"/>
  </si>
  <si>
    <t>销售管理情况自查自纠</t>
    <phoneticPr fontId="3" type="noConversion"/>
  </si>
  <si>
    <t>2017年2季度开展的销售管理情况自查自纠工作中，发现销售人员销售误导、代抄录、私自制作宣传材料1项风险事件</t>
    <phoneticPr fontId="3" type="noConversion"/>
  </si>
  <si>
    <t>四川分公司关于开展销售管理自查自纠专项自查报告
-201706</t>
    <phoneticPr fontId="3" type="noConversion"/>
  </si>
  <si>
    <t>在2017年6月销售管理自查自纠中，发现达州中支20207271,20207272两张保单接听电话者不是同一人，存在代访。此问题反映在《销售管理自查自纠工作底稿》及《四川分公司关于开展销售管理自查自纠专项自查报告》中。</t>
    <phoneticPr fontId="3" type="noConversion"/>
  </si>
  <si>
    <t>保全管理操作风险</t>
    <phoneticPr fontId="3" type="noConversion"/>
  </si>
  <si>
    <t>2017年6月开展的销售管理情况自查自纠工作中，发现有销售人员在客户不知情代办退保情况，已查明并解决。</t>
    <phoneticPr fontId="3" type="noConversion"/>
  </si>
  <si>
    <t>客服</t>
    <phoneticPr fontId="3" type="noConversion"/>
  </si>
  <si>
    <t>2017年销售管理自查自纠发现，个险渠道在日常管理中，偶尔会发现销售人员的微信推送中会体现“XX产品停售”“年存X万”、“存X年”等不合规字样的宣传，但渠道一经发现及时会对销售人员进行提示和清理，进行批评教育。</t>
    <phoneticPr fontId="3" type="noConversion"/>
  </si>
  <si>
    <t>内审报告</t>
    <phoneticPr fontId="3" type="noConversion"/>
  </si>
  <si>
    <t>内审提供：河南银保未经审批印刷宣传产品彩页</t>
    <phoneticPr fontId="3" type="noConversion"/>
  </si>
  <si>
    <t>16Q3</t>
    <phoneticPr fontId="3" type="noConversion"/>
  </si>
  <si>
    <t>“两两”回头看报告201610</t>
    <phoneticPr fontId="3" type="noConversion"/>
  </si>
  <si>
    <t>两两回头看发现：私印宣传材料</t>
    <phoneticPr fontId="3" type="noConversion"/>
  </si>
  <si>
    <t>20160730-2016年度风险排查报告</t>
    <phoneticPr fontId="3" type="noConversion"/>
  </si>
  <si>
    <t>1）、2016年三季度发现以下问题：在“销售过程中存在夸大保险责任或保险产品收益”方面，通过排查投诉记录发现个别机构业务员在展业时未能如实向投保人讲解收益的不确定性的风险，未能详细讲解所有保险条款。（涉及报告及报送时间：20160730-2016年度风险排查报告。）</t>
    <phoneticPr fontId="3" type="noConversion"/>
  </si>
  <si>
    <t>20170630关于开展销售管理情况自查自纠的报告、20161107两两回头看、20170531根据34、35、40号文开展风险防控自查报告—上报总公司</t>
    <phoneticPr fontId="3" type="noConversion"/>
  </si>
  <si>
    <t>2)、2016年四季度发现以下问题：a、银保渠道既往业务存在客户因不满收益而投诉的情况。（有销售人员夸大收益的情况）（涉及报告及报送时间：20161107-两两回头看）；b、个别经代公司在2007年销售的领创未来累积式分红保险D款产品时可能存在夸大收益的行为。（涉及报告及报送时间：20170630关于开展销售管理情况自查自纠的报告、20161107两两回头看、20170531根据34、35、40号文开展风险防控自查报告—上报总公司）</t>
    <phoneticPr fontId="3" type="noConversion"/>
  </si>
  <si>
    <t>银保、多元、个险</t>
    <phoneticPr fontId="3" type="noConversion"/>
  </si>
  <si>
    <t>2016年度风险排查报告-20160730</t>
    <phoneticPr fontId="3" type="noConversion"/>
  </si>
  <si>
    <t>中介业务操作风险</t>
    <phoneticPr fontId="3" type="noConversion"/>
  </si>
  <si>
    <t>在“保险销售从业人员及保险代理机构不具备销售资格”方面，通过排查销售人员、与公司合作的中介机构、代理机构的销售资格，发现江苏华鹏保险代理有限公司无锡分公司2015年5月7日受到江苏省保监局处罚（〔2015〕21号），吊销经营保险代理业务许可证。但该公司未及时通知我公司该处罚结果，导致我公司在不知情的情况下，在2015年5月7日后，承保保单6件（承保日期2015年5月21日-7月31日）,合计保费约52930元。我公司发现此情况后，不再向其支付以上业务的中介手续费，并终止与该公司的合作。（涉及报告及报送时间：20160730-2016年度风险排查报告、20161107-两两回头看）</t>
    <phoneticPr fontId="3" type="noConversion"/>
  </si>
  <si>
    <t>多元</t>
    <phoneticPr fontId="3" type="noConversion"/>
  </si>
  <si>
    <t>2016年度风险排查、2016年涉嫌非法集资广告资讯信息排查清理活动</t>
    <phoneticPr fontId="3" type="noConversion"/>
  </si>
  <si>
    <t>2016年3季度开展的2016年度风险排查、2016年涉嫌非法集资广告资讯信息排查清理活动中，发现销售人员不合规宣传材料、课件1项风险事件；</t>
    <phoneticPr fontId="3" type="noConversion"/>
  </si>
  <si>
    <t>“两个加强、两个遏制”回头看</t>
    <phoneticPr fontId="3" type="noConversion"/>
  </si>
  <si>
    <t>2016年4季度开展的保险机构 “两个加强、两个遏制”回头看工作中，发现销售人员存在销售误导1项风险事件；</t>
    <phoneticPr fontId="3" type="noConversion"/>
  </si>
  <si>
    <t>两两回头看</t>
    <phoneticPr fontId="3" type="noConversion"/>
  </si>
  <si>
    <t>两两回头看发现：银保1名客户投诉，涉及销售误导问题</t>
    <phoneticPr fontId="3" type="noConversion"/>
  </si>
  <si>
    <t>最近4个季度公司自查发现中介业务操作风险事件次数</t>
    <phoneticPr fontId="3" type="noConversion"/>
  </si>
  <si>
    <t>单证回销率＝最近4个季度内已回销的有价单证数量÷最近4个季度内按公司规定时限内应回销的有价单证数量×100％。
有价单证是指公司的保单、发票、收据等有价单证。</t>
    <phoneticPr fontId="3" type="noConversion"/>
  </si>
  <si>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phoneticPr fontId="3" type="noConversion"/>
  </si>
  <si>
    <t>投研人员JD（王向宇、王宇恒、康赛、张宇、斯华景、赵一璇、汪涵）截止至6月30日</t>
    <phoneticPr fontId="3" type="noConversion"/>
  </si>
  <si>
    <t>刘总6次、贾总4次、王总4次、陈总2次</t>
    <phoneticPr fontId="3" type="noConversion"/>
  </si>
  <si>
    <t>资产配置培训17人次,O32/OA投资系统介绍17人次，中台系统20人次，固收体系21人次，信评体系16人次，股票股权投资策略22人次，财务舞弊案例分享21，估值模型介绍16人次，可转债投资介绍22人次，资管新规24人次，非标制度及指引24人次。</t>
    <phoneticPr fontId="3" type="noConversion"/>
  </si>
  <si>
    <t>行业水平确定可得</t>
    <phoneticPr fontId="12" type="noConversion"/>
  </si>
  <si>
    <t>行业水平得分</t>
    <phoneticPr fontId="12" type="noConversion"/>
  </si>
  <si>
    <t>精算提供</t>
    <phoneticPr fontId="3" type="noConversion"/>
  </si>
  <si>
    <t>N</t>
    <phoneticPr fontId="3" type="noConversion"/>
  </si>
  <si>
    <t>19Q2</t>
    <phoneticPr fontId="3" type="noConversion"/>
  </si>
  <si>
    <t>18Q3、19Q2</t>
    <phoneticPr fontId="3" type="noConversion"/>
  </si>
  <si>
    <t>18Q3、19Q2</t>
    <phoneticPr fontId="3" type="noConversion"/>
  </si>
  <si>
    <t>19Q2在对营销员展业资料检查中发现，丹东中心支公司营销员展业柜中存放有自行印制的空白《奖品签收确认函》，本溪中心支公司营销员展业柜中发现“每份保单送智能机器人一台”的自制宣传资料，涉嫌给予投保人保险合同以外的利益</t>
  </si>
  <si>
    <t>辽宁</t>
    <phoneticPr fontId="3" type="noConversion"/>
  </si>
  <si>
    <t>治理乱象报告</t>
    <phoneticPr fontId="3" type="noConversion"/>
  </si>
  <si>
    <t>个险</t>
    <phoneticPr fontId="3" type="noConversion"/>
  </si>
  <si>
    <t>19Q2开展乱象整治自查自纠专项工作，通过自查自纠工作发现，分公司存在代签字、销售误导、违规自制宣传材料等情况，分公司已将工作报告报送至大连银保监局，后续待整改完毕后再次向大连局报送整改报告。</t>
    <phoneticPr fontId="3" type="noConversion"/>
  </si>
  <si>
    <t>大连</t>
    <phoneticPr fontId="3" type="noConversion"/>
  </si>
  <si>
    <t>2019年二季度发现以下问题：a、盐城、南通机构个别培训课件中存在同业产品对比的情况；（涉及报告及报告时间：20190620-“关于开展巩固治乱象成果 促进合规建设工作的报告”）；b、个别经代公司在2007年销售的领创未来累积式分红保险D款产品时可能存在夸大收益的行为。（涉及报告及报告时间：20190620-“关于开展巩固治乱象成果 促进合规建设工作的报告”）；个别机构销售人员存在通过微信朋友圈私自发布“存”、“返本”等违规字眼的信息。（涉及报告及报告时间：20190620-“关于开展巩固治乱象成果 促进合规建设工作的报告”；20190625--关于开展2019年保险中介市场乱象整治自查自纠工作的报告）</t>
    <phoneticPr fontId="3" type="noConversion"/>
  </si>
  <si>
    <t xml:space="preserve">江苏加强自媒体保险营销宣传行为管控
</t>
    <phoneticPr fontId="3" type="noConversion"/>
  </si>
  <si>
    <t>山东</t>
    <phoneticPr fontId="3" type="noConversion"/>
  </si>
  <si>
    <t>2019Q2开展“巩固治乱象成果 促进合规建设”自查，现场检查机构发现不合规课件及宣传材料。</t>
    <phoneticPr fontId="3" type="noConversion"/>
  </si>
  <si>
    <t>19Q2在品质管理过程中发现销售误导问题：
1.郑州本部康歌在办理810-20182120保单时，仅告知客户是一款理财产品，未明确告知是保险产品；濮阳鲁彦霞（工号67300213）在办理保单840-20106096时、郑州本部冯莉娟（工号67002765）在办理保单810-20189904时，未如实引导客户告知既往病史。
2.郑州本部孙贺（工号67002433），在办理810-20200210保单时，代抄风险提示语。</t>
    <phoneticPr fontId="3" type="noConversion"/>
  </si>
  <si>
    <t>2019Q2在课件检查中发现，辽阳中心支公司、鞍山中心支公司存在使用未经合规审核的课件，自行制作的课件缺少免除责任、犹豫期、期外退保损失介绍、红利无三档红利演示、缺少红利演示说明文字等元素。
辽阳、鞍山机构各一次，合计扣1分</t>
    <phoneticPr fontId="3" type="noConversion"/>
  </si>
  <si>
    <t>课件检查</t>
    <phoneticPr fontId="3" type="noConversion"/>
  </si>
  <si>
    <t>达州</t>
    <phoneticPr fontId="3" type="noConversion"/>
  </si>
  <si>
    <t>A类评级标准（初始得分）</t>
    <phoneticPr fontId="3" type="noConversion"/>
  </si>
  <si>
    <t>≥40</t>
  </si>
  <si>
    <t>≥40</t>
    <phoneticPr fontId="3" type="noConversion"/>
  </si>
  <si>
    <t>可资本化风险</t>
    <phoneticPr fontId="3" type="noConversion"/>
  </si>
  <si>
    <t>难以资本化风险</t>
    <phoneticPr fontId="3" type="noConversion"/>
  </si>
  <si>
    <t>1.操作风险、战略风险、声誉风险、流动性风险初始得分标准化加权计算难以资本化风险；
2.难以资本化风险+可资本化风险加权计算风险综合评级</t>
    <phoneticPr fontId="3" type="noConversion"/>
  </si>
  <si>
    <t>19Q2结果</t>
    <phoneticPr fontId="3" type="noConversion"/>
  </si>
  <si>
    <t>19Q2评分</t>
    <phoneticPr fontId="3" type="noConversion"/>
  </si>
  <si>
    <t>占难以资本化</t>
    <phoneticPr fontId="3" type="noConversion"/>
  </si>
  <si>
    <t>占难以资本化</t>
    <phoneticPr fontId="12" type="noConversion"/>
  </si>
  <si>
    <t>占难以资本化</t>
    <phoneticPr fontId="3" type="noConversion"/>
  </si>
  <si>
    <t>评估期保险公司关于理赔、保全业务线的投诉次数</t>
    <phoneticPr fontId="12" type="noConversion"/>
  </si>
  <si>
    <t>评估期评估公司规模保费</t>
    <phoneticPr fontId="12" type="noConversion"/>
  </si>
  <si>
    <t>泰康回复：风险管理、监察稽核人员关键绩效指标与重点工作任务结合，监控指标是重点：除量化的关键绩效指标外，按照公司绩效管理办法，两类人员还需承担岗位重点工作任务，重点工作任务需明确制定任务完成的时间、成果、数量、质量要求，确定衡量标准。同时，两类人员需承担一些确保风险、合规的监控指标，这些监控指标基于制度要求和岗位要求，对于其绩效成绩有较大影响，严重时其绩效成绩为零。这些指标的设置，有效保证了其工作的效果。</t>
    <phoneticPr fontId="3" type="noConversion"/>
  </si>
  <si>
    <t>评估期期末省级分公司和中心支公司销售、承保、保全部门负责人具有5年以上保险相关从业经验人数</t>
    <phoneticPr fontId="3" type="noConversion"/>
  </si>
  <si>
    <t>最近4个季度，省公司销售、承保、保全部门负责人接受监管部门或公司组织的风险管理方面培训不少于3次，得3分；接受了培训但次数少于3次，得1.5分；未接受培训，得0分。</t>
    <phoneticPr fontId="3" type="noConversion"/>
  </si>
  <si>
    <t>最近4个季度保户投资款本年新增交费</t>
    <phoneticPr fontId="3" type="noConversion"/>
  </si>
  <si>
    <t>评估期末，核保人员中具有三年以上核保工作经验的人员占比。</t>
    <phoneticPr fontId="12" type="noConversion"/>
  </si>
  <si>
    <t>设行业平均水平为θ，评分为：
x&lt;0.85∙θ，0分；
0.85∙θ≤x&lt;1.25∙θ，2分；
1.25∙θ≤x&lt;1.5∙θ，4分；
1.5∙θ≤x，6分。</t>
    <phoneticPr fontId="12" type="noConversion"/>
  </si>
  <si>
    <t>核保人员工作年限</t>
    <phoneticPr fontId="12" type="noConversion"/>
  </si>
  <si>
    <t>评估期末，销售人员中大专以上学历人员数量</t>
    <phoneticPr fontId="12" type="noConversion"/>
  </si>
  <si>
    <t>评估期末，销售人员中大专以上学历人员占比。</t>
    <phoneticPr fontId="12" type="noConversion"/>
  </si>
  <si>
    <t>评估期内离职的销售人员数量</t>
    <phoneticPr fontId="12" type="noConversion"/>
  </si>
  <si>
    <t>评估期初销售人员数量</t>
    <phoneticPr fontId="3" type="noConversion"/>
  </si>
  <si>
    <t>评估期末销售人员数量</t>
    <phoneticPr fontId="12" type="noConversion"/>
  </si>
  <si>
    <t>前4个季度初省级分公司及以下分支机构销售、承保、保全部门员工人数</t>
    <phoneticPr fontId="3" type="noConversion"/>
  </si>
  <si>
    <t>行业水平评分</t>
    <phoneticPr fontId="3" type="noConversion"/>
  </si>
  <si>
    <t>退（撤）保率≤5%,得3分；5%&lt;退（撤）保率≤10%,得1.5分;退（撤）保率&gt;10%,得0分。</t>
    <phoneticPr fontId="3" type="noConversion"/>
  </si>
  <si>
    <t>评估期期末省级分公司及中心支公司理赔部门负责人具有保险理赔工作5年以上相关从业经验的占比高于（或等于）80%，得5分；占比高于（或等于）50%低于80%，得2分；占比低于50%，得0分。</t>
    <phoneticPr fontId="3" type="noConversion"/>
  </si>
  <si>
    <t>员工流失率≤15%，得3分；15%＜员工流失率≤30%，得1.5分；员工流失率&gt;30%，得0分。</t>
    <phoneticPr fontId="3" type="noConversion"/>
  </si>
  <si>
    <t>财会部门人员流失率小于或等于20%，得2分；超过20％的，得0分。</t>
    <phoneticPr fontId="3" type="noConversion"/>
  </si>
  <si>
    <t xml:space="preserve"> </t>
    <phoneticPr fontId="3" type="noConversion"/>
  </si>
  <si>
    <t>行业水平评分</t>
    <phoneticPr fontId="3" type="noConversion"/>
  </si>
  <si>
    <t>最近4个季度监管发现费用管理操作风险事件次数</t>
    <phoneticPr fontId="3" type="noConversion"/>
  </si>
  <si>
    <r>
      <rPr>
        <b/>
        <sz val="10"/>
        <color theme="0"/>
        <rFont val="宋体"/>
        <family val="3"/>
        <charset val="134"/>
      </rPr>
      <t>最近</t>
    </r>
    <r>
      <rPr>
        <b/>
        <sz val="10"/>
        <color theme="0"/>
        <rFont val="Arial"/>
        <family val="2"/>
      </rPr>
      <t>4</t>
    </r>
    <r>
      <rPr>
        <b/>
        <sz val="10"/>
        <color theme="0"/>
        <rFont val="宋体"/>
        <family val="3"/>
        <charset val="134"/>
      </rPr>
      <t>个季度省级分公司及以下分支机构销售、承保、保全部门增加员工人数</t>
    </r>
    <phoneticPr fontId="12" type="noConversion"/>
  </si>
  <si>
    <t>90%&lt;x≤100%，70*X-63；
x≤90%，0。</t>
    <phoneticPr fontId="12" type="noConversion"/>
  </si>
  <si>
    <t xml:space="preserve">&gt;95% </t>
    <phoneticPr fontId="3" type="noConversion"/>
  </si>
  <si>
    <t>最近4个季度监管部门发现单证印章管理操作风险事件次数</t>
    <phoneticPr fontId="3" type="noConversion"/>
  </si>
  <si>
    <t>最近4个季度内，监管部门发现公司存在单证印章管理操作风险事件的，每项次扣2分；公司自查发现公司存在单证印章管理操作风险事件的，每项次扣0.5分，扣完6分为止。</t>
    <phoneticPr fontId="3" type="noConversion"/>
  </si>
  <si>
    <t>最近4个季度内已发放空白单证缺失的数量</t>
    <phoneticPr fontId="12" type="noConversion"/>
  </si>
  <si>
    <t>空白单证缺失率＝最近4个季度内已发放空白单证缺失的数量÷最近4个季度内空白单证发放的数量×100％。</t>
    <phoneticPr fontId="12" type="noConversion"/>
  </si>
  <si>
    <t>理赔部门负责人具有5年以上相关从业经验的占比</t>
    <phoneticPr fontId="3" type="noConversion"/>
  </si>
  <si>
    <t>财会部门主要负责人专业性指财会部门主要负责人具有财务、会计类学历专业背景；且具有金融机构财务会计工作3年以上从业经验。
财会部门是指履行《保险公司财会工作规范》第七条规定职责的相关部门。（下同）</t>
    <phoneticPr fontId="12" type="noConversion"/>
  </si>
  <si>
    <t>2019年第3季度</t>
    <phoneticPr fontId="12" type="noConversion"/>
  </si>
  <si>
    <t>北京银保监局</t>
    <phoneticPr fontId="12" type="noConversion"/>
  </si>
  <si>
    <t>四川银保监局</t>
    <phoneticPr fontId="12" type="noConversion"/>
  </si>
  <si>
    <t>广东银保监局</t>
    <phoneticPr fontId="12" type="noConversion"/>
  </si>
  <si>
    <t>河南银保监局</t>
    <phoneticPr fontId="12" type="noConversion"/>
  </si>
  <si>
    <t>青岛银保监局</t>
    <phoneticPr fontId="12" type="noConversion"/>
  </si>
  <si>
    <t>山东银保监局</t>
    <phoneticPr fontId="12" type="noConversion"/>
  </si>
  <si>
    <t>江苏银保监局</t>
    <phoneticPr fontId="12" type="noConversion"/>
  </si>
  <si>
    <t>大连银保监局</t>
    <phoneticPr fontId="12" type="noConversion"/>
  </si>
  <si>
    <t>辽宁银保监局</t>
    <phoneticPr fontId="12" type="noConversion"/>
  </si>
  <si>
    <t>天津银保监局</t>
    <phoneticPr fontId="12" type="noConversion"/>
  </si>
  <si>
    <t>Q2</t>
    <phoneticPr fontId="3" type="noConversion"/>
  </si>
  <si>
    <t>Q3</t>
    <phoneticPr fontId="3" type="noConversion"/>
  </si>
  <si>
    <t>Q2得分</t>
    <phoneticPr fontId="3" type="noConversion"/>
  </si>
  <si>
    <t>Q3得分</t>
    <phoneticPr fontId="3" type="noConversion"/>
  </si>
  <si>
    <t>销售人员总人数</t>
    <phoneticPr fontId="3" type="noConversion"/>
  </si>
  <si>
    <t>评估期期末公司与销售人员签订有效的劳动合同、代理合同份数</t>
    <phoneticPr fontId="3" type="noConversion"/>
  </si>
  <si>
    <t>Q2得分</t>
    <phoneticPr fontId="3" type="noConversion"/>
  </si>
  <si>
    <t>Q3评分</t>
    <phoneticPr fontId="3" type="noConversion"/>
  </si>
  <si>
    <t>19Q3结果</t>
    <phoneticPr fontId="3" type="noConversion"/>
  </si>
  <si>
    <t>19Q1结果</t>
    <phoneticPr fontId="3" type="noConversion"/>
  </si>
  <si>
    <t>18Q4结果</t>
    <phoneticPr fontId="3" type="noConversion"/>
  </si>
  <si>
    <t>19Q3评分</t>
    <phoneticPr fontId="3" type="noConversion"/>
  </si>
  <si>
    <t>19Q1评分</t>
    <phoneticPr fontId="3"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</si>
  <si>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12" type="noConversion"/>
  </si>
  <si>
    <t>每发生一件，扣0.5分；每败诉一件，扣1分，最多扣至0分。评估期内发生且败诉，扣1分</t>
    <phoneticPr fontId="3" type="noConversion"/>
  </si>
  <si>
    <t>Q3</t>
    <phoneticPr fontId="3" type="noConversion"/>
  </si>
  <si>
    <t>Q2</t>
    <phoneticPr fontId="3" type="noConversion"/>
  </si>
  <si>
    <t>中介协议签订率=100%，得1分；否则，得0分。</t>
    <phoneticPr fontId="49" type="noConversion"/>
  </si>
  <si>
    <t>评估期期末公司与代理机构签订有效的合作协议份数</t>
    <phoneticPr fontId="3" type="noConversion"/>
  </si>
  <si>
    <t>评估期期末省级分公司和中心支公司销售、承保、保全部门负责人具有5年以上相关保险从业经验的占比高于（或等于）80%，得2分；占比高于（或等于）50%低于80%，得1分；占比低于50%，得0分。</t>
    <phoneticPr fontId="3" type="noConversion"/>
  </si>
  <si>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3" type="noConversion"/>
  </si>
  <si>
    <t>Q3百分制得分</t>
    <phoneticPr fontId="3" type="noConversion"/>
  </si>
  <si>
    <t>Q2得分</t>
    <phoneticPr fontId="3" type="noConversion"/>
  </si>
  <si>
    <t>Q2百分制得分</t>
    <phoneticPr fontId="3" type="noConversion"/>
  </si>
  <si>
    <t>绩效合约</t>
    <phoneticPr fontId="3" type="noConversion"/>
  </si>
  <si>
    <t>最近4个季度监管部门发现展业操作风险事件次数</t>
    <phoneticPr fontId="3" type="noConversion"/>
  </si>
  <si>
    <t>评估期期末省级分公司和中心支公司销售、承保、保全部门负责人人数</t>
    <phoneticPr fontId="3"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</si>
  <si>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phoneticPr fontId="3" type="noConversion"/>
  </si>
  <si>
    <t>从业经验指省级分公司和中心支公司销售、承保、保全部门负责人从事保险相关工作的时间。</t>
    <phoneticPr fontId="3" type="noConversion"/>
  </si>
  <si>
    <t>培训次数指最近4个季度省级分公司销售、承保、保全部门负责人接受监管部门或公司组织的风险管理方面培训次数。</t>
    <phoneticPr fontId="3" type="noConversion"/>
  </si>
  <si>
    <t>保单失效率</t>
    <phoneticPr fontId="3" type="noConversion"/>
  </si>
  <si>
    <t>减保金额</t>
    <phoneticPr fontId="3" type="noConversion"/>
  </si>
  <si>
    <t>失效、退保金额</t>
    <phoneticPr fontId="3" type="noConversion"/>
  </si>
  <si>
    <t>复效额</t>
    <phoneticPr fontId="3" type="noConversion"/>
  </si>
  <si>
    <t>增保额</t>
    <phoneticPr fontId="3" type="noConversion"/>
  </si>
  <si>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3" type="noConversion"/>
  </si>
  <si>
    <t>保险公司流动性风险评价标准</t>
    <phoneticPr fontId="3" type="noConversion"/>
  </si>
  <si>
    <t>Q3评分</t>
    <phoneticPr fontId="12" type="noConversion"/>
  </si>
  <si>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12" type="noConversion"/>
  </si>
  <si>
    <t>1|评估期各业务条线佣金及手续费均通过系统跟单自动计提</t>
    <phoneticPr fontId="3" type="noConversion"/>
  </si>
  <si>
    <t>空白单证缺失率</t>
    <phoneticPr fontId="3" type="noConversion"/>
  </si>
  <si>
    <t>最近4个季度内空白单证发放的数量</t>
    <phoneticPr fontId="3" type="noConversion"/>
  </si>
  <si>
    <t>单证回销率</t>
    <phoneticPr fontId="3" type="noConversion"/>
  </si>
  <si>
    <t>最近4个季度内已回销的有价单证数量</t>
    <phoneticPr fontId="3" type="noConversion"/>
  </si>
  <si>
    <t>最近4个季度内按公司规定时限内应回销的有价单证数量</t>
    <phoneticPr fontId="3" type="noConversion"/>
  </si>
  <si>
    <t>最近4个季度省级分公司总经理室成员及中心支公司主要负责人离职人数</t>
    <phoneticPr fontId="3" type="noConversion"/>
  </si>
  <si>
    <t>评估期期末省级分公司总经理室成员及中心支公司主要负责人在职人数</t>
    <phoneticPr fontId="3" type="noConversion"/>
  </si>
  <si>
    <t>最近4个季度省级分公司及以下分支机构销售、承保、保全部门离职员工人数</t>
    <phoneticPr fontId="3" type="noConversion"/>
  </si>
  <si>
    <t>销售人员离职率</t>
    <phoneticPr fontId="12" type="noConversion"/>
  </si>
  <si>
    <t>销售人员学历水平</t>
    <phoneticPr fontId="12" type="noConversion"/>
  </si>
  <si>
    <t>最近4个季度内已发放空白单证缺失的数量</t>
    <phoneticPr fontId="3" type="noConversion"/>
  </si>
  <si>
    <t>空白单证缺失率＝最近4个季度内已发放空白单证缺失的数量÷最近4个季度内空白单证发放的数量×100％。</t>
    <phoneticPr fontId="3" type="noConversion"/>
  </si>
  <si>
    <t>有价单证缺失率小于0.1％的，得2分；否则，得0分。</t>
    <phoneticPr fontId="3" type="noConversion"/>
  </si>
  <si>
    <t>张峰</t>
  </si>
  <si>
    <t>0371-60185243</t>
  </si>
  <si>
    <t>ZZ.Feng_Zhang@hengansl.com</t>
  </si>
  <si>
    <t>Q3得分</t>
    <phoneticPr fontId="3" type="noConversion"/>
  </si>
  <si>
    <t>Q2得分</t>
    <phoneticPr fontId="3" type="noConversion"/>
  </si>
  <si>
    <t>空白单证缺失率</t>
    <phoneticPr fontId="12" type="noConversion"/>
  </si>
  <si>
    <t>员工流失率</t>
    <phoneticPr fontId="3" type="noConversion"/>
  </si>
  <si>
    <t>非寿险业务非正常应收保费比例=评估期末非寿险业务一年期以上应收保费余额÷评估期末非寿险业务应收保费余额×100％
上述应收保费不包括正常分期业务或民事、司法纠纷产生的应收保费。</t>
    <phoneticPr fontId="3" type="noConversion"/>
  </si>
  <si>
    <t>非寿险业务非正常应收保费比例比例≤3%，得3分；3%＜非寿险业务非正常应收保费比例≤5%，得1分；非寿险业务非正常应收保费比例＞5%，得0分。</t>
    <phoneticPr fontId="3" type="noConversion"/>
  </si>
  <si>
    <t>非寿险业务非正常应收保费比例</t>
    <phoneticPr fontId="3" type="noConversion"/>
  </si>
  <si>
    <t>最近4个季度监管部门发现费用管理操作风险事件次数</t>
    <phoneticPr fontId="3" type="noConversion"/>
  </si>
  <si>
    <t>评估时点之前12个月保险公司接到的关于理赔、保全业务线的诉讼败诉件数</t>
    <phoneticPr fontId="3" type="noConversion"/>
  </si>
  <si>
    <t>评估时点之前12个月保险公司接到的关于理赔、保全业务线的诉讼发生（不含当期败诉）件数</t>
    <phoneticPr fontId="3" type="noConversion"/>
  </si>
  <si>
    <t>未来1季度</t>
    <phoneticPr fontId="3" type="noConversion"/>
  </si>
  <si>
    <t>评估时点之前12个月违规销售非保险金融产品事件的次数</t>
    <phoneticPr fontId="3" type="noConversion"/>
  </si>
  <si>
    <t>7</t>
  </si>
  <si>
    <t>北京分公司</t>
  </si>
  <si>
    <t>天津分公司</t>
  </si>
  <si>
    <t>青岛分公司</t>
  </si>
  <si>
    <t>山东分公司</t>
  </si>
  <si>
    <t>江苏分公司</t>
  </si>
  <si>
    <t>辽宁分公司</t>
  </si>
  <si>
    <t>四川分公司</t>
  </si>
  <si>
    <t>河南分公司</t>
  </si>
  <si>
    <t>大连分公司</t>
  </si>
  <si>
    <t>广东分公司</t>
  </si>
  <si>
    <t>8</t>
  </si>
  <si>
    <t>9</t>
  </si>
  <si>
    <t>团险</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</si>
</sst>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 #,##0.00_ ;_ * \-#,##0.00_ ;_ * &quot;-&quot;??_ ;_ @_ "/>
    <numFmt numFmtId="176" formatCode="0.00_ "/>
    <numFmt numFmtId="177" formatCode="_ * #,##0.000000_ ;_ * \-#,##0.000000_ ;_ * &quot;-&quot;??????_ ;_ @_ "/>
    <numFmt numFmtId="178" formatCode="_(* #,##0.00_);_(* \(#,##0.00\);_(* &quot;-&quot;??_);_(@_)"/>
    <numFmt numFmtId="179" formatCode="#,##0.0000_);\(#,##0.0000\)"/>
    <numFmt numFmtId="180" formatCode="0.000_);[Red]\(0.000\)"/>
    <numFmt numFmtId="181" formatCode="0.00_);[Red]\(0.00\)"/>
    <numFmt numFmtId="182" formatCode="0.000%"/>
    <numFmt numFmtId="183" formatCode="#,##0.00_ "/>
    <numFmt numFmtId="184" formatCode="0.000_ "/>
    <numFmt numFmtId="185" formatCode="[$-F800]dddd\,\ mmmm\ dd\,\ yyyy"/>
    <numFmt numFmtId="186" formatCode="0.0000"/>
  </numFmts>
  <fonts count="102">
    <font>
      <sz val="11"/>
      <color theme="1"/>
      <name val="宋体"/>
      <family val="2"/>
      <charset val="134"/>
      <scheme val="minor"/>
    </font>
    <font>
      <sz val="10"/>
      <color theme="1"/>
      <name val="Arial"/>
      <family val="2"/>
      <charset val="134"/>
    </font>
    <font>
      <b/>
      <sz val="11"/>
      <color theme="1"/>
      <name val="微软雅黑"/>
      <family val="2"/>
      <charset val="134"/>
    </font>
    <font>
      <sz val="9"/>
      <name val="宋体"/>
      <family val="2"/>
      <charset val="134"/>
      <scheme val="minor"/>
    </font>
    <font>
      <sz val="9"/>
      <color theme="1"/>
      <name val="微软雅黑"/>
      <family val="2"/>
      <charset val="134"/>
    </font>
    <font>
      <sz val="11"/>
      <color theme="1"/>
      <name val="微软雅黑"/>
      <family val="2"/>
      <charset val="134"/>
    </font>
    <font>
      <b/>
      <sz val="9"/>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b/>
      <sz val="8"/>
      <name val="微软雅黑"/>
      <family val="2"/>
      <charset val="134"/>
    </font>
    <font>
      <sz val="9"/>
      <name val="宋体"/>
      <family val="3"/>
      <charset val="134"/>
    </font>
    <font>
      <sz val="11"/>
      <color theme="1"/>
      <name val="宋体"/>
      <family val="2"/>
      <charset val="134"/>
      <scheme val="minor"/>
    </font>
    <font>
      <sz val="9"/>
      <color indexed="81"/>
      <name val="Tahoma"/>
      <family val="2"/>
    </font>
    <font>
      <sz val="9"/>
      <color indexed="81"/>
      <name val="宋体"/>
      <family val="3"/>
      <charset val="134"/>
    </font>
    <font>
      <sz val="14"/>
      <color theme="1"/>
      <name val="宋体"/>
      <family val="3"/>
      <charset val="134"/>
    </font>
    <font>
      <sz val="14"/>
      <color theme="1"/>
      <name val="Arial"/>
      <family val="2"/>
      <charset val="134"/>
    </font>
    <font>
      <sz val="14"/>
      <color theme="1"/>
      <name val="宋体"/>
      <family val="2"/>
      <charset val="134"/>
      <scheme val="minor"/>
    </font>
    <font>
      <sz val="11"/>
      <color theme="1"/>
      <name val="宋体"/>
      <family val="3"/>
      <charset val="134"/>
      <scheme val="minor"/>
    </font>
    <font>
      <sz val="8"/>
      <color theme="1"/>
      <name val="微软雅黑"/>
      <family val="2"/>
      <charset val="134"/>
    </font>
    <font>
      <b/>
      <sz val="18"/>
      <color theme="1"/>
      <name val="微软雅黑"/>
      <family val="2"/>
      <charset val="134"/>
    </font>
    <font>
      <b/>
      <sz val="8"/>
      <color rgb="FF000000"/>
      <name val="微软雅黑"/>
      <family val="2"/>
      <charset val="134"/>
    </font>
    <font>
      <sz val="9"/>
      <name val="Tahoma"/>
      <family val="2"/>
      <charset val="134"/>
    </font>
    <font>
      <sz val="8"/>
      <color rgb="FF000000"/>
      <name val="微软雅黑"/>
      <family val="2"/>
      <charset val="134"/>
    </font>
    <font>
      <b/>
      <sz val="9"/>
      <name val="微软雅黑"/>
      <family val="2"/>
      <charset val="134"/>
    </font>
    <font>
      <b/>
      <sz val="8"/>
      <color theme="1"/>
      <name val="微软雅黑"/>
      <family val="2"/>
      <charset val="134"/>
    </font>
    <font>
      <sz val="16"/>
      <name val="黑体"/>
      <family val="3"/>
      <charset val="134"/>
    </font>
    <font>
      <sz val="11"/>
      <name val="宋体"/>
      <family val="3"/>
      <charset val="134"/>
      <scheme val="minor"/>
    </font>
    <font>
      <sz val="22"/>
      <name val="长城小标宋体"/>
      <family val="3"/>
      <charset val="134"/>
    </font>
    <font>
      <b/>
      <sz val="12"/>
      <name val="仿宋_GB2312"/>
      <family val="3"/>
      <charset val="134"/>
    </font>
    <font>
      <sz val="11"/>
      <name val="仿宋_GB2312"/>
      <family val="3"/>
      <charset val="134"/>
    </font>
    <font>
      <b/>
      <sz val="11"/>
      <name val="仿宋_GB2312"/>
      <family val="3"/>
      <charset val="134"/>
    </font>
    <font>
      <sz val="10.5"/>
      <name val="仿宋_GB2312"/>
      <family val="3"/>
      <charset val="134"/>
    </font>
    <font>
      <b/>
      <sz val="18"/>
      <name val="微软雅黑"/>
      <family val="2"/>
      <charset val="134"/>
    </font>
    <font>
      <sz val="10"/>
      <name val="宋体"/>
      <family val="2"/>
      <charset val="134"/>
      <scheme val="minor"/>
    </font>
    <font>
      <sz val="8"/>
      <name val="微软雅黑"/>
      <family val="2"/>
      <charset val="134"/>
    </font>
    <font>
      <sz val="11"/>
      <color indexed="8"/>
      <name val="宋体"/>
      <family val="3"/>
      <charset val="134"/>
    </font>
    <font>
      <b/>
      <sz val="9"/>
      <color theme="0" tint="-0.14999847407452621"/>
      <name val="微软雅黑"/>
      <family val="2"/>
      <charset val="134"/>
    </font>
    <font>
      <sz val="9"/>
      <color theme="0" tint="-0.249977111117893"/>
      <name val="微软雅黑"/>
      <family val="2"/>
      <charset val="134"/>
    </font>
    <font>
      <b/>
      <sz val="9"/>
      <color indexed="81"/>
      <name val="宋体"/>
      <family val="3"/>
      <charset val="134"/>
    </font>
    <font>
      <b/>
      <sz val="18"/>
      <color indexed="8"/>
      <name val="微软雅黑"/>
      <family val="2"/>
      <charset val="134"/>
    </font>
    <font>
      <b/>
      <sz val="8"/>
      <color indexed="8"/>
      <name val="微软雅黑"/>
      <family val="2"/>
      <charset val="134"/>
    </font>
    <font>
      <sz val="8"/>
      <color theme="1"/>
      <name val="宋体"/>
      <family val="2"/>
      <charset val="134"/>
      <scheme val="minor"/>
    </font>
    <font>
      <sz val="9"/>
      <color theme="1"/>
      <name val="宋体"/>
      <family val="3"/>
      <charset val="134"/>
      <scheme val="minor"/>
    </font>
    <font>
      <sz val="8"/>
      <color theme="0" tint="-0.34998626667073579"/>
      <name val="微软雅黑"/>
      <family val="2"/>
      <charset val="134"/>
    </font>
    <font>
      <sz val="9"/>
      <name val="微软雅黑"/>
      <family val="2"/>
      <charset val="134"/>
    </font>
    <font>
      <b/>
      <sz val="9"/>
      <color indexed="81"/>
      <name val="Tahoma"/>
      <family val="2"/>
    </font>
    <font>
      <sz val="10"/>
      <color theme="1"/>
      <name val="微软雅黑"/>
      <family val="2"/>
      <charset val="134"/>
    </font>
    <font>
      <sz val="9"/>
      <name val="Tahoma"/>
      <family val="2"/>
    </font>
    <font>
      <sz val="9"/>
      <color rgb="FF000000"/>
      <name val="微软雅黑"/>
      <family val="2"/>
      <charset val="134"/>
    </font>
    <font>
      <sz val="9"/>
      <color theme="0" tint="-0.14999847407452621"/>
      <name val="微软雅黑"/>
      <family val="2"/>
      <charset val="134"/>
    </font>
    <font>
      <sz val="9"/>
      <color rgb="FFFF0000"/>
      <name val="微软雅黑"/>
      <family val="2"/>
      <charset val="134"/>
    </font>
    <font>
      <sz val="9"/>
      <name val="宋体"/>
      <family val="3"/>
      <charset val="134"/>
      <scheme val="minor"/>
    </font>
    <font>
      <sz val="9"/>
      <color theme="1"/>
      <name val="Arial Unicode MS"/>
      <family val="2"/>
      <charset val="134"/>
    </font>
    <font>
      <sz val="9"/>
      <color indexed="8"/>
      <name val="微软雅黑"/>
      <family val="2"/>
      <charset val="134"/>
    </font>
    <font>
      <sz val="10.5"/>
      <color theme="1"/>
      <name val="Calibri"/>
      <family val="2"/>
    </font>
    <font>
      <sz val="10"/>
      <color rgb="FF000000"/>
      <name val="宋体"/>
      <family val="3"/>
      <charset val="134"/>
    </font>
    <font>
      <sz val="10.5"/>
      <color theme="1"/>
      <name val="宋体"/>
      <family val="3"/>
      <charset val="134"/>
    </font>
    <font>
      <sz val="10.5"/>
      <color rgb="FF1F497D"/>
      <name val="Arial Unicode MS"/>
      <family val="2"/>
      <charset val="134"/>
    </font>
    <font>
      <sz val="9"/>
      <color theme="0" tint="-0.34998626667073579"/>
      <name val="微软雅黑"/>
      <family val="2"/>
      <charset val="134"/>
    </font>
    <font>
      <sz val="8"/>
      <color rgb="FFFF0000"/>
      <name val="微软雅黑"/>
      <family val="2"/>
      <charset val="134"/>
    </font>
    <font>
      <sz val="10"/>
      <name val="宋体"/>
      <family val="2"/>
      <charset val="134"/>
    </font>
    <font>
      <sz val="9"/>
      <color theme="3" tint="0.39997558519241921"/>
      <name val="微软雅黑"/>
      <family val="2"/>
      <charset val="134"/>
    </font>
    <font>
      <sz val="11"/>
      <color theme="3" tint="0.39997558519241921"/>
      <name val="微软雅黑"/>
      <family val="2"/>
      <charset val="134"/>
    </font>
    <font>
      <sz val="9"/>
      <color rgb="FF00B050"/>
      <name val="微软雅黑"/>
      <family val="2"/>
      <charset val="134"/>
    </font>
    <font>
      <sz val="11"/>
      <color rgb="FF000000"/>
      <name val="微软雅黑"/>
      <family val="2"/>
      <charset val="134"/>
    </font>
    <font>
      <sz val="11"/>
      <name val="微软雅黑"/>
      <family val="2"/>
      <charset val="134"/>
    </font>
    <font>
      <b/>
      <sz val="11"/>
      <color theme="9"/>
      <name val="微软雅黑"/>
      <family val="2"/>
      <charset val="134"/>
    </font>
    <font>
      <b/>
      <sz val="9"/>
      <color theme="0" tint="-0.34998626667073579"/>
      <name val="微软雅黑"/>
      <family val="2"/>
      <charset val="134"/>
    </font>
    <font>
      <b/>
      <sz val="9"/>
      <color theme="0"/>
      <name val="微软雅黑"/>
      <family val="2"/>
      <charset val="134"/>
    </font>
    <font>
      <b/>
      <sz val="9"/>
      <color theme="9"/>
      <name val="微软雅黑"/>
      <family val="2"/>
      <charset val="134"/>
    </font>
    <font>
      <b/>
      <sz val="11"/>
      <color rgb="FF00B050"/>
      <name val="微软雅黑"/>
      <family val="2"/>
      <charset val="134"/>
    </font>
    <font>
      <b/>
      <sz val="11"/>
      <color rgb="FFFF0000"/>
      <name val="微软雅黑"/>
      <family val="2"/>
      <charset val="134"/>
    </font>
    <font>
      <b/>
      <sz val="11"/>
      <color theme="1"/>
      <name val="宋体"/>
      <family val="3"/>
      <charset val="134"/>
      <scheme val="minor"/>
    </font>
    <font>
      <b/>
      <sz val="11"/>
      <color rgb="FF00B050"/>
      <name val="宋体"/>
      <family val="3"/>
      <charset val="134"/>
      <scheme val="minor"/>
    </font>
    <font>
      <b/>
      <sz val="12"/>
      <color theme="1"/>
      <name val="宋体"/>
      <family val="2"/>
      <charset val="134"/>
      <scheme val="minor"/>
    </font>
    <font>
      <b/>
      <sz val="12"/>
      <color rgb="FF002060"/>
      <name val="宋体"/>
      <family val="2"/>
      <charset val="134"/>
      <scheme val="minor"/>
    </font>
    <font>
      <b/>
      <sz val="12"/>
      <color theme="0" tint="-0.14999847407452621"/>
      <name val="宋体"/>
      <family val="3"/>
      <charset val="134"/>
      <scheme val="minor"/>
    </font>
    <font>
      <b/>
      <sz val="12"/>
      <color rgb="FFFF0000"/>
      <name val="宋体"/>
      <family val="3"/>
      <charset val="134"/>
      <scheme val="minor"/>
    </font>
    <font>
      <b/>
      <sz val="12"/>
      <color rgb="FF00B050"/>
      <name val="宋体"/>
      <family val="3"/>
      <charset val="134"/>
      <scheme val="minor"/>
    </font>
    <font>
      <sz val="12"/>
      <color theme="0"/>
      <name val="宋体"/>
      <family val="2"/>
      <charset val="134"/>
      <scheme val="minor"/>
    </font>
    <font>
      <b/>
      <sz val="11"/>
      <color theme="0"/>
      <name val="宋体"/>
      <family val="3"/>
      <charset val="134"/>
      <scheme val="minor"/>
    </font>
    <font>
      <b/>
      <sz val="10"/>
      <color theme="1"/>
      <name val="微软雅黑"/>
      <family val="2"/>
      <charset val="134"/>
    </font>
    <font>
      <b/>
      <sz val="10"/>
      <color rgb="FFFF0000"/>
      <name val="微软雅黑"/>
      <family val="2"/>
      <charset val="134"/>
    </font>
    <font>
      <b/>
      <sz val="11"/>
      <color theme="9"/>
      <name val="宋体"/>
      <family val="3"/>
      <charset val="134"/>
      <scheme val="minor"/>
    </font>
    <font>
      <b/>
      <sz val="11"/>
      <color theme="9" tint="-0.249977111117893"/>
      <name val="宋体"/>
      <family val="3"/>
      <charset val="134"/>
      <scheme val="minor"/>
    </font>
    <font>
      <b/>
      <sz val="10"/>
      <color rgb="FF000000"/>
      <name val="宋体"/>
      <family val="3"/>
      <charset val="134"/>
    </font>
    <font>
      <sz val="11"/>
      <name val="宋体"/>
      <family val="2"/>
      <charset val="134"/>
      <scheme val="minor"/>
    </font>
    <font>
      <sz val="10"/>
      <name val="Arial"/>
      <family val="2"/>
    </font>
    <font>
      <b/>
      <sz val="8"/>
      <color theme="9"/>
      <name val="微软雅黑"/>
      <family val="2"/>
      <charset val="134"/>
    </font>
    <font>
      <b/>
      <sz val="10"/>
      <color theme="0"/>
      <name val="Arial"/>
      <family val="2"/>
    </font>
    <font>
      <b/>
      <sz val="10"/>
      <color theme="0"/>
      <name val="宋体"/>
      <family val="2"/>
      <charset val="134"/>
    </font>
    <font>
      <sz val="14"/>
      <color theme="1"/>
      <name val="宋体"/>
      <family val="3"/>
      <charset val="134"/>
      <scheme val="minor"/>
    </font>
    <font>
      <sz val="8"/>
      <color indexed="8"/>
      <name val="SimSun"/>
      <charset val="134"/>
    </font>
    <font>
      <sz val="8"/>
      <color indexed="8"/>
      <name val="Arial"/>
      <family val="2"/>
    </font>
    <font>
      <sz val="9"/>
      <color indexed="81"/>
      <name val="Tahoma"/>
      <family val="2"/>
      <charset val="134"/>
    </font>
    <font>
      <b/>
      <sz val="9"/>
      <color indexed="81"/>
      <name val="Tahoma"/>
      <family val="2"/>
      <charset val="134"/>
    </font>
    <font>
      <sz val="10"/>
      <color theme="1"/>
      <name val="Times New Roman"/>
      <family val="1"/>
    </font>
    <font>
      <b/>
      <sz val="10"/>
      <color theme="0"/>
      <name val="宋体"/>
      <family val="3"/>
      <charset val="134"/>
    </font>
    <font>
      <sz val="11"/>
      <color rgb="FFFF0000"/>
      <name val="宋体"/>
      <family val="2"/>
      <charset val="134"/>
      <scheme val="minor"/>
    </font>
    <font>
      <sz val="11"/>
      <color indexed="64"/>
      <name val="黑体"/>
      <family val="3"/>
      <charset val="134"/>
    </font>
  </fonts>
  <fills count="59">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D8D8D8"/>
        <bgColor rgb="FF000000"/>
      </patternFill>
    </fill>
    <fill>
      <patternFill patternType="solid">
        <fgColor rgb="FFFFFF00"/>
        <bgColor indexed="64"/>
      </patternFill>
    </fill>
    <fill>
      <patternFill patternType="solid">
        <fgColor theme="5" tint="0.39997558519241921"/>
        <bgColor indexed="64"/>
      </patternFill>
    </fill>
    <fill>
      <patternFill patternType="solid">
        <fgColor rgb="FFD8D8D8"/>
        <bgColor indexed="64"/>
      </patternFill>
    </fill>
    <fill>
      <patternFill patternType="solid">
        <fgColor theme="6"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rgb="FF000000"/>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mediumGray">
        <bgColor theme="6" tint="0.39994506668294322"/>
      </patternFill>
    </fill>
    <fill>
      <patternFill patternType="solid">
        <fgColor theme="8"/>
        <bgColor indexed="64"/>
      </patternFill>
    </fill>
    <fill>
      <patternFill patternType="lightGray">
        <bgColor theme="4" tint="-0.249977111117893"/>
      </patternFill>
    </fill>
    <fill>
      <patternFill patternType="solid">
        <fgColor theme="5" tint="0.79998168889431442"/>
        <bgColor indexed="64"/>
      </patternFill>
    </fill>
    <fill>
      <patternFill patternType="solid">
        <fgColor theme="3" tint="0.79998168889431442"/>
        <bgColor indexed="64"/>
      </patternFill>
    </fill>
    <fill>
      <patternFill patternType="darkUp">
        <bgColor auto="1"/>
      </patternFill>
    </fill>
    <fill>
      <patternFill patternType="solid">
        <fgColor theme="4" tint="-0.49998474074526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4"/>
        <bgColor indexed="64"/>
      </patternFill>
    </fill>
    <fill>
      <patternFill patternType="solid">
        <fgColor rgb="FFFFC000"/>
        <bgColor indexed="64"/>
      </patternFill>
    </fill>
    <fill>
      <patternFill patternType="lightGray"/>
    </fill>
    <fill>
      <patternFill patternType="solid">
        <fgColor theme="0" tint="-4.9989318521683403E-2"/>
        <bgColor indexed="64"/>
      </patternFill>
    </fill>
    <fill>
      <patternFill patternType="gray125">
        <bgColor theme="4" tint="-0.499984740745262"/>
      </patternFill>
    </fill>
    <fill>
      <patternFill patternType="gray125">
        <bgColor rgb="FF92D050"/>
      </patternFill>
    </fill>
    <fill>
      <patternFill patternType="solid">
        <fgColor rgb="FF002060"/>
        <bgColor indexed="64"/>
      </patternFill>
    </fill>
    <fill>
      <patternFill patternType="solid">
        <fgColor theme="9"/>
        <bgColor indexed="64"/>
      </patternFill>
    </fill>
    <fill>
      <patternFill patternType="gray125">
        <bgColor theme="9"/>
      </patternFill>
    </fill>
    <fill>
      <patternFill patternType="solid">
        <fgColor theme="9" tint="0.79998168889431442"/>
        <bgColor indexed="64"/>
      </patternFill>
    </fill>
    <fill>
      <patternFill patternType="gray0625">
        <bgColor theme="9" tint="0.79998168889431442"/>
      </patternFill>
    </fill>
    <fill>
      <patternFill patternType="gray0625">
        <bgColor theme="7" tint="0.79998168889431442"/>
      </patternFill>
    </fill>
    <fill>
      <patternFill patternType="solid">
        <fgColor theme="9" tint="0.59999389629810485"/>
        <bgColor indexed="64"/>
      </patternFill>
    </fill>
    <fill>
      <patternFill patternType="gray0625">
        <bgColor theme="8" tint="0.79998168889431442"/>
      </patternFill>
    </fill>
    <fill>
      <patternFill patternType="solid">
        <fgColor theme="2"/>
        <bgColor indexed="64"/>
      </patternFill>
    </fill>
    <fill>
      <patternFill patternType="gray0625"/>
    </fill>
    <fill>
      <patternFill patternType="solid">
        <fgColor rgb="FFFFFF99"/>
        <bgColor indexed="64"/>
      </patternFill>
    </fill>
    <fill>
      <patternFill patternType="gray0625">
        <bgColor theme="2"/>
      </patternFill>
    </fill>
    <fill>
      <patternFill patternType="gray0625">
        <bgColor theme="6" tint="0.79998168889431442"/>
      </patternFill>
    </fill>
    <fill>
      <patternFill patternType="gray0625">
        <bgColor rgb="FFFFFF99"/>
      </patternFill>
    </fill>
    <fill>
      <patternFill patternType="lightGrid">
        <bgColor auto="1"/>
      </patternFill>
    </fill>
    <fill>
      <patternFill patternType="lightGrid">
        <bgColor theme="9" tint="0.79995117038483843"/>
      </patternFill>
    </fill>
    <fill>
      <patternFill patternType="lightGrid">
        <bgColor theme="7" tint="0.79995117038483843"/>
      </patternFill>
    </fill>
    <fill>
      <patternFill patternType="solid">
        <fgColor theme="4"/>
        <bgColor theme="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5" tint="0.59996337778862885"/>
        <bgColor indexed="64"/>
      </patternFill>
    </fill>
    <fill>
      <patternFill patternType="solid">
        <fgColor indexed="65"/>
        <bgColor indexed="64"/>
      </patternFill>
    </fill>
    <fill>
      <patternFill patternType="gray0625">
        <bgColor rgb="FFFFFF00"/>
      </patternFill>
    </fill>
  </fills>
  <borders count="63">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thin">
        <color indexed="64"/>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n">
        <color theme="0"/>
      </right>
      <top/>
      <bottom/>
      <diagonal/>
    </border>
    <border>
      <left/>
      <right style="medium">
        <color indexed="64"/>
      </right>
      <top style="thin">
        <color indexed="64"/>
      </top>
      <bottom style="medium">
        <color indexed="64"/>
      </bottom>
      <diagonal/>
    </border>
  </borders>
  <cellStyleXfs count="13">
    <xf numFmtId="0" fontId="0" fillId="0" borderId="0">
      <alignment vertical="center"/>
    </xf>
    <xf numFmtId="0" fontId="1" fillId="0" borderId="0">
      <alignment vertical="center"/>
    </xf>
    <xf numFmtId="0" fontId="9" fillId="0" borderId="0" applyNumberFormat="0" applyFill="0" applyBorder="0" applyAlignment="0" applyProtection="0">
      <alignment vertical="center"/>
    </xf>
    <xf numFmtId="9" fontId="13" fillId="0" borderId="0" applyFont="0" applyFill="0" applyBorder="0" applyAlignment="0" applyProtection="0">
      <alignment vertical="center"/>
    </xf>
    <xf numFmtId="43" fontId="13" fillId="0" borderId="0" applyFont="0" applyFill="0" applyBorder="0" applyAlignment="0" applyProtection="0">
      <alignment vertical="center"/>
    </xf>
    <xf numFmtId="0" fontId="19" fillId="0" borderId="0">
      <alignment vertical="center"/>
    </xf>
    <xf numFmtId="0" fontId="13" fillId="0" borderId="0">
      <alignment vertical="center"/>
    </xf>
    <xf numFmtId="9" fontId="19" fillId="0" borderId="0" applyFont="0" applyFill="0" applyBorder="0" applyAlignment="0" applyProtection="0">
      <alignment vertical="center"/>
    </xf>
    <xf numFmtId="9" fontId="37" fillId="0" borderId="0" applyFont="0" applyFill="0" applyBorder="0" applyAlignment="0" applyProtection="0">
      <alignment vertical="center"/>
    </xf>
    <xf numFmtId="0" fontId="19" fillId="0" borderId="0"/>
    <xf numFmtId="0" fontId="13" fillId="0" borderId="0">
      <alignment vertical="center"/>
    </xf>
    <xf numFmtId="0" fontId="19" fillId="0" borderId="0">
      <alignment vertical="center"/>
    </xf>
    <xf numFmtId="0" fontId="19" fillId="0" borderId="0">
      <alignment vertical="center"/>
    </xf>
  </cellStyleXfs>
  <cellXfs count="1831">
    <xf numFmtId="0" fontId="0" fillId="0" borderId="0" xfId="0">
      <alignment vertical="center"/>
    </xf>
    <xf numFmtId="0" fontId="5" fillId="0" borderId="0" xfId="0" applyFont="1">
      <alignment vertical="center"/>
    </xf>
    <xf numFmtId="0" fontId="4" fillId="0" borderId="0" xfId="0" applyFont="1">
      <alignment vertical="center"/>
    </xf>
    <xf numFmtId="0" fontId="4" fillId="0" borderId="5" xfId="0" applyFont="1" applyBorder="1">
      <alignment vertical="center"/>
    </xf>
    <xf numFmtId="0" fontId="4" fillId="0" borderId="0" xfId="0" applyFont="1" applyAlignment="1">
      <alignment horizontal="left" vertical="center"/>
    </xf>
    <xf numFmtId="0" fontId="6" fillId="0" borderId="6" xfId="0" applyFont="1" applyBorder="1" applyAlignment="1">
      <alignment horizontal="left" vertical="center"/>
    </xf>
    <xf numFmtId="0" fontId="6" fillId="0" borderId="5" xfId="0" applyFont="1" applyBorder="1" applyAlignment="1">
      <alignment horizontal="left" vertical="center"/>
    </xf>
    <xf numFmtId="0" fontId="4" fillId="0" borderId="0" xfId="0" applyFont="1" applyFill="1">
      <alignment vertical="center"/>
    </xf>
    <xf numFmtId="0" fontId="5" fillId="0" borderId="0" xfId="0" applyFont="1" applyFill="1">
      <alignment vertical="center"/>
    </xf>
    <xf numFmtId="0" fontId="6" fillId="0" borderId="5" xfId="0" applyFont="1" applyFill="1" applyBorder="1">
      <alignment vertical="center"/>
    </xf>
    <xf numFmtId="0" fontId="4" fillId="0" borderId="0" xfId="0" applyFont="1" applyAlignment="1">
      <alignment horizontal="right" vertical="center"/>
    </xf>
    <xf numFmtId="0" fontId="5" fillId="0" borderId="0" xfId="0" applyFont="1" applyAlignment="1">
      <alignment horizontal="right"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0" fillId="0" borderId="0" xfId="0" applyAlignment="1">
      <alignment horizontal="center" vertical="center"/>
    </xf>
    <xf numFmtId="0" fontId="10" fillId="0" borderId="2" xfId="2" applyFont="1" applyBorder="1">
      <alignment vertical="center"/>
    </xf>
    <xf numFmtId="0" fontId="10" fillId="0" borderId="4" xfId="2" applyFont="1" applyBorder="1">
      <alignment vertical="center"/>
    </xf>
    <xf numFmtId="0" fontId="11" fillId="4" borderId="5" xfId="0" applyFont="1" applyFill="1" applyBorder="1" applyAlignment="1">
      <alignment horizontal="center" vertical="center" wrapText="1"/>
    </xf>
    <xf numFmtId="0" fontId="4" fillId="0" borderId="5" xfId="0" applyFont="1" applyBorder="1" applyAlignment="1">
      <alignment horizontal="left" vertical="center" wrapText="1"/>
    </xf>
    <xf numFmtId="0" fontId="4" fillId="0" borderId="5" xfId="0" applyFont="1" applyBorder="1" applyAlignment="1">
      <alignment horizontal="left" vertical="center"/>
    </xf>
    <xf numFmtId="0" fontId="4" fillId="0" borderId="21" xfId="0" applyFont="1" applyFill="1" applyBorder="1" applyAlignment="1">
      <alignment horizontal="left" vertical="center"/>
    </xf>
    <xf numFmtId="0" fontId="7" fillId="2" borderId="5" xfId="0" applyFont="1" applyFill="1" applyBorder="1" applyAlignment="1">
      <alignment horizontal="center" vertical="center"/>
    </xf>
    <xf numFmtId="10" fontId="4" fillId="0" borderId="5" xfId="0" applyNumberFormat="1" applyFont="1" applyFill="1" applyBorder="1" applyAlignment="1">
      <alignment horizontal="right" vertical="center"/>
    </xf>
    <xf numFmtId="0" fontId="6" fillId="0" borderId="5" xfId="0" applyFont="1" applyBorder="1" applyAlignment="1">
      <alignment horizontal="right" vertical="center"/>
    </xf>
    <xf numFmtId="0" fontId="6" fillId="0" borderId="5" xfId="0" applyFont="1" applyBorder="1" applyAlignment="1">
      <alignment horizontal="center" vertical="center"/>
    </xf>
    <xf numFmtId="0" fontId="4" fillId="0" borderId="5" xfId="0" applyFont="1" applyFill="1" applyBorder="1" applyAlignment="1">
      <alignment horizontal="center" vertical="center"/>
    </xf>
    <xf numFmtId="10" fontId="4" fillId="0" borderId="0" xfId="0" applyNumberFormat="1" applyFont="1">
      <alignment vertical="center"/>
    </xf>
    <xf numFmtId="0" fontId="4" fillId="0" borderId="0" xfId="0" applyFont="1" applyAlignment="1">
      <alignment horizontal="center" vertical="center"/>
    </xf>
    <xf numFmtId="0" fontId="7" fillId="2" borderId="27" xfId="0" applyFont="1" applyFill="1" applyBorder="1" applyAlignment="1">
      <alignment horizontal="center" vertical="center"/>
    </xf>
    <xf numFmtId="0" fontId="20" fillId="0" borderId="5" xfId="0" applyFont="1" applyFill="1" applyBorder="1" applyAlignment="1">
      <alignment horizontal="center" vertical="center" wrapText="1"/>
    </xf>
    <xf numFmtId="0" fontId="20" fillId="0" borderId="5" xfId="0" applyFont="1" applyBorder="1" applyAlignment="1">
      <alignment horizontal="center" vertical="center" wrapText="1"/>
    </xf>
    <xf numFmtId="0" fontId="22" fillId="7" borderId="5" xfId="6" applyFont="1" applyFill="1" applyBorder="1" applyAlignment="1">
      <alignment horizontal="center" vertical="center" wrapText="1"/>
    </xf>
    <xf numFmtId="0" fontId="22" fillId="0" borderId="5" xfId="6" applyFont="1" applyBorder="1" applyAlignment="1">
      <alignment horizontal="center" vertical="center" wrapText="1"/>
    </xf>
    <xf numFmtId="0" fontId="24" fillId="0" borderId="5" xfId="6" applyFont="1" applyBorder="1" applyAlignment="1">
      <alignment horizontal="center" vertical="center" wrapText="1"/>
    </xf>
    <xf numFmtId="0" fontId="24" fillId="0" borderId="5" xfId="6" applyFont="1" applyBorder="1" applyAlignment="1">
      <alignment horizontal="left" vertical="center" wrapText="1"/>
    </xf>
    <xf numFmtId="0" fontId="24" fillId="0" borderId="5" xfId="6" applyFont="1" applyFill="1" applyBorder="1" applyAlignment="1">
      <alignment horizontal="left" vertical="center" wrapText="1"/>
    </xf>
    <xf numFmtId="0" fontId="24" fillId="0" borderId="0" xfId="6" applyFont="1" applyBorder="1" applyAlignment="1">
      <alignment horizontal="left" vertical="center" wrapText="1"/>
    </xf>
    <xf numFmtId="0" fontId="0" fillId="0" borderId="0" xfId="0" applyBorder="1">
      <alignment vertical="center"/>
    </xf>
    <xf numFmtId="0" fontId="22" fillId="0" borderId="5" xfId="6" applyFont="1" applyBorder="1" applyAlignment="1">
      <alignment horizontal="center" vertical="center"/>
    </xf>
    <xf numFmtId="3" fontId="24" fillId="0" borderId="5" xfId="4" applyNumberFormat="1" applyFont="1" applyBorder="1" applyAlignment="1">
      <alignment horizontal="center" vertical="center" wrapText="1"/>
    </xf>
    <xf numFmtId="0" fontId="24" fillId="8" borderId="5" xfId="6" applyFont="1" applyFill="1" applyBorder="1" applyAlignment="1">
      <alignment horizontal="center" vertical="center" wrapText="1"/>
    </xf>
    <xf numFmtId="0" fontId="24" fillId="0" borderId="5" xfId="6" applyFont="1" applyFill="1" applyBorder="1" applyAlignment="1">
      <alignment horizontal="center" vertical="center" wrapText="1"/>
    </xf>
    <xf numFmtId="0" fontId="20" fillId="0" borderId="0" xfId="0" applyFont="1">
      <alignment vertical="center"/>
    </xf>
    <xf numFmtId="0" fontId="26" fillId="0" borderId="0" xfId="0" applyFont="1" applyAlignment="1">
      <alignment horizontal="center" vertical="center"/>
    </xf>
    <xf numFmtId="176" fontId="26" fillId="0" borderId="0" xfId="0" applyNumberFormat="1" applyFont="1" applyAlignment="1">
      <alignment horizontal="center" vertical="center"/>
    </xf>
    <xf numFmtId="43" fontId="4" fillId="0" borderId="0" xfId="4" applyFont="1">
      <alignment vertical="center"/>
    </xf>
    <xf numFmtId="43" fontId="0" fillId="0" borderId="0" xfId="0" applyNumberFormat="1">
      <alignment vertical="center"/>
    </xf>
    <xf numFmtId="177" fontId="0" fillId="0" borderId="0" xfId="0" applyNumberFormat="1">
      <alignment vertical="center"/>
    </xf>
    <xf numFmtId="0" fontId="27" fillId="0" borderId="0" xfId="0" applyFont="1">
      <alignment vertical="center"/>
    </xf>
    <xf numFmtId="0" fontId="28" fillId="0" borderId="0" xfId="0" applyFont="1">
      <alignment vertical="center"/>
    </xf>
    <xf numFmtId="0" fontId="28" fillId="0" borderId="0" xfId="0" applyFont="1" applyBorder="1">
      <alignment vertical="center"/>
    </xf>
    <xf numFmtId="0" fontId="30" fillId="0" borderId="5" xfId="0" applyFont="1" applyBorder="1" applyAlignment="1">
      <alignment horizontal="center" vertical="center" wrapText="1"/>
    </xf>
    <xf numFmtId="0" fontId="31" fillId="0" borderId="5" xfId="0" applyFont="1" applyBorder="1" applyAlignment="1">
      <alignment horizontal="left" vertical="center" wrapText="1"/>
    </xf>
    <xf numFmtId="0" fontId="31" fillId="0" borderId="5" xfId="0" applyFont="1" applyBorder="1" applyAlignment="1">
      <alignment horizontal="center" vertical="center" wrapText="1"/>
    </xf>
    <xf numFmtId="0" fontId="31" fillId="0" borderId="5" xfId="0" applyFont="1" applyBorder="1" applyAlignment="1">
      <alignment horizontal="center" vertical="center" wrapText="1"/>
    </xf>
    <xf numFmtId="0" fontId="31" fillId="0" borderId="5"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31" fillId="0" borderId="5" xfId="0" applyFont="1" applyFill="1" applyBorder="1" applyAlignment="1">
      <alignment horizontal="left" vertical="center" wrapText="1"/>
    </xf>
    <xf numFmtId="0" fontId="31" fillId="0" borderId="5" xfId="0" applyFont="1" applyBorder="1" applyAlignment="1">
      <alignment vertical="center" wrapText="1"/>
    </xf>
    <xf numFmtId="0" fontId="32" fillId="9" borderId="5" xfId="0" applyFont="1" applyFill="1" applyBorder="1" applyAlignment="1">
      <alignment horizontal="center" vertical="center" wrapText="1"/>
    </xf>
    <xf numFmtId="0" fontId="35" fillId="0" borderId="0" xfId="0" applyFont="1" applyBorder="1" applyAlignment="1">
      <alignment vertical="center"/>
    </xf>
    <xf numFmtId="0" fontId="31" fillId="0" borderId="0" xfId="0" applyFont="1" applyBorder="1" applyAlignment="1">
      <alignment vertical="center"/>
    </xf>
    <xf numFmtId="0" fontId="36" fillId="0" borderId="5" xfId="0" applyFont="1" applyFill="1" applyBorder="1" applyAlignment="1">
      <alignment horizontal="left" vertical="center" wrapText="1"/>
    </xf>
    <xf numFmtId="0" fontId="36" fillId="0" borderId="5" xfId="0" applyFont="1" applyFill="1" applyBorder="1" applyAlignment="1">
      <alignment horizontal="center" vertical="center" wrapText="1"/>
    </xf>
    <xf numFmtId="0" fontId="36" fillId="0" borderId="5" xfId="0" applyFont="1" applyFill="1" applyBorder="1" applyAlignment="1">
      <alignment vertical="center" wrapText="1"/>
    </xf>
    <xf numFmtId="0" fontId="36" fillId="0" borderId="5" xfId="0" applyFont="1" applyFill="1" applyBorder="1" applyAlignment="1">
      <alignment vertical="center"/>
    </xf>
    <xf numFmtId="0" fontId="36" fillId="0" borderId="5" xfId="0" applyFont="1" applyFill="1" applyBorder="1" applyAlignment="1">
      <alignment horizontal="left" vertical="center"/>
    </xf>
    <xf numFmtId="0" fontId="36" fillId="0" borderId="5" xfId="0" applyFont="1" applyFill="1" applyBorder="1" applyAlignment="1">
      <alignment horizontal="center" vertical="center"/>
    </xf>
    <xf numFmtId="0" fontId="11" fillId="0" borderId="22" xfId="0" applyFont="1" applyFill="1" applyBorder="1" applyAlignment="1">
      <alignment vertical="center" wrapText="1"/>
    </xf>
    <xf numFmtId="0" fontId="36" fillId="0" borderId="22" xfId="0" applyFont="1" applyFill="1" applyBorder="1" applyAlignment="1">
      <alignment horizontal="left" vertical="center"/>
    </xf>
    <xf numFmtId="0" fontId="36" fillId="0" borderId="22" xfId="0" applyFont="1" applyFill="1" applyBorder="1" applyAlignment="1">
      <alignment horizontal="center" vertical="center"/>
    </xf>
    <xf numFmtId="0" fontId="36" fillId="0" borderId="22" xfId="0" applyFont="1" applyFill="1" applyBorder="1" applyAlignment="1">
      <alignment vertical="center" wrapText="1"/>
    </xf>
    <xf numFmtId="0" fontId="36" fillId="0" borderId="22" xfId="0" applyFont="1" applyFill="1" applyBorder="1" applyAlignment="1">
      <alignment horizontal="left" vertical="center" wrapText="1"/>
    </xf>
    <xf numFmtId="0" fontId="11" fillId="0" borderId="5" xfId="0" applyFont="1" applyFill="1" applyBorder="1" applyAlignment="1">
      <alignment horizontal="center" vertical="center" wrapText="1"/>
    </xf>
    <xf numFmtId="0" fontId="35" fillId="0" borderId="5" xfId="0" applyFont="1" applyFill="1" applyBorder="1" applyAlignment="1">
      <alignment vertical="center"/>
    </xf>
    <xf numFmtId="0" fontId="35" fillId="0" borderId="0" xfId="0" applyFont="1" applyBorder="1" applyAlignment="1">
      <alignment horizontal="center" vertical="center" wrapText="1"/>
    </xf>
    <xf numFmtId="0" fontId="35" fillId="0" borderId="0" xfId="0" applyFont="1" applyBorder="1" applyAlignment="1">
      <alignment horizontal="left" vertical="center"/>
    </xf>
    <xf numFmtId="0" fontId="35" fillId="0" borderId="0" xfId="0" applyFont="1" applyBorder="1" applyAlignment="1">
      <alignment horizontal="center" vertical="center"/>
    </xf>
    <xf numFmtId="0" fontId="20" fillId="0" borderId="5" xfId="0" applyFont="1" applyFill="1" applyBorder="1" applyAlignment="1">
      <alignment horizontal="left" vertical="center" wrapText="1"/>
    </xf>
    <xf numFmtId="0" fontId="20" fillId="0" borderId="5" xfId="0" applyFont="1" applyBorder="1" applyAlignment="1">
      <alignment horizontal="left" vertical="center" wrapText="1"/>
    </xf>
    <xf numFmtId="0" fontId="36" fillId="0" borderId="5" xfId="0" applyFont="1" applyFill="1" applyBorder="1" applyAlignment="1">
      <alignment horizontal="left" vertical="center" wrapText="1"/>
    </xf>
    <xf numFmtId="0" fontId="4" fillId="9" borderId="5" xfId="0" applyFont="1" applyFill="1" applyBorder="1" applyAlignment="1">
      <alignment horizontal="center" vertical="center"/>
    </xf>
    <xf numFmtId="0" fontId="24" fillId="9" borderId="5" xfId="6" applyFont="1" applyFill="1" applyBorder="1" applyAlignment="1">
      <alignment horizontal="center" vertical="center" wrapText="1"/>
    </xf>
    <xf numFmtId="0" fontId="42" fillId="10" borderId="5" xfId="0" applyFont="1" applyFill="1" applyBorder="1" applyAlignment="1">
      <alignment horizontal="center" vertical="center" wrapText="1"/>
    </xf>
    <xf numFmtId="0" fontId="43" fillId="0" borderId="0" xfId="0" applyFont="1">
      <alignment vertical="center"/>
    </xf>
    <xf numFmtId="0" fontId="20" fillId="0" borderId="5" xfId="0" applyFont="1" applyBorder="1" applyAlignment="1">
      <alignment horizontal="center" vertical="center"/>
    </xf>
    <xf numFmtId="0" fontId="0" fillId="0" borderId="0" xfId="0" applyAlignment="1">
      <alignment horizontal="left" vertical="center"/>
    </xf>
    <xf numFmtId="0" fontId="21" fillId="0" borderId="0" xfId="0" applyFont="1" applyBorder="1" applyAlignment="1">
      <alignment vertical="center"/>
    </xf>
    <xf numFmtId="0" fontId="26" fillId="0" borderId="5" xfId="0" applyFont="1" applyFill="1" applyBorder="1" applyAlignment="1">
      <alignment horizontal="center" vertical="center" wrapText="1"/>
    </xf>
    <xf numFmtId="0" fontId="44" fillId="0" borderId="0" xfId="0" applyFont="1" applyAlignment="1">
      <alignment horizontal="center" vertical="center" wrapText="1"/>
    </xf>
    <xf numFmtId="0" fontId="26" fillId="0" borderId="5" xfId="0" applyFont="1" applyFill="1" applyBorder="1" applyAlignment="1">
      <alignment horizontal="left" vertical="center" wrapText="1"/>
    </xf>
    <xf numFmtId="0" fontId="26" fillId="0" borderId="5" xfId="0" applyFont="1" applyBorder="1" applyAlignment="1">
      <alignment vertical="center" wrapText="1"/>
    </xf>
    <xf numFmtId="0" fontId="36" fillId="0" borderId="5" xfId="0" applyFont="1" applyBorder="1" applyAlignment="1">
      <alignment horizontal="center" vertical="center" wrapText="1"/>
    </xf>
    <xf numFmtId="0" fontId="36" fillId="0" borderId="5" xfId="0" applyFont="1" applyBorder="1" applyAlignment="1">
      <alignment horizontal="left" vertical="center" wrapText="1"/>
    </xf>
    <xf numFmtId="0" fontId="26" fillId="0" borderId="5" xfId="0" applyFont="1" applyBorder="1">
      <alignment vertical="center"/>
    </xf>
    <xf numFmtId="0" fontId="20" fillId="0" borderId="5" xfId="0" applyFont="1" applyBorder="1" applyAlignment="1">
      <alignment vertical="center" wrapText="1"/>
    </xf>
    <xf numFmtId="0" fontId="20" fillId="0" borderId="5" xfId="0" applyFont="1" applyFill="1" applyBorder="1" applyAlignment="1">
      <alignment horizontal="center" vertical="center"/>
    </xf>
    <xf numFmtId="0" fontId="44" fillId="0" borderId="0" xfId="0" applyFont="1">
      <alignment vertical="center"/>
    </xf>
    <xf numFmtId="0" fontId="26" fillId="0" borderId="5" xfId="0" applyFont="1" applyBorder="1" applyAlignment="1">
      <alignment horizontal="left" vertical="center" wrapText="1"/>
    </xf>
    <xf numFmtId="0" fontId="11" fillId="0" borderId="5" xfId="0" applyFont="1" applyBorder="1" applyAlignment="1">
      <alignment vertical="center" wrapText="1"/>
    </xf>
    <xf numFmtId="0" fontId="41" fillId="0" borderId="0" xfId="0" applyFont="1" applyBorder="1" applyAlignment="1">
      <alignment horizontal="center" vertical="center"/>
    </xf>
    <xf numFmtId="0" fontId="43" fillId="0" borderId="5" xfId="0" applyFont="1" applyBorder="1" applyAlignment="1">
      <alignment horizontal="center" vertical="center"/>
    </xf>
    <xf numFmtId="0" fontId="43" fillId="5" borderId="5" xfId="0" applyFont="1" applyFill="1" applyBorder="1" applyAlignment="1">
      <alignment horizontal="center" vertical="center"/>
    </xf>
    <xf numFmtId="0" fontId="26" fillId="0" borderId="31" xfId="0" applyFont="1" applyFill="1" applyBorder="1" applyAlignment="1">
      <alignment horizontal="center" vertical="center" wrapText="1"/>
    </xf>
    <xf numFmtId="0" fontId="20" fillId="0" borderId="31" xfId="0" applyFont="1" applyFill="1" applyBorder="1" applyAlignment="1">
      <alignment horizontal="center" vertical="center" wrapText="1"/>
    </xf>
    <xf numFmtId="0" fontId="36" fillId="0" borderId="31" xfId="0" applyFont="1" applyBorder="1" applyAlignment="1">
      <alignment horizontal="center" vertical="center" wrapText="1"/>
    </xf>
    <xf numFmtId="0" fontId="11" fillId="5" borderId="5" xfId="0" applyFont="1" applyFill="1" applyBorder="1" applyAlignment="1">
      <alignment vertical="center" wrapText="1"/>
    </xf>
    <xf numFmtId="0" fontId="20" fillId="0" borderId="5" xfId="0" applyFont="1" applyBorder="1">
      <alignment vertical="center"/>
    </xf>
    <xf numFmtId="43" fontId="20" fillId="0" borderId="5" xfId="4" applyFont="1" applyBorder="1">
      <alignment vertical="center"/>
    </xf>
    <xf numFmtId="43" fontId="20" fillId="0" borderId="0" xfId="4" applyFont="1">
      <alignment vertical="center"/>
    </xf>
    <xf numFmtId="43" fontId="45" fillId="0" borderId="0" xfId="4" applyFont="1">
      <alignment vertical="center"/>
    </xf>
    <xf numFmtId="43" fontId="20" fillId="0" borderId="0" xfId="4" applyFont="1" applyAlignment="1">
      <alignment horizontal="center" vertical="center"/>
    </xf>
    <xf numFmtId="0" fontId="11" fillId="10" borderId="5" xfId="0" applyFont="1" applyFill="1" applyBorder="1" applyAlignment="1">
      <alignment horizontal="center" vertical="center"/>
    </xf>
    <xf numFmtId="0" fontId="11" fillId="10" borderId="5" xfId="0" applyFont="1" applyFill="1" applyBorder="1" applyAlignment="1">
      <alignment horizontal="center" vertical="center" wrapText="1"/>
    </xf>
    <xf numFmtId="0" fontId="11" fillId="10" borderId="22" xfId="0" applyFont="1" applyFill="1" applyBorder="1" applyAlignment="1">
      <alignment horizontal="center" vertical="center" wrapText="1"/>
    </xf>
    <xf numFmtId="43" fontId="35" fillId="0" borderId="0" xfId="4" applyFont="1" applyBorder="1" applyAlignment="1">
      <alignment vertical="center"/>
    </xf>
    <xf numFmtId="43" fontId="35" fillId="0" borderId="0" xfId="0" applyNumberFormat="1" applyFont="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20" fillId="0" borderId="5" xfId="0" applyFont="1" applyFill="1" applyBorder="1" applyAlignment="1">
      <alignment horizontal="center" vertical="center" wrapText="1"/>
    </xf>
    <xf numFmtId="0" fontId="20" fillId="0" borderId="5" xfId="0" applyFont="1" applyBorder="1" applyAlignment="1">
      <alignment horizontal="center" vertical="center"/>
    </xf>
    <xf numFmtId="3" fontId="24" fillId="0" borderId="5" xfId="6" applyNumberFormat="1" applyFont="1" applyFill="1" applyBorder="1" applyAlignment="1">
      <alignment horizontal="center" vertical="center" wrapText="1"/>
    </xf>
    <xf numFmtId="4" fontId="24" fillId="0" borderId="5" xfId="4" applyNumberFormat="1" applyFont="1" applyFill="1" applyBorder="1" applyAlignment="1">
      <alignment horizontal="center" vertical="center" wrapText="1"/>
    </xf>
    <xf numFmtId="43" fontId="43" fillId="0" borderId="0" xfId="4" applyFont="1">
      <alignment vertical="center"/>
    </xf>
    <xf numFmtId="0" fontId="0" fillId="5" borderId="5" xfId="0" applyFill="1" applyBorder="1" applyAlignment="1">
      <alignment horizontal="center" vertical="center"/>
    </xf>
    <xf numFmtId="43" fontId="4" fillId="0" borderId="0" xfId="4" applyFont="1" applyFill="1" applyBorder="1">
      <alignment vertical="center"/>
    </xf>
    <xf numFmtId="10" fontId="24" fillId="0" borderId="5" xfId="6" applyNumberFormat="1" applyFont="1" applyFill="1" applyBorder="1" applyAlignment="1">
      <alignment horizontal="center" vertical="center" wrapText="1"/>
    </xf>
    <xf numFmtId="0" fontId="4" fillId="0" borderId="0" xfId="1" applyFont="1">
      <alignment vertical="center"/>
    </xf>
    <xf numFmtId="0" fontId="1" fillId="0" borderId="0" xfId="1">
      <alignment vertical="center"/>
    </xf>
    <xf numFmtId="0" fontId="4" fillId="3" borderId="3" xfId="1" applyFont="1" applyFill="1" applyBorder="1" applyAlignment="1"/>
    <xf numFmtId="0" fontId="54" fillId="0" borderId="0" xfId="1" applyFont="1" applyAlignment="1"/>
    <xf numFmtId="0" fontId="4" fillId="3" borderId="1" xfId="1" applyFont="1" applyFill="1" applyBorder="1" applyAlignment="1">
      <alignment wrapText="1"/>
    </xf>
    <xf numFmtId="0" fontId="4" fillId="16" borderId="2" xfId="1" applyFont="1" applyFill="1" applyBorder="1" applyAlignment="1">
      <alignment wrapText="1"/>
    </xf>
    <xf numFmtId="0" fontId="55" fillId="16" borderId="2" xfId="1" applyFont="1" applyFill="1" applyBorder="1" applyAlignment="1">
      <alignment horizontal="left" vertical="center" wrapText="1"/>
    </xf>
    <xf numFmtId="0" fontId="4" fillId="16" borderId="2" xfId="1" quotePrefix="1" applyFont="1" applyFill="1" applyBorder="1" applyAlignment="1">
      <alignment horizontal="left" vertical="center" wrapText="1"/>
    </xf>
    <xf numFmtId="0" fontId="4" fillId="16" borderId="4" xfId="1" applyFont="1" applyFill="1" applyBorder="1" applyAlignment="1">
      <alignment wrapText="1"/>
    </xf>
    <xf numFmtId="0" fontId="4" fillId="16" borderId="2" xfId="1" applyFont="1" applyFill="1" applyBorder="1" applyAlignment="1">
      <alignment horizontal="left" wrapText="1"/>
    </xf>
    <xf numFmtId="0" fontId="4" fillId="16" borderId="4" xfId="1" applyFont="1" applyFill="1" applyBorder="1" applyAlignment="1">
      <alignment horizontal="left" wrapText="1"/>
    </xf>
    <xf numFmtId="0" fontId="8" fillId="0" borderId="0" xfId="0" applyFont="1" applyFill="1" applyBorder="1" applyAlignment="1">
      <alignment horizontal="center" vertical="top"/>
    </xf>
    <xf numFmtId="0" fontId="5" fillId="0" borderId="0" xfId="0" applyFont="1" applyAlignment="1">
      <alignment vertical="top"/>
    </xf>
    <xf numFmtId="0" fontId="4" fillId="0" borderId="0" xfId="0" applyFont="1" applyAlignment="1">
      <alignment horizontal="right" vertical="top"/>
    </xf>
    <xf numFmtId="0" fontId="2" fillId="0" borderId="7" xfId="0" applyFont="1" applyBorder="1" applyAlignment="1">
      <alignment horizontal="center" vertical="top"/>
    </xf>
    <xf numFmtId="0" fontId="20" fillId="0" borderId="21" xfId="0" applyFont="1" applyBorder="1" applyAlignment="1">
      <alignment horizontal="left" vertical="top" wrapText="1"/>
    </xf>
    <xf numFmtId="0" fontId="20" fillId="0" borderId="21" xfId="0" applyFont="1" applyFill="1" applyBorder="1" applyAlignment="1">
      <alignment horizontal="left" vertical="top" wrapText="1"/>
    </xf>
    <xf numFmtId="0" fontId="20" fillId="0" borderId="23" xfId="0" applyFont="1" applyBorder="1" applyAlignment="1">
      <alignment horizontal="left" vertical="top" wrapText="1"/>
    </xf>
    <xf numFmtId="0" fontId="4" fillId="0" borderId="5" xfId="0" applyFont="1" applyBorder="1" applyAlignment="1">
      <alignment horizontal="left" vertical="top" wrapText="1"/>
    </xf>
    <xf numFmtId="0" fontId="0" fillId="0" borderId="0" xfId="0" applyAlignment="1">
      <alignment vertical="top"/>
    </xf>
    <xf numFmtId="0" fontId="57" fillId="0" borderId="37" xfId="0" applyFont="1" applyBorder="1" applyAlignment="1">
      <alignment horizontal="left" vertical="center"/>
    </xf>
    <xf numFmtId="0" fontId="57" fillId="0" borderId="38" xfId="0" applyFont="1" applyBorder="1" applyAlignment="1">
      <alignment horizontal="left" vertical="center"/>
    </xf>
    <xf numFmtId="0" fontId="57" fillId="0" borderId="39" xfId="0" applyFont="1" applyBorder="1" applyAlignment="1">
      <alignment horizontal="left" vertical="center"/>
    </xf>
    <xf numFmtId="0" fontId="57" fillId="0" borderId="40" xfId="0" applyFont="1" applyBorder="1" applyAlignment="1">
      <alignment horizontal="left" vertical="center"/>
    </xf>
    <xf numFmtId="0" fontId="57" fillId="0" borderId="39" xfId="0" applyFont="1" applyBorder="1" applyAlignment="1">
      <alignment horizontal="center" vertical="center"/>
    </xf>
    <xf numFmtId="0" fontId="56" fillId="0" borderId="0" xfId="0" applyFont="1" applyAlignment="1">
      <alignment horizontal="justify" vertical="center"/>
    </xf>
    <xf numFmtId="0" fontId="59" fillId="0" borderId="0" xfId="0" applyFont="1" applyAlignment="1">
      <alignment horizontal="justify" vertical="center"/>
    </xf>
    <xf numFmtId="10" fontId="4" fillId="0" borderId="5" xfId="0" applyNumberFormat="1" applyFont="1" applyFill="1" applyBorder="1" applyAlignment="1">
      <alignment horizontal="right" vertical="top"/>
    </xf>
    <xf numFmtId="0" fontId="0" fillId="0" borderId="5" xfId="0" applyBorder="1">
      <alignment vertical="center"/>
    </xf>
    <xf numFmtId="0" fontId="0" fillId="12" borderId="5" xfId="0" applyFill="1" applyBorder="1">
      <alignment vertical="center"/>
    </xf>
    <xf numFmtId="0" fontId="0" fillId="17" borderId="5" xfId="0" applyFill="1" applyBorder="1" applyAlignment="1">
      <alignment horizontal="center" vertical="center"/>
    </xf>
    <xf numFmtId="0" fontId="0" fillId="17" borderId="5" xfId="0" applyFill="1" applyBorder="1">
      <alignment vertical="center"/>
    </xf>
    <xf numFmtId="0" fontId="0" fillId="12" borderId="5" xfId="0" applyFill="1" applyBorder="1" applyAlignment="1">
      <alignment horizontal="center" vertical="center"/>
    </xf>
    <xf numFmtId="0" fontId="0" fillId="18" borderId="5" xfId="0" applyFill="1" applyBorder="1">
      <alignment vertical="center"/>
    </xf>
    <xf numFmtId="43" fontId="0" fillId="18" borderId="5" xfId="4" applyFont="1" applyFill="1" applyBorder="1">
      <alignment vertical="center"/>
    </xf>
    <xf numFmtId="43" fontId="0" fillId="12" borderId="5" xfId="4" applyFont="1" applyFill="1" applyBorder="1">
      <alignment vertical="center"/>
    </xf>
    <xf numFmtId="43" fontId="11" fillId="0" borderId="5" xfId="4" applyFont="1" applyFill="1" applyBorder="1" applyAlignment="1">
      <alignment horizontal="center" vertical="center"/>
    </xf>
    <xf numFmtId="43" fontId="11" fillId="0" borderId="12" xfId="4" applyFont="1" applyFill="1" applyBorder="1" applyAlignment="1">
      <alignment horizontal="center" vertical="center"/>
    </xf>
    <xf numFmtId="43" fontId="11" fillId="0" borderId="26" xfId="4" applyFont="1" applyFill="1" applyBorder="1" applyAlignment="1">
      <alignment horizontal="center" vertical="center"/>
    </xf>
    <xf numFmtId="43" fontId="11" fillId="0" borderId="5" xfId="4" applyFont="1" applyBorder="1" applyAlignment="1">
      <alignment horizontal="center" vertical="center"/>
    </xf>
    <xf numFmtId="43" fontId="11" fillId="0" borderId="5" xfId="4" applyFont="1" applyBorder="1" applyAlignment="1">
      <alignment vertical="center"/>
    </xf>
    <xf numFmtId="43" fontId="11" fillId="0" borderId="12" xfId="4" applyFont="1" applyBorder="1" applyAlignment="1">
      <alignment horizontal="center" vertical="center"/>
    </xf>
    <xf numFmtId="0" fontId="34" fillId="0" borderId="0" xfId="0" applyFont="1" applyBorder="1" applyAlignment="1">
      <alignment horizontal="center" wrapText="1"/>
    </xf>
    <xf numFmtId="43" fontId="0" fillId="17" borderId="5" xfId="4" applyFont="1" applyFill="1" applyBorder="1">
      <alignment vertical="center"/>
    </xf>
    <xf numFmtId="9" fontId="0" fillId="0" borderId="0" xfId="0" applyNumberFormat="1">
      <alignment vertical="center"/>
    </xf>
    <xf numFmtId="43" fontId="0" fillId="18" borderId="5" xfId="4" applyFont="1" applyFill="1" applyBorder="1" applyAlignment="1">
      <alignment horizontal="center" vertical="center"/>
    </xf>
    <xf numFmtId="43" fontId="4" fillId="0" borderId="5" xfId="4" applyFont="1" applyFill="1" applyBorder="1" applyAlignment="1">
      <alignment horizontal="center" vertical="center"/>
    </xf>
    <xf numFmtId="0" fontId="62" fillId="0" borderId="5" xfId="0" applyFont="1" applyFill="1" applyBorder="1" applyAlignment="1">
      <alignment vertical="center"/>
    </xf>
    <xf numFmtId="0" fontId="61" fillId="0" borderId="5" xfId="0" applyFont="1" applyFill="1" applyBorder="1" applyAlignment="1">
      <alignment vertical="center" wrapText="1"/>
    </xf>
    <xf numFmtId="43" fontId="31" fillId="0" borderId="0" xfId="4" applyNumberFormat="1" applyFont="1" applyBorder="1" applyAlignment="1">
      <alignment vertical="center"/>
    </xf>
    <xf numFmtId="0" fontId="35" fillId="16" borderId="0" xfId="0" applyFont="1" applyFill="1" applyBorder="1" applyAlignment="1">
      <alignment horizontal="center" vertical="center"/>
    </xf>
    <xf numFmtId="0" fontId="36" fillId="0" borderId="0" xfId="0" applyFont="1" applyFill="1" applyBorder="1" applyAlignment="1">
      <alignment horizontal="center" vertical="center" wrapText="1"/>
    </xf>
    <xf numFmtId="0" fontId="36" fillId="6" borderId="5" xfId="0" applyFont="1" applyFill="1" applyBorder="1" applyAlignment="1">
      <alignment horizontal="center" vertical="center" wrapText="1"/>
    </xf>
    <xf numFmtId="0" fontId="29" fillId="0" borderId="7" xfId="0" applyFont="1" applyBorder="1" applyAlignment="1">
      <alignment vertical="center"/>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20" fillId="0" borderId="5" xfId="0" applyFont="1" applyBorder="1" applyAlignment="1">
      <alignment horizontal="center" vertical="center"/>
    </xf>
    <xf numFmtId="0" fontId="20" fillId="5" borderId="5" xfId="0" applyFont="1" applyFill="1" applyBorder="1" applyAlignment="1">
      <alignment horizontal="center" vertical="center"/>
    </xf>
    <xf numFmtId="0" fontId="20" fillId="0" borderId="0" xfId="0" applyFont="1" applyFill="1" applyBorder="1" applyAlignment="1">
      <alignment horizontal="center" vertical="center"/>
    </xf>
    <xf numFmtId="0" fontId="57" fillId="9" borderId="39" xfId="0" applyFont="1" applyFill="1" applyBorder="1" applyAlignment="1">
      <alignment horizontal="left" vertical="center"/>
    </xf>
    <xf numFmtId="0" fontId="57" fillId="9" borderId="40" xfId="0" applyFont="1" applyFill="1" applyBorder="1" applyAlignment="1">
      <alignment horizontal="left" vertical="center"/>
    </xf>
    <xf numFmtId="0" fontId="0" fillId="9" borderId="0" xfId="0" applyFill="1">
      <alignment vertical="center"/>
    </xf>
    <xf numFmtId="0" fontId="46" fillId="0" borderId="5" xfId="0" applyFont="1" applyBorder="1">
      <alignment vertical="center"/>
    </xf>
    <xf numFmtId="0" fontId="46" fillId="0" borderId="0" xfId="0" applyFont="1" applyAlignment="1">
      <alignment horizontal="right" vertical="center"/>
    </xf>
    <xf numFmtId="43" fontId="4" fillId="0" borderId="5" xfId="4" applyFont="1" applyFill="1" applyBorder="1" applyAlignment="1">
      <alignment vertical="top"/>
    </xf>
    <xf numFmtId="0" fontId="4" fillId="8" borderId="5" xfId="0" applyFont="1" applyFill="1" applyBorder="1">
      <alignment vertical="center"/>
    </xf>
    <xf numFmtId="43" fontId="4" fillId="0" borderId="5" xfId="4" applyFont="1" applyBorder="1">
      <alignment vertical="center"/>
    </xf>
    <xf numFmtId="0" fontId="6" fillId="8" borderId="5" xfId="0" applyFont="1" applyFill="1" applyBorder="1">
      <alignment vertical="center"/>
    </xf>
    <xf numFmtId="0" fontId="2" fillId="0" borderId="0" xfId="0" applyFont="1" applyBorder="1" applyAlignment="1">
      <alignment horizontal="center" vertical="center"/>
    </xf>
    <xf numFmtId="0" fontId="4" fillId="0" borderId="5" xfId="0" applyFont="1" applyBorder="1" applyAlignment="1">
      <alignment horizontal="center" vertical="center" wrapText="1"/>
    </xf>
    <xf numFmtId="9" fontId="4" fillId="3" borderId="5" xfId="0" applyNumberFormat="1" applyFont="1" applyFill="1" applyBorder="1" applyAlignment="1">
      <alignment horizontal="right" vertical="center"/>
    </xf>
    <xf numFmtId="0" fontId="6" fillId="0" borderId="21" xfId="0" applyFont="1" applyBorder="1" applyAlignment="1">
      <alignment horizontal="left" vertical="center"/>
    </xf>
    <xf numFmtId="43" fontId="4" fillId="21" borderId="5" xfId="4" applyFont="1" applyFill="1" applyBorder="1">
      <alignment vertical="center"/>
    </xf>
    <xf numFmtId="9" fontId="4" fillId="0" borderId="21" xfId="0" applyNumberFormat="1" applyFont="1" applyFill="1" applyBorder="1" applyAlignment="1">
      <alignment horizontal="left" vertical="center"/>
    </xf>
    <xf numFmtId="10" fontId="4" fillId="0" borderId="21" xfId="0" applyNumberFormat="1" applyFont="1" applyFill="1" applyBorder="1" applyAlignment="1">
      <alignment horizontal="left" vertical="center"/>
    </xf>
    <xf numFmtId="0" fontId="25" fillId="0" borderId="31" xfId="0" applyFont="1" applyBorder="1" applyAlignment="1">
      <alignment horizontal="right" vertical="center"/>
    </xf>
    <xf numFmtId="0" fontId="6" fillId="9" borderId="5" xfId="0" applyFont="1" applyFill="1" applyBorder="1" applyAlignment="1">
      <alignment horizontal="center" vertical="center"/>
    </xf>
    <xf numFmtId="0" fontId="4" fillId="9" borderId="5" xfId="0" applyFont="1" applyFill="1" applyBorder="1" applyAlignment="1">
      <alignment horizontal="right" vertical="center"/>
    </xf>
    <xf numFmtId="43" fontId="4" fillId="0" borderId="0" xfId="4" applyFont="1" applyBorder="1">
      <alignment vertical="center"/>
    </xf>
    <xf numFmtId="43" fontId="4" fillId="0" borderId="0" xfId="0" applyNumberFormat="1" applyFont="1" applyBorder="1">
      <alignment vertical="center"/>
    </xf>
    <xf numFmtId="0" fontId="7" fillId="0" borderId="0" xfId="0" applyFont="1" applyFill="1" applyBorder="1" applyAlignment="1">
      <alignment horizontal="center" vertical="center"/>
    </xf>
    <xf numFmtId="0" fontId="6" fillId="21" borderId="5" xfId="0" applyFont="1" applyFill="1" applyBorder="1" applyAlignment="1">
      <alignment horizontal="center" vertical="center"/>
    </xf>
    <xf numFmtId="0" fontId="6" fillId="0" borderId="31" xfId="0" applyFont="1" applyBorder="1" applyAlignment="1">
      <alignment horizontal="right" vertical="center"/>
    </xf>
    <xf numFmtId="43" fontId="4" fillId="21" borderId="5" xfId="4" applyFont="1" applyFill="1" applyBorder="1" applyAlignment="1">
      <alignment horizontal="center" vertical="center"/>
    </xf>
    <xf numFmtId="43" fontId="4" fillId="21" borderId="5" xfId="4" applyFont="1" applyFill="1" applyBorder="1" applyAlignment="1">
      <alignment horizontal="right" vertical="center"/>
    </xf>
    <xf numFmtId="0" fontId="16" fillId="0" borderId="0" xfId="1" applyFont="1" applyFill="1">
      <alignment vertical="center"/>
    </xf>
    <xf numFmtId="0" fontId="17" fillId="0" borderId="0" xfId="1" applyFont="1" applyFill="1">
      <alignment vertical="center"/>
    </xf>
    <xf numFmtId="0" fontId="18" fillId="0" borderId="0" xfId="0" applyFont="1" applyFill="1">
      <alignment vertical="center"/>
    </xf>
    <xf numFmtId="0" fontId="0" fillId="0" borderId="0" xfId="0" applyFill="1">
      <alignment vertical="center"/>
    </xf>
    <xf numFmtId="0" fontId="7" fillId="2" borderId="0" xfId="0" applyFont="1" applyFill="1" applyBorder="1" applyAlignment="1">
      <alignment horizontal="center" vertical="center"/>
    </xf>
    <xf numFmtId="0" fontId="8" fillId="0" borderId="5" xfId="0" applyFont="1" applyFill="1" applyBorder="1" applyAlignment="1">
      <alignment horizontal="center" vertical="center"/>
    </xf>
    <xf numFmtId="0" fontId="4" fillId="9" borderId="5" xfId="0" applyFont="1" applyFill="1" applyBorder="1" applyAlignment="1">
      <alignment horizontal="center" vertical="center"/>
    </xf>
    <xf numFmtId="0" fontId="32" fillId="0" borderId="0" xfId="0" applyFont="1" applyBorder="1" applyAlignment="1">
      <alignment horizontal="left" vertical="center" wrapText="1"/>
    </xf>
    <xf numFmtId="0" fontId="33" fillId="0" borderId="0" xfId="0" applyFont="1" applyBorder="1" applyAlignment="1">
      <alignment horizontal="left" vertical="center" wrapText="1"/>
    </xf>
    <xf numFmtId="0" fontId="31" fillId="0" borderId="0" xfId="0" applyFont="1" applyBorder="1" applyAlignment="1">
      <alignment horizontal="left" vertical="center"/>
    </xf>
    <xf numFmtId="0" fontId="31" fillId="0" borderId="0" xfId="0" applyFont="1" applyBorder="1" applyAlignment="1">
      <alignment vertical="center" wrapText="1"/>
    </xf>
    <xf numFmtId="0" fontId="31" fillId="8" borderId="5" xfId="0" applyFont="1" applyFill="1" applyBorder="1" applyAlignment="1">
      <alignment horizontal="center" vertical="center" wrapText="1"/>
    </xf>
    <xf numFmtId="0" fontId="31" fillId="23" borderId="5" xfId="0" applyFont="1" applyFill="1" applyBorder="1" applyAlignment="1">
      <alignment horizontal="center" vertical="center" wrapText="1"/>
    </xf>
    <xf numFmtId="0" fontId="31" fillId="0" borderId="5" xfId="0" applyFont="1" applyBorder="1" applyAlignment="1">
      <alignment horizontal="center" vertical="center"/>
    </xf>
    <xf numFmtId="0" fontId="31" fillId="8" borderId="5" xfId="0" applyFont="1" applyFill="1" applyBorder="1" applyAlignment="1">
      <alignment horizontal="center" vertical="center"/>
    </xf>
    <xf numFmtId="0" fontId="31" fillId="23" borderId="5" xfId="0" applyFont="1" applyFill="1" applyBorder="1" applyAlignment="1">
      <alignment horizontal="center" vertical="center"/>
    </xf>
    <xf numFmtId="0" fontId="31" fillId="23" borderId="5" xfId="0" applyFont="1" applyFill="1" applyBorder="1" applyAlignment="1">
      <alignment horizontal="left" vertical="center" wrapText="1"/>
    </xf>
    <xf numFmtId="0" fontId="31" fillId="8" borderId="5" xfId="0" applyFont="1" applyFill="1" applyBorder="1" applyAlignment="1">
      <alignment horizontal="left" vertical="center" wrapText="1"/>
    </xf>
    <xf numFmtId="0" fontId="32" fillId="0" borderId="5" xfId="0" applyFont="1" applyBorder="1" applyAlignment="1">
      <alignment horizontal="center" vertical="center" wrapText="1"/>
    </xf>
    <xf numFmtId="43" fontId="5" fillId="24" borderId="5" xfId="4" applyFont="1" applyFill="1" applyBorder="1" applyAlignment="1">
      <alignment horizontal="center" vertical="center"/>
    </xf>
    <xf numFmtId="43" fontId="5" fillId="0" borderId="5" xfId="4" applyFont="1" applyFill="1" applyBorder="1" applyAlignment="1">
      <alignment horizontal="center" vertical="center"/>
    </xf>
    <xf numFmtId="9" fontId="5" fillId="0" borderId="5"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0" fontId="5" fillId="25" borderId="5" xfId="0" applyFont="1" applyFill="1" applyBorder="1" applyAlignment="1">
      <alignment horizontal="center" vertical="center"/>
    </xf>
    <xf numFmtId="0" fontId="5" fillId="0" borderId="5" xfId="0" applyFont="1" applyFill="1" applyBorder="1" applyAlignment="1">
      <alignment horizontal="center" vertical="center"/>
    </xf>
    <xf numFmtId="10" fontId="5" fillId="0" borderId="5" xfId="0" applyNumberFormat="1" applyFont="1" applyFill="1" applyBorder="1" applyAlignment="1">
      <alignment horizontal="center" vertical="center"/>
    </xf>
    <xf numFmtId="0" fontId="0" fillId="0" borderId="0" xfId="0" applyFill="1" applyAlignment="1">
      <alignment horizontal="center" vertical="center"/>
    </xf>
    <xf numFmtId="0" fontId="2" fillId="0" borderId="5" xfId="0" applyFont="1" applyFill="1" applyBorder="1" applyAlignment="1">
      <alignment horizontal="center" vertical="center"/>
    </xf>
    <xf numFmtId="0" fontId="2" fillId="0" borderId="12" xfId="0" applyFont="1" applyFill="1" applyBorder="1" applyAlignment="1">
      <alignment horizontal="center" vertical="center"/>
    </xf>
    <xf numFmtId="0" fontId="31" fillId="0" borderId="0" xfId="0" applyFont="1" applyBorder="1" applyAlignment="1">
      <alignment horizontal="center" vertical="center" wrapText="1"/>
    </xf>
    <xf numFmtId="0" fontId="32" fillId="21" borderId="5" xfId="0" applyFont="1" applyFill="1" applyBorder="1" applyAlignment="1">
      <alignment horizontal="center" vertical="center" wrapText="1"/>
    </xf>
    <xf numFmtId="0" fontId="9" fillId="0" borderId="0" xfId="2">
      <alignment vertical="center"/>
    </xf>
    <xf numFmtId="43" fontId="35" fillId="21" borderId="5" xfId="0" applyNumberFormat="1" applyFont="1" applyFill="1" applyBorder="1" applyAlignment="1">
      <alignment vertical="center"/>
    </xf>
    <xf numFmtId="43" fontId="35" fillId="16" borderId="5" xfId="4" applyFont="1" applyFill="1" applyBorder="1" applyAlignment="1">
      <alignment vertical="center"/>
    </xf>
    <xf numFmtId="0" fontId="35" fillId="21" borderId="5"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44" fillId="0" borderId="0" xfId="0" applyFont="1" applyFill="1" applyBorder="1" applyAlignment="1">
      <alignment horizontal="center" vertical="center"/>
    </xf>
    <xf numFmtId="0" fontId="0" fillId="0" borderId="0" xfId="0" applyFill="1" applyBorder="1" applyAlignment="1">
      <alignment horizontal="center" vertical="center"/>
    </xf>
    <xf numFmtId="43" fontId="20" fillId="0" borderId="0" xfId="4" applyFont="1" applyBorder="1">
      <alignment vertical="center"/>
    </xf>
    <xf numFmtId="43" fontId="5" fillId="24" borderId="12" xfId="4" applyFont="1" applyFill="1" applyBorder="1" applyAlignment="1">
      <alignment horizontal="center" vertical="center"/>
    </xf>
    <xf numFmtId="43" fontId="5" fillId="0" borderId="12" xfId="4" applyFont="1" applyFill="1" applyBorder="1" applyAlignment="1">
      <alignment horizontal="center" vertical="center"/>
    </xf>
    <xf numFmtId="9" fontId="5" fillId="0" borderId="12" xfId="0" applyNumberFormat="1" applyFont="1" applyFill="1" applyBorder="1" applyAlignment="1">
      <alignment horizontal="center" vertical="center"/>
    </xf>
    <xf numFmtId="49" fontId="5" fillId="0" borderId="12" xfId="0" applyNumberFormat="1" applyFont="1" applyFill="1" applyBorder="1" applyAlignment="1">
      <alignment horizontal="center" vertical="center"/>
    </xf>
    <xf numFmtId="0" fontId="7" fillId="28" borderId="44" xfId="0" applyFont="1" applyFill="1" applyBorder="1" applyAlignment="1">
      <alignment horizontal="center" vertical="center"/>
    </xf>
    <xf numFmtId="0" fontId="7" fillId="2" borderId="12" xfId="0" applyFont="1" applyFill="1" applyBorder="1">
      <alignment vertical="center"/>
    </xf>
    <xf numFmtId="0" fontId="7" fillId="2" borderId="5" xfId="0" applyFont="1" applyFill="1" applyBorder="1">
      <alignment vertical="center"/>
    </xf>
    <xf numFmtId="49" fontId="5" fillId="14" borderId="5" xfId="0" applyNumberFormat="1" applyFont="1" applyFill="1" applyBorder="1" applyAlignment="1">
      <alignment horizontal="center" vertical="center"/>
    </xf>
    <xf numFmtId="0" fontId="7" fillId="29" borderId="5" xfId="0" applyFont="1" applyFill="1" applyBorder="1">
      <alignment vertical="center"/>
    </xf>
    <xf numFmtId="0" fontId="9" fillId="0" borderId="0" xfId="2" applyBorder="1" applyAlignment="1">
      <alignment vertical="center"/>
    </xf>
    <xf numFmtId="0" fontId="21" fillId="0" borderId="7" xfId="0" applyFont="1" applyBorder="1" applyAlignment="1">
      <alignment vertical="center"/>
    </xf>
    <xf numFmtId="0" fontId="0" fillId="0" borderId="0" xfId="0" applyFill="1" applyBorder="1" applyAlignment="1">
      <alignment vertical="center"/>
    </xf>
    <xf numFmtId="176" fontId="0" fillId="0" borderId="5" xfId="0" applyNumberFormat="1" applyFill="1" applyBorder="1" applyAlignment="1">
      <alignment horizontal="center" vertical="center"/>
    </xf>
    <xf numFmtId="0" fontId="74" fillId="0" borderId="0" xfId="0" applyFont="1" applyFill="1" applyAlignment="1">
      <alignment horizontal="center" vertical="center"/>
    </xf>
    <xf numFmtId="0" fontId="1" fillId="14" borderId="0" xfId="1" applyFill="1">
      <alignment vertical="center"/>
    </xf>
    <xf numFmtId="0" fontId="4" fillId="16" borderId="2" xfId="1" applyFont="1" applyFill="1" applyBorder="1" applyAlignment="1">
      <alignment horizontal="left" wrapText="1"/>
    </xf>
    <xf numFmtId="0" fontId="4" fillId="16" borderId="2" xfId="1" applyFont="1" applyFill="1" applyBorder="1" applyAlignment="1">
      <alignment vertical="top" wrapText="1"/>
    </xf>
    <xf numFmtId="0" fontId="4" fillId="3" borderId="1" xfId="1" applyFont="1" applyFill="1" applyBorder="1" applyAlignment="1">
      <alignment vertical="top" wrapText="1"/>
    </xf>
    <xf numFmtId="0" fontId="9" fillId="0" borderId="0" xfId="2" applyFill="1" applyAlignment="1">
      <alignment vertical="top" wrapText="1"/>
    </xf>
    <xf numFmtId="43" fontId="0" fillId="30" borderId="22" xfId="0" applyNumberFormat="1" applyFill="1" applyBorder="1" applyAlignment="1">
      <alignment horizontal="center" vertical="center"/>
    </xf>
    <xf numFmtId="43" fontId="4" fillId="0" borderId="12" xfId="4" applyFont="1" applyFill="1" applyBorder="1" applyAlignment="1">
      <alignment vertical="top"/>
    </xf>
    <xf numFmtId="0" fontId="44" fillId="0" borderId="5" xfId="0" applyFont="1" applyBorder="1" applyAlignment="1">
      <alignment horizontal="center" vertical="center" wrapText="1"/>
    </xf>
    <xf numFmtId="0" fontId="7" fillId="28" borderId="44" xfId="0" applyFont="1" applyFill="1" applyBorder="1" applyAlignment="1">
      <alignment horizontal="center" vertical="center"/>
    </xf>
    <xf numFmtId="0" fontId="0" fillId="0" borderId="0" xfId="0" applyAlignment="1"/>
    <xf numFmtId="0" fontId="0" fillId="0" borderId="0" xfId="0" applyAlignment="1">
      <alignment horizontal="center"/>
    </xf>
    <xf numFmtId="0" fontId="0" fillId="0" borderId="0" xfId="0" applyBorder="1" applyAlignment="1">
      <alignment horizontal="center"/>
    </xf>
    <xf numFmtId="178" fontId="78" fillId="32" borderId="5" xfId="0" applyNumberFormat="1" applyFont="1" applyFill="1" applyBorder="1" applyAlignment="1">
      <alignment horizontal="right"/>
    </xf>
    <xf numFmtId="0" fontId="0" fillId="0" borderId="0" xfId="0" applyFill="1" applyBorder="1" applyAlignment="1">
      <alignment horizontal="center"/>
    </xf>
    <xf numFmtId="0" fontId="0" fillId="0" borderId="0" xfId="0" applyFill="1" applyBorder="1" applyAlignment="1"/>
    <xf numFmtId="176" fontId="0" fillId="31" borderId="5" xfId="0" applyNumberFormat="1" applyFill="1" applyBorder="1" applyAlignment="1">
      <alignment horizontal="center" vertical="center"/>
    </xf>
    <xf numFmtId="0" fontId="81" fillId="33" borderId="5" xfId="0" applyFont="1" applyFill="1" applyBorder="1" applyAlignment="1"/>
    <xf numFmtId="0" fontId="80" fillId="33" borderId="5" xfId="0" applyFont="1" applyFill="1" applyBorder="1" applyAlignment="1">
      <alignment horizontal="center"/>
    </xf>
    <xf numFmtId="0" fontId="79" fillId="33" borderId="5" xfId="0" applyFont="1" applyFill="1" applyBorder="1" applyAlignment="1">
      <alignment horizontal="center"/>
    </xf>
    <xf numFmtId="0" fontId="82" fillId="33" borderId="5" xfId="0" applyFont="1" applyFill="1" applyBorder="1" applyAlignment="1">
      <alignment horizontal="center"/>
    </xf>
    <xf numFmtId="179" fontId="76" fillId="34" borderId="5" xfId="0" applyNumberFormat="1" applyFont="1" applyFill="1" applyBorder="1" applyAlignment="1">
      <alignment horizontal="center"/>
    </xf>
    <xf numFmtId="179" fontId="76" fillId="9" borderId="5" xfId="0" applyNumberFormat="1" applyFont="1" applyFill="1" applyBorder="1" applyAlignment="1">
      <alignment horizontal="center"/>
    </xf>
    <xf numFmtId="179" fontId="76" fillId="36" borderId="5" xfId="0" applyNumberFormat="1" applyFont="1" applyFill="1" applyBorder="1" applyAlignment="1">
      <alignment horizontal="center"/>
    </xf>
    <xf numFmtId="179" fontId="76" fillId="37" borderId="5" xfId="0" applyNumberFormat="1" applyFont="1" applyFill="1" applyBorder="1" applyAlignment="1">
      <alignment horizontal="center"/>
    </xf>
    <xf numFmtId="43" fontId="0" fillId="8" borderId="5" xfId="0" applyNumberFormat="1" applyFill="1" applyBorder="1">
      <alignment vertical="center"/>
    </xf>
    <xf numFmtId="0" fontId="0" fillId="8" borderId="5" xfId="0" applyFill="1" applyBorder="1" applyAlignment="1">
      <alignment horizontal="left" vertical="center"/>
    </xf>
    <xf numFmtId="43" fontId="0" fillId="30" borderId="5" xfId="0" applyNumberFormat="1" applyFill="1" applyBorder="1" applyAlignment="1">
      <alignment horizontal="center" vertical="center"/>
    </xf>
    <xf numFmtId="0" fontId="0" fillId="0" borderId="22" xfId="0" applyFill="1" applyBorder="1">
      <alignment vertical="center"/>
    </xf>
    <xf numFmtId="0" fontId="36" fillId="0" borderId="5" xfId="0" applyFont="1" applyFill="1" applyBorder="1" applyAlignment="1">
      <alignment horizontal="left" vertical="center" wrapText="1"/>
    </xf>
    <xf numFmtId="0" fontId="34" fillId="0" borderId="27" xfId="0" applyFont="1" applyBorder="1" applyAlignment="1">
      <alignment wrapText="1"/>
    </xf>
    <xf numFmtId="0" fontId="34" fillId="0" borderId="7" xfId="0" applyFont="1" applyBorder="1" applyAlignment="1">
      <alignment wrapText="1"/>
    </xf>
    <xf numFmtId="43" fontId="31" fillId="0" borderId="0" xfId="0" applyNumberFormat="1" applyFont="1" applyBorder="1" applyAlignment="1">
      <alignment vertical="center"/>
    </xf>
    <xf numFmtId="0" fontId="21" fillId="0" borderId="7" xfId="6" applyFont="1" applyBorder="1" applyAlignment="1">
      <alignment vertical="center"/>
    </xf>
    <xf numFmtId="0" fontId="21" fillId="0" borderId="29" xfId="6" applyFont="1" applyBorder="1" applyAlignment="1">
      <alignment vertical="center"/>
    </xf>
    <xf numFmtId="0" fontId="83" fillId="0" borderId="7" xfId="6" applyFont="1" applyBorder="1" applyAlignment="1">
      <alignment vertical="center"/>
    </xf>
    <xf numFmtId="0" fontId="4" fillId="16" borderId="2" xfId="1" applyFont="1" applyFill="1" applyBorder="1" applyAlignment="1">
      <alignment vertical="center" wrapText="1"/>
    </xf>
    <xf numFmtId="0" fontId="4" fillId="16" borderId="2" xfId="1" applyFont="1" applyFill="1" applyBorder="1" applyAlignment="1">
      <alignment horizontal="left" vertical="top" wrapText="1"/>
    </xf>
    <xf numFmtId="0" fontId="55" fillId="16" borderId="2" xfId="1" applyFont="1" applyFill="1" applyBorder="1" applyAlignment="1">
      <alignment horizontal="left" vertical="top" wrapText="1"/>
    </xf>
    <xf numFmtId="49" fontId="4" fillId="16" borderId="2" xfId="1" applyNumberFormat="1" applyFont="1" applyFill="1" applyBorder="1" applyAlignment="1">
      <alignment horizontal="left" vertical="center" wrapText="1"/>
    </xf>
    <xf numFmtId="49" fontId="4" fillId="16" borderId="2" xfId="1" quotePrefix="1" applyNumberFormat="1" applyFont="1" applyFill="1" applyBorder="1" applyAlignment="1">
      <alignment horizontal="left" vertical="center" wrapText="1"/>
    </xf>
    <xf numFmtId="49" fontId="4" fillId="16" borderId="2" xfId="1" quotePrefix="1" applyNumberFormat="1" applyFont="1" applyFill="1" applyBorder="1" applyAlignment="1">
      <alignment vertical="center" wrapText="1"/>
    </xf>
    <xf numFmtId="49" fontId="4" fillId="16" borderId="2" xfId="1" applyNumberFormat="1" applyFont="1" applyFill="1" applyBorder="1" applyAlignment="1">
      <alignment vertical="center" wrapText="1"/>
    </xf>
    <xf numFmtId="0" fontId="4" fillId="16" borderId="2" xfId="1" quotePrefix="1" applyFont="1" applyFill="1" applyBorder="1" applyAlignment="1">
      <alignment vertical="center" wrapText="1"/>
    </xf>
    <xf numFmtId="0" fontId="77" fillId="0" borderId="5" xfId="0" applyFont="1" applyFill="1" applyBorder="1" applyAlignment="1">
      <alignment horizontal="center"/>
    </xf>
    <xf numFmtId="43" fontId="5" fillId="24" borderId="5" xfId="4" applyFont="1" applyFill="1" applyBorder="1" applyAlignment="1">
      <alignment horizontal="center" vertical="center"/>
    </xf>
    <xf numFmtId="43" fontId="4" fillId="14" borderId="5" xfId="4" applyFont="1" applyFill="1" applyBorder="1" applyAlignment="1">
      <alignment horizontal="center" vertical="center"/>
    </xf>
    <xf numFmtId="10" fontId="0" fillId="0" borderId="0" xfId="0" applyNumberFormat="1">
      <alignment vertical="center"/>
    </xf>
    <xf numFmtId="0" fontId="7" fillId="15" borderId="14" xfId="0" applyFont="1" applyFill="1" applyBorder="1" applyAlignment="1">
      <alignment vertical="center"/>
    </xf>
    <xf numFmtId="0" fontId="68" fillId="15" borderId="55" xfId="0" applyFont="1" applyFill="1" applyBorder="1" applyAlignment="1">
      <alignment vertical="center"/>
    </xf>
    <xf numFmtId="0" fontId="0" fillId="0" borderId="5" xfId="0" applyFill="1" applyBorder="1">
      <alignment vertical="center"/>
    </xf>
    <xf numFmtId="0" fontId="0" fillId="0" borderId="0" xfId="0">
      <alignment vertical="center"/>
    </xf>
    <xf numFmtId="0" fontId="7" fillId="2" borderId="47" xfId="0" applyFont="1" applyFill="1" applyBorder="1" applyAlignment="1">
      <alignment horizontal="center" vertical="center"/>
    </xf>
    <xf numFmtId="0" fontId="7" fillId="2" borderId="49" xfId="0" applyFont="1" applyFill="1" applyBorder="1" applyAlignment="1">
      <alignment horizontal="center" vertical="center"/>
    </xf>
    <xf numFmtId="0" fontId="5" fillId="0" borderId="9" xfId="0" applyFont="1" applyBorder="1" applyAlignment="1">
      <alignment horizontal="center" vertical="center"/>
    </xf>
    <xf numFmtId="0" fontId="10" fillId="0" borderId="46" xfId="2" applyFont="1" applyBorder="1">
      <alignment vertical="center"/>
    </xf>
    <xf numFmtId="0" fontId="90" fillId="10" borderId="5" xfId="0" applyFont="1" applyFill="1" applyBorder="1" applyAlignment="1">
      <alignment horizontal="center" vertical="center"/>
    </xf>
    <xf numFmtId="176" fontId="0" fillId="0" borderId="12" xfId="0" applyNumberFormat="1" applyFill="1" applyBorder="1" applyAlignment="1">
      <alignment horizontal="center" vertical="center"/>
    </xf>
    <xf numFmtId="43" fontId="5" fillId="24" borderId="5" xfId="4" applyFont="1" applyFill="1" applyBorder="1" applyAlignment="1">
      <alignment horizontal="center" vertical="center" wrapText="1"/>
    </xf>
    <xf numFmtId="0" fontId="20" fillId="0" borderId="5" xfId="0" applyFont="1" applyFill="1" applyBorder="1" applyAlignment="1">
      <alignment horizontal="left" vertical="center" wrapText="1"/>
    </xf>
    <xf numFmtId="176" fontId="0" fillId="55" borderId="5" xfId="0" applyNumberFormat="1" applyFill="1" applyBorder="1" applyAlignment="1">
      <alignment horizontal="center" vertical="center"/>
    </xf>
    <xf numFmtId="0" fontId="21" fillId="0" borderId="7" xfId="6" applyFont="1" applyBorder="1" applyAlignment="1">
      <alignment horizontal="center" vertical="center"/>
    </xf>
    <xf numFmtId="43" fontId="0" fillId="0" borderId="13" xfId="4" applyFont="1" applyFill="1" applyBorder="1">
      <alignment vertical="center"/>
    </xf>
    <xf numFmtId="0" fontId="30" fillId="0" borderId="12" xfId="0" applyFont="1" applyBorder="1" applyAlignment="1">
      <alignment horizontal="center" vertical="center" wrapText="1"/>
    </xf>
    <xf numFmtId="0" fontId="28" fillId="0" borderId="5" xfId="0" applyFont="1" applyBorder="1">
      <alignment vertical="center"/>
    </xf>
    <xf numFmtId="0" fontId="20" fillId="0" borderId="5" xfId="0" applyFont="1" applyBorder="1" applyAlignment="1">
      <alignment horizontal="left" vertical="center" wrapText="1"/>
    </xf>
    <xf numFmtId="43" fontId="5" fillId="53" borderId="5" xfId="4" applyFont="1" applyFill="1" applyBorder="1" applyAlignment="1">
      <alignment horizontal="center" vertical="center" wrapText="1"/>
    </xf>
    <xf numFmtId="0" fontId="7" fillId="35" borderId="5" xfId="0" applyFont="1" applyFill="1" applyBorder="1">
      <alignment vertical="center"/>
    </xf>
    <xf numFmtId="0" fontId="78" fillId="32" borderId="5" xfId="0" applyFont="1" applyFill="1" applyBorder="1" applyAlignment="1">
      <alignment horizontal="right"/>
    </xf>
    <xf numFmtId="0" fontId="0" fillId="5" borderId="5" xfId="0" applyFill="1" applyBorder="1" applyAlignment="1">
      <alignment horizontal="center" vertical="center"/>
    </xf>
    <xf numFmtId="0" fontId="46" fillId="16" borderId="2" xfId="1" applyFont="1" applyFill="1" applyBorder="1" applyAlignment="1">
      <alignment horizontal="left" wrapText="1"/>
    </xf>
    <xf numFmtId="180" fontId="77" fillId="0" borderId="5" xfId="0" applyNumberFormat="1" applyFont="1" applyFill="1" applyBorder="1" applyAlignment="1">
      <alignment horizontal="center"/>
    </xf>
    <xf numFmtId="180" fontId="78" fillId="35" borderId="5" xfId="0" applyNumberFormat="1" applyFont="1" applyFill="1" applyBorder="1" applyAlignment="1">
      <alignment horizontal="right"/>
    </xf>
    <xf numFmtId="176" fontId="0" fillId="21" borderId="5" xfId="0" applyNumberFormat="1" applyFill="1" applyBorder="1" applyAlignment="1">
      <alignment horizontal="center" vertical="center"/>
    </xf>
    <xf numFmtId="0" fontId="0" fillId="21" borderId="12" xfId="0" applyFill="1" applyBorder="1" applyAlignment="1">
      <alignment horizontal="center" vertical="center"/>
    </xf>
    <xf numFmtId="0" fontId="8" fillId="0" borderId="33" xfId="0" applyFont="1" applyFill="1" applyBorder="1" applyAlignment="1">
      <alignment vertical="center"/>
    </xf>
    <xf numFmtId="0" fontId="7" fillId="2" borderId="5" xfId="0" applyFont="1" applyFill="1" applyBorder="1" applyAlignment="1">
      <alignment horizontal="center" vertical="center"/>
    </xf>
    <xf numFmtId="0" fontId="4" fillId="0" borderId="5" xfId="0" applyFont="1" applyFill="1" applyBorder="1" applyAlignment="1">
      <alignment horizontal="left" vertical="center"/>
    </xf>
    <xf numFmtId="0" fontId="6" fillId="0" borderId="5" xfId="0" applyFont="1" applyFill="1" applyBorder="1" applyAlignment="1">
      <alignment horizontal="left" vertical="center"/>
    </xf>
    <xf numFmtId="0" fontId="4" fillId="0" borderId="0" xfId="0" applyFont="1" applyBorder="1" applyAlignment="1">
      <alignment horizontal="left" vertical="center"/>
    </xf>
    <xf numFmtId="0" fontId="8" fillId="0" borderId="34" xfId="0" applyFont="1" applyFill="1" applyBorder="1" applyAlignment="1">
      <alignment vertical="center"/>
    </xf>
    <xf numFmtId="0" fontId="8" fillId="0" borderId="0" xfId="0" applyFont="1" applyFill="1" applyBorder="1" applyAlignment="1">
      <alignment horizontal="center" vertical="top"/>
    </xf>
    <xf numFmtId="0" fontId="7" fillId="2" borderId="5" xfId="0" applyFont="1" applyFill="1" applyBorder="1" applyAlignment="1">
      <alignment horizontal="center" vertical="center" wrapText="1"/>
    </xf>
    <xf numFmtId="0" fontId="48" fillId="0" borderId="0" xfId="0" applyFont="1" applyAlignment="1">
      <alignment vertical="top"/>
    </xf>
    <xf numFmtId="0" fontId="7" fillId="2" borderId="0" xfId="0" applyFont="1" applyFill="1" applyBorder="1" applyAlignment="1">
      <alignment horizontal="center" vertical="center" wrapText="1"/>
    </xf>
    <xf numFmtId="0" fontId="7" fillId="2" borderId="19" xfId="0" applyFont="1" applyFill="1" applyBorder="1" applyAlignment="1">
      <alignment horizontal="center" vertical="center"/>
    </xf>
    <xf numFmtId="0" fontId="4" fillId="0" borderId="0" xfId="0" applyFont="1" applyAlignment="1">
      <alignment vertical="top"/>
    </xf>
    <xf numFmtId="0" fontId="5" fillId="0" borderId="0" xfId="0" applyFont="1" applyAlignment="1">
      <alignment vertical="top"/>
    </xf>
    <xf numFmtId="0" fontId="5" fillId="0" borderId="0" xfId="0" applyFont="1">
      <alignment vertical="center"/>
    </xf>
    <xf numFmtId="43" fontId="4" fillId="0" borderId="5" xfId="4" applyFont="1" applyBorder="1" applyAlignment="1">
      <alignment vertical="top"/>
    </xf>
    <xf numFmtId="0" fontId="4" fillId="20" borderId="5" xfId="0" applyFont="1" applyFill="1" applyBorder="1" applyAlignment="1">
      <alignment vertical="top"/>
    </xf>
    <xf numFmtId="0" fontId="4" fillId="0" borderId="0" xfId="0" applyFont="1">
      <alignment vertical="center"/>
    </xf>
    <xf numFmtId="0" fontId="9" fillId="0" borderId="0" xfId="2" applyFill="1" applyAlignment="1">
      <alignment vertical="top" wrapText="1"/>
    </xf>
    <xf numFmtId="0" fontId="4" fillId="0" borderId="0" xfId="0" applyFont="1" applyAlignment="1">
      <alignment horizontal="left" vertical="center"/>
    </xf>
    <xf numFmtId="0" fontId="4" fillId="0" borderId="0" xfId="0" applyFont="1" applyFill="1" applyBorder="1" applyAlignment="1">
      <alignment horizontal="left" vertical="top"/>
    </xf>
    <xf numFmtId="0" fontId="4" fillId="0" borderId="5" xfId="0" quotePrefix="1" applyFont="1" applyFill="1" applyBorder="1" applyAlignment="1">
      <alignment horizontal="center" vertical="center"/>
    </xf>
    <xf numFmtId="0" fontId="4" fillId="0" borderId="5" xfId="0" applyFont="1" applyFill="1" applyBorder="1">
      <alignment vertical="center"/>
    </xf>
    <xf numFmtId="0" fontId="4" fillId="0" borderId="5" xfId="0" applyFont="1" applyFill="1" applyBorder="1" applyAlignment="1">
      <alignment horizontal="center" vertical="center"/>
    </xf>
    <xf numFmtId="0" fontId="8" fillId="0" borderId="41" xfId="0" applyFont="1" applyFill="1" applyBorder="1" applyAlignment="1">
      <alignment vertical="center"/>
    </xf>
    <xf numFmtId="0" fontId="8" fillId="0" borderId="0" xfId="0" applyFont="1" applyFill="1" applyBorder="1" applyAlignment="1">
      <alignment horizontal="center" vertical="center"/>
    </xf>
    <xf numFmtId="0" fontId="25" fillId="0" borderId="0" xfId="0" applyFont="1" applyFill="1" applyBorder="1" applyAlignment="1">
      <alignment horizontal="center" vertical="center"/>
    </xf>
    <xf numFmtId="0" fontId="5" fillId="0" borderId="0" xfId="0" applyFont="1" applyFill="1">
      <alignment vertical="center"/>
    </xf>
    <xf numFmtId="0" fontId="4" fillId="0" borderId="0" xfId="0" applyFont="1" applyFill="1">
      <alignment vertical="center"/>
    </xf>
    <xf numFmtId="0" fontId="5" fillId="14" borderId="0" xfId="0" applyFont="1" applyFill="1">
      <alignment vertical="center"/>
    </xf>
    <xf numFmtId="0" fontId="8" fillId="0" borderId="8" xfId="0" applyFont="1" applyFill="1" applyBorder="1" applyAlignment="1">
      <alignment horizontal="center" vertical="center"/>
    </xf>
    <xf numFmtId="0" fontId="7" fillId="2" borderId="5" xfId="0" applyFont="1" applyFill="1" applyBorder="1" applyAlignment="1">
      <alignment vertical="center" wrapText="1"/>
    </xf>
    <xf numFmtId="0" fontId="7" fillId="2" borderId="35"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24" xfId="0" applyFont="1" applyFill="1" applyBorder="1" applyAlignment="1">
      <alignment horizontal="center" vertical="center"/>
    </xf>
    <xf numFmtId="0" fontId="68" fillId="2" borderId="5" xfId="0" applyFont="1" applyFill="1" applyBorder="1" applyAlignment="1">
      <alignment horizontal="center" vertical="center"/>
    </xf>
    <xf numFmtId="0" fontId="7" fillId="2" borderId="21" xfId="0" applyFont="1" applyFill="1" applyBorder="1" applyAlignment="1">
      <alignment horizontal="center" vertical="center"/>
    </xf>
    <xf numFmtId="0" fontId="7" fillId="22" borderId="5" xfId="0" applyFont="1" applyFill="1" applyBorder="1" applyAlignment="1">
      <alignment horizontal="center" vertical="center"/>
    </xf>
    <xf numFmtId="0" fontId="4" fillId="14" borderId="5" xfId="0" applyFont="1" applyFill="1" applyBorder="1">
      <alignment vertical="center"/>
    </xf>
    <xf numFmtId="0" fontId="6" fillId="0" borderId="5" xfId="0" applyFont="1" applyBorder="1" applyAlignment="1">
      <alignment horizontal="left" vertical="center"/>
    </xf>
    <xf numFmtId="0" fontId="67" fillId="0" borderId="5" xfId="0" applyFont="1" applyBorder="1">
      <alignment vertical="center"/>
    </xf>
    <xf numFmtId="0" fontId="4" fillId="9" borderId="5" xfId="0" applyFont="1" applyFill="1" applyBorder="1" applyAlignment="1">
      <alignment horizontal="center" vertical="center"/>
    </xf>
    <xf numFmtId="43" fontId="52" fillId="0" borderId="5" xfId="4" applyFont="1" applyFill="1" applyBorder="1" applyAlignment="1">
      <alignment horizontal="center" vertical="center"/>
    </xf>
    <xf numFmtId="43" fontId="4" fillId="14" borderId="5" xfId="4" applyFont="1" applyFill="1" applyBorder="1" applyAlignment="1">
      <alignment vertical="top"/>
    </xf>
    <xf numFmtId="0" fontId="4" fillId="0" borderId="5" xfId="0" applyFont="1" applyFill="1" applyBorder="1" applyAlignment="1">
      <alignment horizontal="right" vertical="center"/>
    </xf>
    <xf numFmtId="43" fontId="4" fillId="14" borderId="5" xfId="4" applyFont="1" applyFill="1" applyBorder="1">
      <alignment vertical="center"/>
    </xf>
    <xf numFmtId="0" fontId="4" fillId="0" borderId="5" xfId="0" applyFont="1" applyBorder="1" applyAlignment="1">
      <alignment horizontal="left" vertical="center"/>
    </xf>
    <xf numFmtId="0" fontId="4" fillId="0" borderId="5" xfId="0" applyFont="1" applyFill="1" applyBorder="1" applyAlignment="1">
      <alignment horizontal="left" vertical="center" indent="1"/>
    </xf>
    <xf numFmtId="0" fontId="4" fillId="0" borderId="5" xfId="0" applyFont="1" applyBorder="1" applyAlignment="1">
      <alignment horizontal="center" vertical="center"/>
    </xf>
    <xf numFmtId="43" fontId="4" fillId="0" borderId="5" xfId="4" applyFont="1" applyFill="1" applyBorder="1" applyAlignment="1">
      <alignment horizontal="center" vertical="center"/>
    </xf>
    <xf numFmtId="43" fontId="4" fillId="0" borderId="5" xfId="4" applyFont="1" applyFill="1" applyBorder="1" applyAlignment="1">
      <alignment vertical="top"/>
    </xf>
    <xf numFmtId="0" fontId="20" fillId="0" borderId="21" xfId="0" applyFont="1" applyBorder="1" applyAlignment="1">
      <alignment horizontal="right" vertical="center"/>
    </xf>
    <xf numFmtId="0" fontId="6" fillId="0" borderId="5" xfId="0" applyFont="1" applyFill="1" applyBorder="1">
      <alignment vertical="center"/>
    </xf>
    <xf numFmtId="0" fontId="20" fillId="0" borderId="21" xfId="0" applyFont="1" applyBorder="1" applyAlignment="1">
      <alignment vertical="center"/>
    </xf>
    <xf numFmtId="0" fontId="4" fillId="0" borderId="5" xfId="0" applyFont="1" applyBorder="1" applyAlignment="1">
      <alignment horizontal="right" vertical="center"/>
    </xf>
    <xf numFmtId="0" fontId="46" fillId="0" borderId="5" xfId="0" applyFont="1" applyBorder="1" applyAlignment="1">
      <alignment horizontal="right" vertical="center"/>
    </xf>
    <xf numFmtId="0" fontId="4" fillId="0" borderId="5" xfId="0" applyFont="1" applyBorder="1" applyAlignment="1">
      <alignment vertical="center"/>
    </xf>
    <xf numFmtId="0" fontId="0" fillId="0" borderId="5" xfId="0" applyBorder="1" applyAlignment="1">
      <alignment vertical="center"/>
    </xf>
    <xf numFmtId="43" fontId="4" fillId="0" borderId="5" xfId="4" applyFont="1" applyFill="1" applyBorder="1">
      <alignment vertical="center"/>
    </xf>
    <xf numFmtId="0" fontId="4" fillId="20" borderId="5" xfId="0" applyFont="1" applyFill="1" applyBorder="1" applyAlignment="1">
      <alignment horizontal="center" vertical="top"/>
    </xf>
    <xf numFmtId="0" fontId="66" fillId="0" borderId="5" xfId="0" applyFont="1" applyFill="1" applyBorder="1" applyAlignment="1">
      <alignment horizontal="left" vertical="center"/>
    </xf>
    <xf numFmtId="0" fontId="6" fillId="0" borderId="5" xfId="0" applyFont="1" applyFill="1" applyBorder="1" applyAlignment="1">
      <alignment vertical="center" wrapText="1"/>
    </xf>
    <xf numFmtId="0" fontId="6" fillId="0" borderId="21" xfId="0" applyFont="1" applyFill="1" applyBorder="1" applyAlignment="1">
      <alignment vertical="center" wrapText="1"/>
    </xf>
    <xf numFmtId="0" fontId="6" fillId="0" borderId="21" xfId="0" applyFont="1" applyFill="1" applyBorder="1" applyAlignment="1">
      <alignment horizontal="left" vertical="center"/>
    </xf>
    <xf numFmtId="0" fontId="6" fillId="8" borderId="5" xfId="0" applyFont="1" applyFill="1" applyBorder="1" applyAlignment="1">
      <alignment vertical="center" wrapText="1"/>
    </xf>
    <xf numFmtId="0" fontId="2" fillId="0" borderId="31" xfId="0" applyFont="1" applyFill="1" applyBorder="1">
      <alignment vertical="center"/>
    </xf>
    <xf numFmtId="0" fontId="6" fillId="0" borderId="5" xfId="0" applyFont="1" applyFill="1" applyBorder="1" applyAlignment="1">
      <alignment horizontal="center" vertical="center"/>
    </xf>
    <xf numFmtId="0" fontId="6" fillId="9" borderId="22" xfId="0" quotePrefix="1" applyFont="1" applyFill="1" applyBorder="1" applyAlignment="1">
      <alignment horizontal="center" vertical="center"/>
    </xf>
    <xf numFmtId="43" fontId="4" fillId="21" borderId="22" xfId="4" applyFont="1" applyFill="1" applyBorder="1" applyAlignment="1">
      <alignment horizontal="center" vertical="center"/>
    </xf>
    <xf numFmtId="43" fontId="4" fillId="21" borderId="5" xfId="4" applyFont="1" applyFill="1" applyBorder="1">
      <alignment vertical="center"/>
    </xf>
    <xf numFmtId="0" fontId="6" fillId="21" borderId="5" xfId="0" applyFont="1" applyFill="1" applyBorder="1" applyAlignment="1">
      <alignment horizontal="center" vertical="center"/>
    </xf>
    <xf numFmtId="43" fontId="6" fillId="21" borderId="5" xfId="4" applyFont="1" applyFill="1" applyBorder="1" applyAlignment="1">
      <alignment vertical="top"/>
    </xf>
    <xf numFmtId="0" fontId="6" fillId="0" borderId="0" xfId="0" applyFont="1" applyFill="1" applyBorder="1">
      <alignment vertical="center"/>
    </xf>
    <xf numFmtId="0" fontId="6" fillId="0" borderId="0" xfId="0" applyFont="1" applyFill="1">
      <alignment vertical="center"/>
    </xf>
    <xf numFmtId="0" fontId="4" fillId="0" borderId="0" xfId="0" applyFont="1" applyFill="1" applyAlignment="1">
      <alignment horizontal="right" vertical="center"/>
    </xf>
    <xf numFmtId="0" fontId="4" fillId="0" borderId="0" xfId="0" applyFont="1" applyFill="1" applyAlignment="1">
      <alignment horizontal="left" vertical="center"/>
    </xf>
    <xf numFmtId="0" fontId="6" fillId="8" borderId="5" xfId="0" applyFont="1" applyFill="1" applyBorder="1">
      <alignment vertical="center"/>
    </xf>
    <xf numFmtId="0" fontId="4" fillId="0" borderId="0" xfId="0" applyFont="1" applyAlignment="1">
      <alignment horizontal="center" vertical="center"/>
    </xf>
    <xf numFmtId="0" fontId="4" fillId="0" borderId="0" xfId="0" applyFont="1" applyFill="1" applyAlignment="1">
      <alignment horizontal="center" vertical="center"/>
    </xf>
    <xf numFmtId="0" fontId="4" fillId="21" borderId="5" xfId="0" applyFont="1" applyFill="1" applyBorder="1" applyAlignment="1">
      <alignment horizontal="center" vertical="center"/>
    </xf>
    <xf numFmtId="0" fontId="4" fillId="8" borderId="22" xfId="0" applyFont="1" applyFill="1" applyBorder="1">
      <alignment vertical="center"/>
    </xf>
    <xf numFmtId="0" fontId="4" fillId="14" borderId="0" xfId="0" applyFont="1" applyFill="1">
      <alignment vertical="center"/>
    </xf>
    <xf numFmtId="0" fontId="4" fillId="0" borderId="0" xfId="0" applyFont="1" applyFill="1" applyBorder="1" applyAlignment="1">
      <alignment horizontal="center" vertical="center"/>
    </xf>
    <xf numFmtId="43" fontId="6" fillId="21" borderId="21" xfId="4" applyFont="1" applyFill="1" applyBorder="1" applyAlignment="1">
      <alignment vertical="top"/>
    </xf>
    <xf numFmtId="0" fontId="4" fillId="0" borderId="0" xfId="0" applyFont="1" applyFill="1" applyBorder="1">
      <alignment vertical="center"/>
    </xf>
    <xf numFmtId="0" fontId="51" fillId="0" borderId="0" xfId="0" applyFont="1" applyAlignment="1">
      <alignment horizontal="right" vertical="center"/>
    </xf>
    <xf numFmtId="43" fontId="38" fillId="8" borderId="5" xfId="4" applyFont="1" applyFill="1" applyBorder="1" applyAlignment="1">
      <alignment horizontal="left" vertical="center"/>
    </xf>
    <xf numFmtId="0" fontId="51" fillId="0" borderId="0" xfId="0" applyFont="1" applyAlignment="1">
      <alignment horizontal="center" vertical="center"/>
    </xf>
    <xf numFmtId="43" fontId="51" fillId="0" borderId="0" xfId="4" applyFont="1" applyAlignment="1">
      <alignment horizontal="left" vertical="center"/>
    </xf>
    <xf numFmtId="43" fontId="51" fillId="0" borderId="0" xfId="4" applyFont="1" applyAlignment="1">
      <alignment horizontal="right" vertical="center"/>
    </xf>
    <xf numFmtId="43" fontId="51" fillId="0" borderId="0" xfId="4" applyFont="1" applyAlignment="1">
      <alignment horizontal="center" vertical="center"/>
    </xf>
    <xf numFmtId="43" fontId="46" fillId="21" borderId="5" xfId="4" applyFont="1" applyFill="1" applyBorder="1" applyAlignment="1">
      <alignment horizontal="center" vertical="center"/>
    </xf>
    <xf numFmtId="43" fontId="4" fillId="21" borderId="5" xfId="4" applyFont="1" applyFill="1" applyBorder="1" applyAlignment="1">
      <alignment vertical="top"/>
    </xf>
    <xf numFmtId="43" fontId="46" fillId="0" borderId="0" xfId="4" applyFont="1" applyFill="1" applyBorder="1" applyAlignment="1">
      <alignment horizontal="right" vertical="center"/>
    </xf>
    <xf numFmtId="43" fontId="51" fillId="0" borderId="5" xfId="4" applyFont="1" applyBorder="1">
      <alignment vertical="center"/>
    </xf>
    <xf numFmtId="0" fontId="4" fillId="0" borderId="0" xfId="0" applyFont="1" applyAlignment="1">
      <alignment horizontal="right" vertical="center"/>
    </xf>
    <xf numFmtId="0" fontId="6" fillId="8" borderId="5" xfId="0" applyFont="1" applyFill="1" applyBorder="1" applyAlignment="1">
      <alignment horizontal="left" vertical="center"/>
    </xf>
    <xf numFmtId="0" fontId="4" fillId="0" borderId="0" xfId="0" applyFont="1" applyBorder="1" applyAlignment="1">
      <alignment horizontal="right" vertical="center"/>
    </xf>
    <xf numFmtId="0" fontId="4" fillId="0" borderId="0" xfId="0" applyFont="1" applyBorder="1" applyAlignment="1">
      <alignment horizontal="center" vertical="center"/>
    </xf>
    <xf numFmtId="43" fontId="25" fillId="21" borderId="5" xfId="4" applyFont="1" applyFill="1" applyBorder="1" applyAlignment="1">
      <alignment horizontal="center" vertical="center"/>
    </xf>
    <xf numFmtId="43" fontId="4" fillId="0" borderId="5" xfId="4" applyFont="1" applyBorder="1">
      <alignment vertical="center"/>
    </xf>
    <xf numFmtId="0" fontId="5" fillId="0" borderId="0" xfId="0" applyFont="1" applyFill="1" applyAlignment="1">
      <alignment horizontal="right" vertical="center"/>
    </xf>
    <xf numFmtId="0" fontId="5" fillId="0" borderId="0" xfId="0" applyFont="1" applyFill="1" applyAlignment="1">
      <alignment horizontal="left" vertical="center"/>
    </xf>
    <xf numFmtId="0" fontId="5" fillId="0" borderId="0" xfId="0" applyFont="1" applyFill="1" applyAlignment="1">
      <alignment horizontal="center" vertical="center"/>
    </xf>
    <xf numFmtId="0" fontId="9" fillId="0" borderId="0" xfId="2" applyFill="1">
      <alignment vertical="center"/>
    </xf>
    <xf numFmtId="0" fontId="6" fillId="0" borderId="0" xfId="0" applyFont="1" applyBorder="1" applyAlignment="1">
      <alignment horizontal="center" vertical="center"/>
    </xf>
    <xf numFmtId="0" fontId="25" fillId="0" borderId="34" xfId="0" applyFont="1" applyFill="1" applyBorder="1" applyAlignment="1">
      <alignment vertical="center"/>
    </xf>
    <xf numFmtId="0" fontId="4" fillId="0" borderId="0" xfId="0" applyFont="1" applyAlignment="1">
      <alignment vertical="center"/>
    </xf>
    <xf numFmtId="0" fontId="4" fillId="0" borderId="0" xfId="0" applyFont="1" applyFill="1" applyAlignment="1">
      <alignment vertical="center"/>
    </xf>
    <xf numFmtId="0" fontId="4" fillId="14" borderId="5" xfId="0" applyFont="1" applyFill="1" applyBorder="1" applyAlignment="1">
      <alignment vertical="center"/>
    </xf>
    <xf numFmtId="0" fontId="70" fillId="2" borderId="5" xfId="0" applyFont="1" applyFill="1" applyBorder="1" applyAlignment="1">
      <alignment horizontal="center" vertical="center"/>
    </xf>
    <xf numFmtId="0" fontId="71" fillId="2" borderId="5" xfId="0" applyFont="1" applyFill="1" applyBorder="1" applyAlignment="1">
      <alignment horizontal="center" vertical="center"/>
    </xf>
    <xf numFmtId="0" fontId="6" fillId="0" borderId="6" xfId="0" applyFont="1" applyBorder="1" applyAlignment="1">
      <alignment horizontal="left" vertical="center"/>
    </xf>
    <xf numFmtId="0" fontId="6" fillId="0" borderId="5" xfId="0" applyFont="1" applyFill="1" applyBorder="1" applyAlignment="1">
      <alignment vertical="center"/>
    </xf>
    <xf numFmtId="0" fontId="46" fillId="0" borderId="5" xfId="0" applyFont="1" applyBorder="1" applyAlignment="1">
      <alignment vertical="center"/>
    </xf>
    <xf numFmtId="0" fontId="4" fillId="0" borderId="21" xfId="0" applyFont="1" applyBorder="1" applyAlignment="1">
      <alignment horizontal="left" vertical="center"/>
    </xf>
    <xf numFmtId="0" fontId="4" fillId="0" borderId="21" xfId="0" applyFont="1" applyBorder="1" applyAlignment="1">
      <alignment horizontal="center" vertical="center"/>
    </xf>
    <xf numFmtId="0" fontId="4" fillId="9" borderId="21" xfId="0" applyFont="1" applyFill="1" applyBorder="1" applyAlignment="1">
      <alignment horizontal="center" vertical="center"/>
    </xf>
    <xf numFmtId="43" fontId="4" fillId="0" borderId="5" xfId="4" applyFont="1" applyBorder="1" applyAlignment="1">
      <alignment horizontal="center" vertical="center"/>
    </xf>
    <xf numFmtId="43" fontId="4" fillId="0" borderId="5" xfId="4" applyFont="1" applyBorder="1" applyAlignment="1">
      <alignment vertical="center"/>
    </xf>
    <xf numFmtId="0" fontId="4" fillId="20" borderId="21" xfId="0" applyFont="1" applyFill="1" applyBorder="1" applyAlignment="1">
      <alignment horizontal="center" vertical="top"/>
    </xf>
    <xf numFmtId="43" fontId="52" fillId="0" borderId="5" xfId="4" applyFont="1" applyBorder="1" applyAlignment="1">
      <alignment horizontal="center" vertical="center"/>
    </xf>
    <xf numFmtId="0" fontId="4" fillId="0" borderId="5" xfId="0" applyFont="1" applyFill="1" applyBorder="1" applyAlignment="1">
      <alignment vertical="center"/>
    </xf>
    <xf numFmtId="0" fontId="46" fillId="14" borderId="5" xfId="0" applyFont="1" applyFill="1" applyBorder="1" applyAlignment="1">
      <alignment vertical="center"/>
    </xf>
    <xf numFmtId="0" fontId="4" fillId="0" borderId="5" xfId="0" applyFont="1" applyFill="1" applyBorder="1" applyAlignment="1">
      <alignment horizontal="left" vertical="center" wrapText="1"/>
    </xf>
    <xf numFmtId="0" fontId="46" fillId="0" borderId="5" xfId="0" applyFont="1" applyFill="1" applyBorder="1" applyAlignment="1">
      <alignment horizontal="right" vertical="center"/>
    </xf>
    <xf numFmtId="0" fontId="4" fillId="0" borderId="21" xfId="0" applyFont="1" applyFill="1" applyBorder="1" applyAlignment="1">
      <alignment horizontal="left" vertical="center"/>
    </xf>
    <xf numFmtId="0" fontId="4" fillId="0" borderId="21" xfId="0" applyFont="1" applyBorder="1" applyAlignment="1">
      <alignment vertical="center"/>
    </xf>
    <xf numFmtId="0" fontId="4" fillId="0" borderId="5" xfId="0" applyFont="1" applyFill="1" applyBorder="1" applyAlignment="1">
      <alignment horizontal="center" vertical="center" wrapText="1"/>
    </xf>
    <xf numFmtId="43" fontId="4" fillId="0" borderId="21" xfId="4" applyFont="1" applyBorder="1" applyAlignment="1">
      <alignment horizontal="center" vertical="center"/>
    </xf>
    <xf numFmtId="43" fontId="4" fillId="0" borderId="5" xfId="4" applyFont="1" applyFill="1" applyBorder="1" applyAlignment="1">
      <alignment horizontal="right" vertical="center"/>
    </xf>
    <xf numFmtId="43" fontId="46" fillId="0" borderId="5" xfId="4" applyFont="1" applyBorder="1" applyAlignment="1">
      <alignment horizontal="center" vertical="center"/>
    </xf>
    <xf numFmtId="43" fontId="4" fillId="0" borderId="5" xfId="4" applyFont="1" applyFill="1" applyBorder="1" applyAlignment="1">
      <alignment vertical="center"/>
    </xf>
    <xf numFmtId="43" fontId="50" fillId="0" borderId="5" xfId="4" applyFont="1" applyFill="1" applyBorder="1" applyAlignment="1">
      <alignment horizontal="right" vertical="center"/>
    </xf>
    <xf numFmtId="0" fontId="25" fillId="0" borderId="5" xfId="0" applyFont="1" applyFill="1" applyBorder="1" applyAlignment="1">
      <alignment vertical="center"/>
    </xf>
    <xf numFmtId="0" fontId="4" fillId="0" borderId="21" xfId="0" applyFont="1" applyFill="1" applyBorder="1" applyAlignment="1">
      <alignment horizontal="center" vertical="center"/>
    </xf>
    <xf numFmtId="0" fontId="50" fillId="0" borderId="5" xfId="0" applyFont="1" applyFill="1" applyBorder="1" applyAlignment="1">
      <alignment horizontal="right" vertical="center"/>
    </xf>
    <xf numFmtId="0" fontId="4" fillId="0" borderId="21" xfId="0" applyFont="1" applyBorder="1" applyAlignment="1">
      <alignment horizontal="right" vertical="center"/>
    </xf>
    <xf numFmtId="0" fontId="4" fillId="20" borderId="5" xfId="0" applyFont="1" applyFill="1" applyBorder="1" applyAlignment="1">
      <alignment horizontal="center" vertical="center"/>
    </xf>
    <xf numFmtId="0" fontId="6" fillId="0" borderId="21" xfId="0" applyFont="1" applyFill="1" applyBorder="1" applyAlignment="1">
      <alignment vertical="center"/>
    </xf>
    <xf numFmtId="0" fontId="6" fillId="0" borderId="21" xfId="0" applyFont="1" applyFill="1" applyBorder="1" applyAlignment="1">
      <alignment horizontal="center" vertical="center"/>
    </xf>
    <xf numFmtId="0" fontId="6" fillId="9" borderId="5" xfId="0" quotePrefix="1" applyFont="1" applyFill="1" applyBorder="1" applyAlignment="1">
      <alignment horizontal="center" vertical="center"/>
    </xf>
    <xf numFmtId="0" fontId="6" fillId="0" borderId="31" xfId="0" applyFont="1" applyFill="1" applyBorder="1" applyAlignment="1">
      <alignment horizontal="center" vertical="center"/>
    </xf>
    <xf numFmtId="0" fontId="6" fillId="21" borderId="21" xfId="0" applyFont="1" applyFill="1" applyBorder="1" applyAlignment="1">
      <alignment vertical="center"/>
    </xf>
    <xf numFmtId="0" fontId="6" fillId="21" borderId="5" xfId="0" quotePrefix="1" applyFont="1" applyFill="1" applyBorder="1" applyAlignment="1">
      <alignment horizontal="right" vertical="center"/>
    </xf>
    <xf numFmtId="43" fontId="6" fillId="21" borderId="5" xfId="4" applyFont="1" applyFill="1" applyBorder="1" applyAlignment="1">
      <alignment vertical="center"/>
    </xf>
    <xf numFmtId="0" fontId="6" fillId="0" borderId="0" xfId="0" applyFont="1" applyFill="1" applyAlignment="1">
      <alignment vertical="center"/>
    </xf>
    <xf numFmtId="0" fontId="6" fillId="0" borderId="0" xfId="0" applyFont="1" applyFill="1" applyBorder="1" applyAlignment="1">
      <alignment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0" fontId="6" fillId="0" borderId="0" xfId="0" quotePrefix="1" applyFont="1" applyFill="1" applyBorder="1" applyAlignment="1">
      <alignment horizontal="center" vertical="center"/>
    </xf>
    <xf numFmtId="0" fontId="4" fillId="8" borderId="22" xfId="0" applyFont="1" applyFill="1" applyBorder="1" applyAlignment="1">
      <alignment horizontal="left" vertical="top"/>
    </xf>
    <xf numFmtId="0" fontId="39" fillId="0" borderId="0" xfId="0" applyFont="1" applyFill="1" applyAlignment="1">
      <alignment horizontal="right" vertical="center"/>
    </xf>
    <xf numFmtId="0" fontId="39" fillId="0" borderId="0" xfId="0" applyFont="1" applyFill="1" applyAlignment="1">
      <alignment horizontal="left" vertical="center"/>
    </xf>
    <xf numFmtId="0" fontId="39" fillId="0" borderId="0" xfId="0" applyFont="1" applyFill="1" applyAlignment="1">
      <alignment horizontal="center" vertical="center"/>
    </xf>
    <xf numFmtId="0" fontId="39" fillId="0" borderId="0" xfId="0" applyFont="1" applyAlignment="1">
      <alignment horizontal="center" vertical="center"/>
    </xf>
    <xf numFmtId="0" fontId="39" fillId="0" borderId="0" xfId="0" applyFont="1" applyAlignment="1">
      <alignment horizontal="right" vertical="center"/>
    </xf>
    <xf numFmtId="43" fontId="6" fillId="21" borderId="21" xfId="4" applyFont="1" applyFill="1" applyBorder="1" applyAlignment="1">
      <alignment vertical="center"/>
    </xf>
    <xf numFmtId="0" fontId="39" fillId="0" borderId="0" xfId="0" applyFont="1" applyFill="1" applyBorder="1" applyAlignment="1">
      <alignment vertical="center"/>
    </xf>
    <xf numFmtId="43" fontId="39" fillId="0" borderId="0" xfId="4" applyFont="1" applyFill="1" applyBorder="1" applyAlignment="1">
      <alignment vertical="center"/>
    </xf>
    <xf numFmtId="0" fontId="39" fillId="0" borderId="0" xfId="0" applyFont="1" applyFill="1" applyAlignment="1">
      <alignment vertical="center"/>
    </xf>
    <xf numFmtId="0" fontId="4" fillId="21" borderId="5" xfId="0" applyFont="1" applyFill="1" applyBorder="1" applyAlignment="1">
      <alignment horizontal="right" vertical="center"/>
    </xf>
    <xf numFmtId="43" fontId="4" fillId="21" borderId="5" xfId="4" applyFont="1" applyFill="1" applyBorder="1" applyAlignment="1">
      <alignment vertical="center"/>
    </xf>
    <xf numFmtId="43" fontId="51" fillId="0" borderId="5" xfId="4" applyFont="1" applyBorder="1" applyAlignment="1">
      <alignment vertical="center"/>
    </xf>
    <xf numFmtId="0" fontId="6" fillId="8" borderId="5" xfId="0" applyFont="1" applyFill="1" applyBorder="1" applyAlignment="1">
      <alignment vertical="center"/>
    </xf>
    <xf numFmtId="0" fontId="6" fillId="21" borderId="5" xfId="0" applyFont="1" applyFill="1" applyBorder="1" applyAlignment="1">
      <alignment horizontal="right" vertical="center"/>
    </xf>
    <xf numFmtId="0" fontId="9" fillId="0" borderId="0" xfId="2" applyFill="1" applyAlignment="1">
      <alignment vertical="center"/>
    </xf>
    <xf numFmtId="0" fontId="2" fillId="0" borderId="14" xfId="0" applyFont="1" applyBorder="1" applyAlignment="1">
      <alignment horizontal="left" vertical="center"/>
    </xf>
    <xf numFmtId="0" fontId="2" fillId="0" borderId="15" xfId="0" applyFont="1" applyBorder="1" applyAlignment="1">
      <alignment horizontal="center" vertical="center"/>
    </xf>
    <xf numFmtId="0" fontId="2" fillId="0" borderId="0" xfId="0" applyFont="1" applyBorder="1" applyAlignment="1">
      <alignment horizontal="center" vertical="center"/>
    </xf>
    <xf numFmtId="0" fontId="2" fillId="0" borderId="18" xfId="0" applyFont="1" applyBorder="1" applyAlignment="1">
      <alignment horizontal="center" vertical="center"/>
    </xf>
    <xf numFmtId="0" fontId="2" fillId="0" borderId="7" xfId="0" applyFont="1" applyBorder="1" applyAlignment="1">
      <alignment horizontal="center"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0" fillId="0" borderId="0" xfId="0">
      <alignment vertical="center"/>
    </xf>
    <xf numFmtId="0" fontId="7" fillId="2" borderId="0" xfId="0" applyFont="1" applyFill="1" applyBorder="1" applyAlignment="1">
      <alignment horizontal="center" vertical="center"/>
    </xf>
    <xf numFmtId="0" fontId="46" fillId="0" borderId="5" xfId="0" applyFont="1" applyBorder="1">
      <alignment vertical="center"/>
    </xf>
    <xf numFmtId="0" fontId="20" fillId="0" borderId="5" xfId="0" applyFont="1" applyFill="1" applyBorder="1" applyAlignment="1">
      <alignment horizontal="center" vertical="center" wrapText="1"/>
    </xf>
    <xf numFmtId="0" fontId="5" fillId="0" borderId="0" xfId="0" applyFont="1" applyAlignment="1">
      <alignment horizontal="left" vertical="center"/>
    </xf>
    <xf numFmtId="0" fontId="0" fillId="0" borderId="0" xfId="0" applyFont="1" applyAlignment="1">
      <alignment horizontal="center" vertical="center"/>
    </xf>
    <xf numFmtId="0" fontId="4" fillId="0" borderId="0" xfId="0" applyFont="1" applyBorder="1">
      <alignment vertical="center"/>
    </xf>
    <xf numFmtId="0" fontId="25" fillId="0" borderId="0" xfId="0" applyFont="1" applyBorder="1" applyAlignment="1">
      <alignment horizontal="center" vertical="center"/>
    </xf>
    <xf numFmtId="0" fontId="2" fillId="0" borderId="0" xfId="0" applyFont="1" applyBorder="1" applyAlignment="1">
      <alignment horizontal="left" vertical="center"/>
    </xf>
    <xf numFmtId="0" fontId="4" fillId="0" borderId="5" xfId="0" applyFont="1" applyBorder="1">
      <alignment vertical="center"/>
    </xf>
    <xf numFmtId="0" fontId="4" fillId="0" borderId="5" xfId="0" applyFont="1" applyBorder="1" applyAlignment="1">
      <alignment horizontal="center" vertical="center" wrapText="1"/>
    </xf>
    <xf numFmtId="0" fontId="4" fillId="0" borderId="6" xfId="0" applyFont="1" applyBorder="1" applyAlignment="1">
      <alignment horizontal="left" vertical="center"/>
    </xf>
    <xf numFmtId="0" fontId="4" fillId="0" borderId="5" xfId="0" applyFont="1" applyBorder="1" applyAlignment="1">
      <alignment horizontal="left" vertical="center" wrapText="1"/>
    </xf>
    <xf numFmtId="0" fontId="46" fillId="0" borderId="21" xfId="0" applyFont="1" applyFill="1" applyBorder="1" applyAlignment="1">
      <alignment horizontal="left" vertical="center"/>
    </xf>
    <xf numFmtId="0" fontId="4" fillId="3" borderId="5" xfId="0" applyFont="1" applyFill="1" applyBorder="1" applyAlignment="1">
      <alignment horizontal="left" vertical="center" wrapText="1"/>
    </xf>
    <xf numFmtId="0" fontId="6" fillId="0" borderId="24" xfId="0" applyFont="1" applyBorder="1" applyAlignment="1">
      <alignment horizontal="left" vertical="center"/>
    </xf>
    <xf numFmtId="0" fontId="6" fillId="0" borderId="22" xfId="0" applyFont="1" applyFill="1" applyBorder="1">
      <alignment vertical="center"/>
    </xf>
    <xf numFmtId="0" fontId="46" fillId="0" borderId="22" xfId="0" applyFont="1" applyBorder="1">
      <alignment vertical="center"/>
    </xf>
    <xf numFmtId="0" fontId="4" fillId="0" borderId="22" xfId="0" applyFont="1" applyBorder="1">
      <alignment vertical="center"/>
    </xf>
    <xf numFmtId="0" fontId="4" fillId="0" borderId="22" xfId="0" applyFont="1" applyFill="1" applyBorder="1" applyAlignment="1">
      <alignment horizontal="center" vertical="center"/>
    </xf>
    <xf numFmtId="0" fontId="4" fillId="9" borderId="22" xfId="0" applyFont="1" applyFill="1" applyBorder="1" applyAlignment="1">
      <alignment horizontal="center" vertical="center"/>
    </xf>
    <xf numFmtId="0" fontId="4" fillId="0" borderId="23" xfId="0" applyFont="1" applyFill="1" applyBorder="1" applyAlignment="1">
      <alignment horizontal="left" vertical="center"/>
    </xf>
    <xf numFmtId="0" fontId="46" fillId="0" borderId="0" xfId="0" applyFont="1" applyAlignment="1">
      <alignment horizontal="right" vertical="center"/>
    </xf>
    <xf numFmtId="0" fontId="0" fillId="0" borderId="0" xfId="0" applyAlignment="1">
      <alignment horizontal="center" vertical="center"/>
    </xf>
    <xf numFmtId="0" fontId="5" fillId="0" borderId="0" xfId="0" applyFont="1" applyAlignment="1">
      <alignment horizontal="right" vertical="center"/>
    </xf>
    <xf numFmtId="0" fontId="9" fillId="0" borderId="0" xfId="2">
      <alignment vertical="center"/>
    </xf>
    <xf numFmtId="0" fontId="5" fillId="0" borderId="0" xfId="0" applyFont="1" applyAlignment="1">
      <alignment horizontal="center" vertical="center"/>
    </xf>
    <xf numFmtId="0" fontId="8" fillId="0" borderId="25" xfId="0" applyFont="1" applyFill="1" applyBorder="1" applyAlignment="1">
      <alignment horizontal="center" vertical="center"/>
    </xf>
    <xf numFmtId="0" fontId="8" fillId="0" borderId="17" xfId="0" applyFont="1" applyFill="1" applyBorder="1" applyAlignment="1">
      <alignment horizontal="center" vertical="center"/>
    </xf>
    <xf numFmtId="0" fontId="5" fillId="14" borderId="5" xfId="0" applyFont="1" applyFill="1" applyBorder="1">
      <alignment vertical="center"/>
    </xf>
    <xf numFmtId="0" fontId="8" fillId="0" borderId="5" xfId="0" applyFont="1" applyFill="1" applyBorder="1" applyAlignment="1">
      <alignment horizontal="center" vertical="center"/>
    </xf>
    <xf numFmtId="0" fontId="8" fillId="0" borderId="19" xfId="0" applyFont="1" applyFill="1" applyBorder="1" applyAlignment="1">
      <alignment horizontal="center" vertical="center"/>
    </xf>
    <xf numFmtId="0" fontId="7" fillId="2" borderId="29" xfId="0" applyFont="1" applyFill="1" applyBorder="1" applyAlignment="1">
      <alignment horizontal="center" vertical="center"/>
    </xf>
    <xf numFmtId="0" fontId="20" fillId="0" borderId="5" xfId="0" applyFont="1" applyBorder="1" applyAlignment="1">
      <alignment horizontal="left" vertical="center" wrapText="1"/>
    </xf>
    <xf numFmtId="0" fontId="6" fillId="0" borderId="19" xfId="0" applyFont="1" applyBorder="1" applyAlignment="1">
      <alignment horizontal="left" vertical="center"/>
    </xf>
    <xf numFmtId="0" fontId="4" fillId="0" borderId="5" xfId="0" applyFont="1" applyBorder="1" applyAlignment="1">
      <alignment vertical="center" wrapText="1"/>
    </xf>
    <xf numFmtId="0" fontId="4" fillId="0" borderId="19" xfId="0" applyFont="1" applyBorder="1" applyAlignment="1">
      <alignment horizontal="left" vertical="center"/>
    </xf>
    <xf numFmtId="0" fontId="20" fillId="0" borderId="5" xfId="0" applyFont="1" applyFill="1" applyBorder="1" applyAlignment="1">
      <alignment horizontal="left" vertical="center" wrapText="1"/>
    </xf>
    <xf numFmtId="0" fontId="6" fillId="0" borderId="35" xfId="0" applyFont="1" applyBorder="1" applyAlignment="1">
      <alignment horizontal="left" vertical="center"/>
    </xf>
    <xf numFmtId="0" fontId="6" fillId="0" borderId="5" xfId="0" applyFont="1" applyBorder="1">
      <alignment vertical="center"/>
    </xf>
    <xf numFmtId="0" fontId="6" fillId="21" borderId="5" xfId="0" applyFont="1" applyFill="1" applyBorder="1">
      <alignment vertical="center"/>
    </xf>
    <xf numFmtId="43" fontId="6" fillId="21" borderId="5" xfId="4" applyFont="1" applyFill="1" applyBorder="1">
      <alignment vertical="center"/>
    </xf>
    <xf numFmtId="0" fontId="4" fillId="8" borderId="5" xfId="0" applyFont="1" applyFill="1" applyBorder="1">
      <alignment vertical="center"/>
    </xf>
    <xf numFmtId="43" fontId="4" fillId="0" borderId="0" xfId="4" applyFont="1">
      <alignment vertical="center"/>
    </xf>
    <xf numFmtId="10" fontId="8" fillId="0" borderId="0" xfId="0" applyNumberFormat="1" applyFont="1" applyFill="1" applyBorder="1" applyAlignment="1">
      <alignment horizontal="center" vertical="center"/>
    </xf>
    <xf numFmtId="10" fontId="7" fillId="2" borderId="12" xfId="0" applyNumberFormat="1" applyFont="1" applyFill="1" applyBorder="1" applyAlignment="1">
      <alignment horizontal="center" vertical="center"/>
    </xf>
    <xf numFmtId="10" fontId="4" fillId="3" borderId="21" xfId="0" applyNumberFormat="1" applyFont="1" applyFill="1" applyBorder="1" applyAlignment="1">
      <alignment horizontal="right" vertical="center"/>
    </xf>
    <xf numFmtId="10" fontId="4" fillId="3" borderId="23" xfId="0" applyNumberFormat="1" applyFont="1" applyFill="1" applyBorder="1" applyAlignment="1">
      <alignment horizontal="right" vertical="center"/>
    </xf>
    <xf numFmtId="10" fontId="5" fillId="0" borderId="0" xfId="0" applyNumberFormat="1" applyFont="1" applyAlignment="1">
      <alignment horizontal="right" vertical="center"/>
    </xf>
    <xf numFmtId="0" fontId="8" fillId="0" borderId="9" xfId="0" applyFont="1" applyFill="1" applyBorder="1" applyAlignment="1">
      <alignment horizontal="center" vertical="center"/>
    </xf>
    <xf numFmtId="0" fontId="5" fillId="0" borderId="0" xfId="0" applyFont="1" applyBorder="1">
      <alignment vertical="center"/>
    </xf>
    <xf numFmtId="0" fontId="5" fillId="0" borderId="0" xfId="0" applyFont="1" applyFill="1" applyBorder="1">
      <alignment vertical="center"/>
    </xf>
    <xf numFmtId="43" fontId="5" fillId="14" borderId="5" xfId="4" applyFont="1" applyFill="1" applyBorder="1">
      <alignment vertical="center"/>
    </xf>
    <xf numFmtId="0" fontId="8" fillId="0" borderId="7" xfId="0" applyFont="1" applyFill="1" applyBorder="1" applyAlignment="1">
      <alignment horizontal="center" vertical="center"/>
    </xf>
    <xf numFmtId="0" fontId="20" fillId="0" borderId="23" xfId="0" applyFont="1" applyBorder="1" applyAlignment="1">
      <alignment horizontal="center" vertical="center" wrapText="1"/>
    </xf>
    <xf numFmtId="43" fontId="4" fillId="0" borderId="21" xfId="4" applyFont="1" applyBorder="1">
      <alignment vertical="center"/>
    </xf>
    <xf numFmtId="0" fontId="4" fillId="0" borderId="5" xfId="0" applyFont="1" applyFill="1" applyBorder="1" applyAlignment="1">
      <alignment horizontal="left" vertical="center" wrapText="1" indent="1"/>
    </xf>
    <xf numFmtId="0" fontId="20" fillId="0" borderId="30"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21" xfId="0" applyFont="1" applyFill="1" applyBorder="1" applyAlignment="1">
      <alignment horizontal="center" vertical="center" wrapText="1"/>
    </xf>
    <xf numFmtId="0" fontId="20" fillId="0" borderId="21" xfId="0" applyFont="1" applyBorder="1" applyAlignment="1">
      <alignment horizontal="center" vertical="center" wrapText="1"/>
    </xf>
    <xf numFmtId="0" fontId="6" fillId="0" borderId="0" xfId="0" applyFont="1">
      <alignment vertical="center"/>
    </xf>
    <xf numFmtId="0" fontId="6" fillId="14" borderId="5" xfId="0" applyFont="1" applyFill="1" applyBorder="1">
      <alignment vertical="center"/>
    </xf>
    <xf numFmtId="43" fontId="6" fillId="14" borderId="5" xfId="4" applyFont="1" applyFill="1" applyBorder="1">
      <alignment vertical="center"/>
    </xf>
    <xf numFmtId="43" fontId="4" fillId="0" borderId="0" xfId="4" applyFont="1" applyFill="1" applyBorder="1">
      <alignment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8" fillId="0" borderId="0" xfId="0" applyFont="1" applyFill="1" applyBorder="1" applyAlignment="1">
      <alignment horizontal="center" vertical="top"/>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68" fillId="2" borderId="12" xfId="0" applyFont="1" applyFill="1" applyBorder="1" applyAlignment="1">
      <alignment horizontal="center" vertical="center"/>
    </xf>
    <xf numFmtId="0" fontId="7" fillId="2" borderId="0" xfId="0" applyFont="1" applyFill="1" applyBorder="1" applyAlignment="1">
      <alignment horizontal="center" vertical="center"/>
    </xf>
    <xf numFmtId="0" fontId="20" fillId="0" borderId="21" xfId="0" applyFont="1" applyBorder="1" applyAlignment="1">
      <alignment vertical="center" wrapText="1"/>
    </xf>
    <xf numFmtId="0" fontId="6" fillId="0" borderId="5" xfId="0" applyFont="1" applyBorder="1" applyAlignment="1">
      <alignment horizontal="left" vertical="center"/>
    </xf>
    <xf numFmtId="0" fontId="6" fillId="0" borderId="5" xfId="0" applyFont="1" applyBorder="1">
      <alignment vertical="center"/>
    </xf>
    <xf numFmtId="0" fontId="46" fillId="0" borderId="5" xfId="0" applyFont="1" applyBorder="1">
      <alignment vertical="center"/>
    </xf>
    <xf numFmtId="0" fontId="20" fillId="0" borderId="5" xfId="0" applyFont="1" applyBorder="1" applyAlignment="1">
      <alignment horizontal="center" vertical="center"/>
    </xf>
    <xf numFmtId="0" fontId="4" fillId="0" borderId="5" xfId="0" applyFont="1" applyBorder="1">
      <alignment vertical="center"/>
    </xf>
    <xf numFmtId="0" fontId="4" fillId="9" borderId="5" xfId="0" applyFont="1" applyFill="1" applyBorder="1" applyAlignment="1">
      <alignment horizontal="center" vertical="center"/>
    </xf>
    <xf numFmtId="0" fontId="4" fillId="0" borderId="5" xfId="0" applyFont="1" applyBorder="1" applyAlignment="1">
      <alignment vertical="center"/>
    </xf>
    <xf numFmtId="0" fontId="5" fillId="0" borderId="5" xfId="0" applyFont="1" applyBorder="1">
      <alignment vertical="center"/>
    </xf>
    <xf numFmtId="43" fontId="4" fillId="0" borderId="5" xfId="4" applyFont="1" applyFill="1" applyBorder="1" applyAlignment="1">
      <alignment vertical="top"/>
    </xf>
    <xf numFmtId="0" fontId="4" fillId="0" borderId="0" xfId="0" applyFont="1">
      <alignment vertical="center"/>
    </xf>
    <xf numFmtId="0" fontId="20" fillId="0" borderId="5" xfId="0" applyFont="1" applyBorder="1" applyAlignment="1">
      <alignment horizontal="center" vertical="center" wrapText="1"/>
    </xf>
    <xf numFmtId="0" fontId="4" fillId="0" borderId="5" xfId="0" applyFont="1" applyFill="1" applyBorder="1" applyAlignment="1">
      <alignment horizontal="left" vertical="center"/>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0" borderId="5" xfId="0" applyFont="1" applyBorder="1" applyAlignment="1">
      <alignment vertical="center" wrapText="1"/>
    </xf>
    <xf numFmtId="0" fontId="20" fillId="0" borderId="5" xfId="0" applyFont="1" applyBorder="1" applyAlignment="1">
      <alignment horizontal="left" vertical="center" wrapText="1"/>
    </xf>
    <xf numFmtId="0" fontId="20" fillId="0" borderId="21" xfId="0" applyFont="1" applyBorder="1" applyAlignment="1">
      <alignment horizontal="left" vertical="center" wrapText="1"/>
    </xf>
    <xf numFmtId="0" fontId="6" fillId="0" borderId="5" xfId="0" applyFont="1" applyBorder="1" applyAlignment="1">
      <alignment vertical="center" wrapText="1"/>
    </xf>
    <xf numFmtId="0" fontId="93" fillId="3" borderId="21" xfId="0" applyFont="1" applyFill="1" applyBorder="1" applyAlignment="1">
      <alignment horizontal="right" vertical="center"/>
    </xf>
    <xf numFmtId="0" fontId="93" fillId="0" borderId="5" xfId="0" applyFont="1" applyBorder="1" applyAlignment="1">
      <alignment vertical="center" wrapText="1"/>
    </xf>
    <xf numFmtId="0" fontId="93" fillId="0" borderId="5" xfId="0" applyFont="1" applyBorder="1">
      <alignment vertical="center"/>
    </xf>
    <xf numFmtId="0" fontId="20" fillId="0" borderId="12" xfId="0" applyFont="1" applyBorder="1" applyAlignment="1">
      <alignment horizontal="left" vertical="center" wrapText="1"/>
    </xf>
    <xf numFmtId="0" fontId="20" fillId="0" borderId="27" xfId="0" applyFont="1" applyBorder="1" applyAlignment="1">
      <alignment horizontal="left" vertical="center" wrapText="1"/>
    </xf>
    <xf numFmtId="0" fontId="4" fillId="0" borderId="21" xfId="0" applyFont="1" applyBorder="1" applyAlignment="1">
      <alignment horizontal="left" vertical="center"/>
    </xf>
    <xf numFmtId="0" fontId="4" fillId="0" borderId="0" xfId="0" applyFont="1" applyAlignment="1">
      <alignment horizontal="left" vertical="center"/>
    </xf>
    <xf numFmtId="0" fontId="4" fillId="0" borderId="0" xfId="0" applyFont="1" applyBorder="1">
      <alignment vertical="center"/>
    </xf>
    <xf numFmtId="0" fontId="4" fillId="0" borderId="0" xfId="0" applyFont="1" applyBorder="1" applyAlignment="1">
      <alignment horizontal="center" vertical="center"/>
    </xf>
    <xf numFmtId="43" fontId="4" fillId="9" borderId="5" xfId="4" applyFont="1" applyFill="1" applyBorder="1" applyAlignment="1">
      <alignment horizontal="center" vertical="center"/>
    </xf>
    <xf numFmtId="43" fontId="4" fillId="21" borderId="5" xfId="4" applyFont="1" applyFill="1" applyBorder="1" applyAlignment="1">
      <alignment horizontal="center" vertical="center"/>
    </xf>
    <xf numFmtId="43" fontId="4" fillId="0" borderId="0" xfId="4" applyFont="1" applyBorder="1">
      <alignment vertical="center"/>
    </xf>
    <xf numFmtId="0" fontId="4" fillId="21" borderId="5" xfId="0" applyFont="1" applyFill="1" applyBorder="1" applyAlignment="1">
      <alignment horizontal="center" vertical="center"/>
    </xf>
    <xf numFmtId="0" fontId="4" fillId="0" borderId="0" xfId="0" applyFont="1" applyAlignment="1">
      <alignment horizontal="center" vertical="center"/>
    </xf>
    <xf numFmtId="0" fontId="9" fillId="0" borderId="0" xfId="2">
      <alignment vertical="center"/>
    </xf>
    <xf numFmtId="0" fontId="9" fillId="0" borderId="0" xfId="2" applyFill="1" applyAlignment="1">
      <alignment vertical="top" wrapText="1"/>
    </xf>
    <xf numFmtId="0" fontId="6" fillId="0" borderId="0" xfId="0" applyFont="1" applyAlignment="1">
      <alignment horizontal="left" vertical="center"/>
    </xf>
    <xf numFmtId="0" fontId="6" fillId="0" borderId="0" xfId="0" applyFont="1">
      <alignment vertical="center"/>
    </xf>
    <xf numFmtId="0" fontId="6" fillId="0" borderId="0" xfId="0" applyFont="1" applyAlignment="1">
      <alignment horizontal="center" vertical="center"/>
    </xf>
    <xf numFmtId="0" fontId="2" fillId="0" borderId="0" xfId="0" applyFont="1" applyAlignment="1">
      <alignment horizontal="left" vertical="center"/>
    </xf>
    <xf numFmtId="10" fontId="2" fillId="0" borderId="0" xfId="0" applyNumberFormat="1" applyFont="1">
      <alignment vertical="center"/>
    </xf>
    <xf numFmtId="10" fontId="4" fillId="3" borderId="5" xfId="0" applyNumberFormat="1" applyFont="1" applyFill="1" applyBorder="1" applyAlignment="1">
      <alignment horizontal="right" vertical="center"/>
    </xf>
    <xf numFmtId="10" fontId="4" fillId="0" borderId="0" xfId="0" applyNumberFormat="1" applyFont="1" applyBorder="1">
      <alignment vertical="center"/>
    </xf>
    <xf numFmtId="10" fontId="6" fillId="0" borderId="0" xfId="0" applyNumberFormat="1" applyFont="1">
      <alignment vertical="center"/>
    </xf>
    <xf numFmtId="10" fontId="4" fillId="0" borderId="0" xfId="0" applyNumberFormat="1" applyFont="1" applyBorder="1" applyAlignment="1">
      <alignment horizontal="right" vertical="center"/>
    </xf>
    <xf numFmtId="10" fontId="4" fillId="0" borderId="0" xfId="0" applyNumberFormat="1" applyFont="1" applyAlignment="1">
      <alignment horizontal="right" vertical="center"/>
    </xf>
    <xf numFmtId="10" fontId="5" fillId="0" borderId="0" xfId="0" applyNumberFormat="1" applyFont="1">
      <alignment vertical="center"/>
    </xf>
    <xf numFmtId="0" fontId="20" fillId="0" borderId="22" xfId="0" applyFont="1" applyFill="1" applyBorder="1" applyAlignment="1">
      <alignment horizontal="left" vertical="center" wrapText="1"/>
    </xf>
    <xf numFmtId="0" fontId="20" fillId="0" borderId="23" xfId="0" applyFont="1" applyFill="1" applyBorder="1" applyAlignment="1">
      <alignment horizontal="left" vertical="center" wrapText="1"/>
    </xf>
    <xf numFmtId="0" fontId="20" fillId="0" borderId="26" xfId="0" applyFont="1" applyFill="1" applyBorder="1" applyAlignment="1">
      <alignment horizontal="left" vertical="center" wrapText="1"/>
    </xf>
    <xf numFmtId="0" fontId="20" fillId="0" borderId="30"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27" xfId="0" applyFont="1" applyFill="1" applyBorder="1" applyAlignment="1">
      <alignment horizontal="left" vertical="center" wrapText="1"/>
    </xf>
    <xf numFmtId="0" fontId="20" fillId="0" borderId="21" xfId="0" applyFont="1" applyFill="1" applyBorder="1" applyAlignment="1">
      <alignment horizontal="left" vertical="center" wrapText="1"/>
    </xf>
    <xf numFmtId="0" fontId="4" fillId="0" borderId="5" xfId="0" applyFont="1" applyFill="1" applyBorder="1" applyAlignment="1">
      <alignment vertical="center" wrapText="1"/>
    </xf>
    <xf numFmtId="0" fontId="4" fillId="0" borderId="21" xfId="0" applyFont="1" applyFill="1" applyBorder="1">
      <alignment vertical="center"/>
    </xf>
    <xf numFmtId="0" fontId="6" fillId="0" borderId="21" xfId="0" applyFont="1" applyBorder="1" applyAlignment="1">
      <alignment horizontal="left" vertical="center"/>
    </xf>
    <xf numFmtId="0" fontId="6" fillId="0" borderId="31" xfId="0" applyFont="1" applyBorder="1">
      <alignment vertical="center"/>
    </xf>
    <xf numFmtId="0" fontId="6" fillId="0" borderId="5" xfId="0" applyFont="1" applyFill="1" applyBorder="1" applyAlignment="1">
      <alignment horizontal="right" vertical="center"/>
    </xf>
    <xf numFmtId="0" fontId="0" fillId="0" borderId="0" xfId="0" applyFont="1">
      <alignment vertical="center"/>
    </xf>
    <xf numFmtId="10" fontId="4" fillId="0" borderId="5" xfId="0" applyNumberFormat="1" applyFont="1" applyBorder="1">
      <alignment vertical="center"/>
    </xf>
    <xf numFmtId="0" fontId="4" fillId="0" borderId="5" xfId="0" applyFont="1" applyFill="1" applyBorder="1" applyAlignment="1">
      <alignment horizontal="center" vertical="center"/>
    </xf>
    <xf numFmtId="0" fontId="4" fillId="0" borderId="5" xfId="0" applyFont="1" applyBorder="1" applyAlignment="1">
      <alignment horizontal="center" vertical="center"/>
    </xf>
    <xf numFmtId="0" fontId="4" fillId="9" borderId="5" xfId="0" applyFont="1" applyFill="1" applyBorder="1" applyAlignment="1">
      <alignment horizontal="center" vertical="center"/>
    </xf>
    <xf numFmtId="0" fontId="91" fillId="52" borderId="61" xfId="6" applyFont="1" applyFill="1" applyBorder="1" applyAlignment="1">
      <alignment horizontal="center" vertical="center" wrapText="1"/>
    </xf>
    <xf numFmtId="0" fontId="6" fillId="0" borderId="5" xfId="0" applyFont="1" applyFill="1" applyBorder="1" applyAlignment="1">
      <alignment horizontal="center" vertical="center"/>
    </xf>
    <xf numFmtId="0" fontId="11" fillId="0" borderId="12" xfId="0" applyFont="1" applyFill="1" applyBorder="1" applyAlignment="1">
      <alignment horizontal="center" vertical="center" wrapText="1"/>
    </xf>
    <xf numFmtId="0" fontId="91" fillId="52" borderId="61" xfId="6" applyFont="1" applyFill="1" applyBorder="1" applyAlignment="1">
      <alignment horizontal="center" vertical="center"/>
    </xf>
    <xf numFmtId="0" fontId="6" fillId="5" borderId="5" xfId="0" applyFont="1" applyFill="1" applyBorder="1" applyAlignment="1">
      <alignment horizontal="center" vertical="center"/>
    </xf>
    <xf numFmtId="0" fontId="6" fillId="0" borderId="5" xfId="0" applyFont="1" applyFill="1" applyBorder="1" applyAlignment="1">
      <alignment horizontal="center" vertical="center" wrapText="1"/>
    </xf>
    <xf numFmtId="43" fontId="0" fillId="0" borderId="0" xfId="4" applyFont="1">
      <alignment vertical="center"/>
    </xf>
    <xf numFmtId="0" fontId="11" fillId="0" borderId="0" xfId="0" applyFont="1" applyFill="1" applyBorder="1" applyAlignment="1">
      <alignment horizontal="center" vertical="center" wrapText="1"/>
    </xf>
    <xf numFmtId="0" fontId="0" fillId="0" borderId="0" xfId="0" applyFill="1" applyBorder="1">
      <alignment vertical="center"/>
    </xf>
    <xf numFmtId="0" fontId="0" fillId="0" borderId="5" xfId="0" applyBorder="1" applyAlignment="1">
      <alignment horizontal="center" vertical="center"/>
    </xf>
    <xf numFmtId="0" fontId="91" fillId="52" borderId="0" xfId="6" applyFont="1" applyFill="1" applyBorder="1" applyAlignment="1">
      <alignment horizontal="center" vertical="center"/>
    </xf>
    <xf numFmtId="0" fontId="13" fillId="0" borderId="5" xfId="0" applyFont="1" applyBorder="1" applyAlignment="1">
      <alignment horizontal="center" vertical="center"/>
    </xf>
    <xf numFmtId="0" fontId="6" fillId="0" borderId="0" xfId="0" applyFont="1" applyFill="1" applyBorder="1" applyAlignment="1">
      <alignment horizontal="center" vertical="center"/>
    </xf>
    <xf numFmtId="0" fontId="0" fillId="0" borderId="0" xfId="0" applyBorder="1">
      <alignment vertical="center"/>
    </xf>
    <xf numFmtId="0" fontId="89" fillId="0" borderId="0" xfId="6" applyFont="1" applyFill="1" applyAlignment="1">
      <alignment horizontal="center" vertical="center"/>
    </xf>
    <xf numFmtId="0" fontId="0" fillId="0" borderId="0" xfId="0" applyAlignment="1">
      <alignment horizontal="center" vertical="center"/>
    </xf>
    <xf numFmtId="0" fontId="0" fillId="0" borderId="0" xfId="0" applyBorder="1" applyAlignment="1"/>
    <xf numFmtId="0" fontId="0" fillId="0" borderId="0" xfId="0" applyFill="1" applyBorder="1" applyAlignment="1"/>
    <xf numFmtId="0" fontId="7" fillId="2" borderId="42" xfId="0" applyFont="1" applyFill="1" applyBorder="1" applyAlignment="1">
      <alignment horizontal="center" vertical="center" wrapText="1"/>
    </xf>
    <xf numFmtId="0" fontId="7" fillId="2" borderId="42" xfId="0" applyFont="1" applyFill="1" applyBorder="1" applyAlignment="1">
      <alignment horizontal="center" vertical="center"/>
    </xf>
    <xf numFmtId="0" fontId="68" fillId="2" borderId="26" xfId="0" applyFont="1" applyFill="1" applyBorder="1" applyAlignment="1">
      <alignment horizontal="center" vertical="center"/>
    </xf>
    <xf numFmtId="0" fontId="6" fillId="0" borderId="10" xfId="0" applyFont="1" applyFill="1" applyBorder="1">
      <alignment vertical="center"/>
    </xf>
    <xf numFmtId="0" fontId="87" fillId="0" borderId="10" xfId="0" applyFont="1" applyFill="1" applyBorder="1" applyAlignment="1">
      <alignment horizontal="center" vertical="center" wrapText="1" readingOrder="1"/>
    </xf>
    <xf numFmtId="43" fontId="4" fillId="0" borderId="10" xfId="4" applyFont="1" applyFill="1" applyBorder="1" applyAlignment="1">
      <alignment horizontal="center" vertical="center"/>
    </xf>
    <xf numFmtId="43" fontId="4" fillId="0" borderId="46" xfId="4" applyFont="1" applyFill="1" applyBorder="1" applyAlignment="1">
      <alignment horizontal="center" vertical="center"/>
    </xf>
    <xf numFmtId="0" fontId="6" fillId="0" borderId="5" xfId="0" applyFont="1" applyFill="1" applyBorder="1">
      <alignment vertical="center"/>
    </xf>
    <xf numFmtId="0" fontId="87" fillId="0" borderId="5" xfId="0" applyFont="1" applyFill="1" applyBorder="1" applyAlignment="1">
      <alignment horizontal="center" vertical="center" wrapText="1" readingOrder="1"/>
    </xf>
    <xf numFmtId="43" fontId="4" fillId="0" borderId="5" xfId="4" applyFont="1" applyFill="1" applyBorder="1" applyAlignment="1">
      <alignment horizontal="center" vertical="center"/>
    </xf>
    <xf numFmtId="0" fontId="5" fillId="0" borderId="0" xfId="0" applyFont="1">
      <alignment vertical="center"/>
    </xf>
    <xf numFmtId="0" fontId="0" fillId="43" borderId="0" xfId="0" applyFill="1">
      <alignment vertical="center"/>
    </xf>
    <xf numFmtId="43" fontId="4" fillId="0" borderId="2" xfId="4" applyFont="1" applyFill="1" applyBorder="1" applyAlignment="1">
      <alignment horizontal="center" vertical="center"/>
    </xf>
    <xf numFmtId="0" fontId="0" fillId="8" borderId="0" xfId="0" applyFill="1">
      <alignment vertical="center"/>
    </xf>
    <xf numFmtId="0" fontId="0" fillId="45" borderId="0" xfId="0" applyFill="1">
      <alignment vertical="center"/>
    </xf>
    <xf numFmtId="0" fontId="0" fillId="14" borderId="0" xfId="0" applyFill="1">
      <alignment vertical="center"/>
    </xf>
    <xf numFmtId="0" fontId="0" fillId="18" borderId="0" xfId="0" applyFill="1">
      <alignment vertical="center"/>
    </xf>
    <xf numFmtId="0" fontId="0" fillId="38" borderId="0" xfId="0" applyFill="1">
      <alignment vertical="center"/>
    </xf>
    <xf numFmtId="0" fontId="6" fillId="0" borderId="5" xfId="0" applyFont="1" applyFill="1" applyBorder="1" applyAlignment="1">
      <alignment vertical="center" wrapText="1"/>
    </xf>
    <xf numFmtId="0" fontId="6" fillId="0" borderId="32" xfId="0" applyFont="1" applyFill="1" applyBorder="1" applyAlignment="1">
      <alignment vertical="center"/>
    </xf>
    <xf numFmtId="0" fontId="87" fillId="0" borderId="32" xfId="0" applyFont="1" applyFill="1" applyBorder="1" applyAlignment="1">
      <alignment horizontal="center" vertical="center" wrapText="1" readingOrder="1"/>
    </xf>
    <xf numFmtId="43" fontId="4" fillId="0" borderId="32" xfId="4" applyFont="1" applyFill="1" applyBorder="1" applyAlignment="1">
      <alignment horizontal="center" vertical="center"/>
    </xf>
    <xf numFmtId="43" fontId="4" fillId="0" borderId="4" xfId="4" applyFont="1" applyFill="1" applyBorder="1" applyAlignment="1">
      <alignment horizontal="center" vertical="center"/>
    </xf>
    <xf numFmtId="0" fontId="87" fillId="0" borderId="10" xfId="0" applyFont="1" applyFill="1" applyBorder="1" applyAlignment="1">
      <alignment horizontal="left" vertical="center" wrapText="1" readingOrder="1"/>
    </xf>
    <xf numFmtId="0" fontId="6" fillId="0" borderId="5" xfId="0" applyFont="1" applyFill="1" applyBorder="1" applyAlignment="1">
      <alignment horizontal="left" vertical="center" wrapText="1" readingOrder="1"/>
    </xf>
    <xf numFmtId="0" fontId="6" fillId="8" borderId="22" xfId="0" applyFont="1" applyFill="1" applyBorder="1" applyAlignment="1">
      <alignment vertical="center" wrapText="1" readingOrder="1"/>
    </xf>
    <xf numFmtId="0" fontId="6" fillId="0" borderId="5" xfId="0" applyFont="1" applyFill="1" applyBorder="1" applyAlignment="1">
      <alignment horizontal="left" vertical="center" wrapText="1"/>
    </xf>
    <xf numFmtId="0" fontId="6" fillId="9" borderId="32" xfId="0" applyFont="1" applyFill="1" applyBorder="1" applyAlignment="1">
      <alignment horizontal="left" vertical="center" wrapText="1"/>
    </xf>
    <xf numFmtId="0" fontId="6" fillId="0" borderId="10" xfId="0" applyFont="1" applyFill="1" applyBorder="1" applyAlignment="1">
      <alignment vertical="center" wrapText="1"/>
    </xf>
    <xf numFmtId="43" fontId="4" fillId="54" borderId="5" xfId="4" applyFont="1" applyFill="1" applyBorder="1" applyAlignment="1">
      <alignment horizontal="center" vertical="center"/>
    </xf>
    <xf numFmtId="43" fontId="4" fillId="54" borderId="2" xfId="4" applyFont="1" applyFill="1" applyBorder="1" applyAlignment="1">
      <alignment horizontal="center" vertical="center"/>
    </xf>
    <xf numFmtId="0" fontId="6" fillId="0" borderId="32" xfId="0" applyFont="1" applyFill="1" applyBorder="1" applyAlignment="1">
      <alignment vertical="center" wrapText="1"/>
    </xf>
    <xf numFmtId="0" fontId="6" fillId="0" borderId="10" xfId="0" applyFont="1" applyFill="1" applyBorder="1" applyAlignment="1">
      <alignment horizontal="left" vertical="center" wrapText="1"/>
    </xf>
    <xf numFmtId="0" fontId="6" fillId="0" borderId="5" xfId="0" applyFont="1" applyFill="1" applyBorder="1" applyAlignment="1">
      <alignment horizontal="left" vertical="top" wrapText="1"/>
    </xf>
    <xf numFmtId="0" fontId="6" fillId="8" borderId="5" xfId="0" applyFont="1" applyFill="1" applyBorder="1" applyAlignment="1">
      <alignment horizontal="left" vertical="center" wrapText="1"/>
    </xf>
    <xf numFmtId="0" fontId="6" fillId="8" borderId="22" xfId="0" applyFont="1" applyFill="1" applyBorder="1" applyAlignment="1">
      <alignment vertical="center" wrapText="1"/>
    </xf>
    <xf numFmtId="43" fontId="4" fillId="0" borderId="5" xfId="4" applyFont="1" applyFill="1" applyBorder="1" applyAlignment="1">
      <alignment vertical="center"/>
    </xf>
    <xf numFmtId="0" fontId="6" fillId="9" borderId="32" xfId="0" applyFont="1" applyFill="1" applyBorder="1">
      <alignment vertical="center"/>
    </xf>
    <xf numFmtId="0" fontId="6" fillId="9" borderId="32" xfId="0" applyFont="1" applyFill="1" applyBorder="1" applyAlignment="1">
      <alignment vertical="center" wrapText="1"/>
    </xf>
    <xf numFmtId="0" fontId="6" fillId="0" borderId="50" xfId="0" applyFont="1" applyFill="1" applyBorder="1" applyAlignment="1">
      <alignment vertical="center" wrapText="1" readingOrder="1"/>
    </xf>
    <xf numFmtId="0" fontId="25" fillId="0" borderId="51" xfId="0" applyFont="1" applyFill="1" applyBorder="1">
      <alignment vertical="center"/>
    </xf>
    <xf numFmtId="0" fontId="87" fillId="0" borderId="51" xfId="0" applyFont="1" applyFill="1" applyBorder="1" applyAlignment="1">
      <alignment horizontal="center" vertical="center" wrapText="1" readingOrder="1"/>
    </xf>
    <xf numFmtId="43" fontId="4" fillId="0" borderId="51" xfId="4" applyFont="1" applyFill="1" applyBorder="1" applyAlignment="1">
      <alignment horizontal="center" vertical="center"/>
    </xf>
    <xf numFmtId="43" fontId="4" fillId="0" borderId="52" xfId="4" applyFont="1" applyFill="1" applyBorder="1" applyAlignment="1">
      <alignment horizontal="center" vertical="center"/>
    </xf>
    <xf numFmtId="0" fontId="6" fillId="0" borderId="0" xfId="0" applyFont="1" applyFill="1" applyBorder="1" applyAlignment="1">
      <alignment vertical="center" wrapText="1" readingOrder="1"/>
    </xf>
    <xf numFmtId="0" fontId="86" fillId="0" borderId="0" xfId="0" applyFont="1">
      <alignment vertical="center"/>
    </xf>
    <xf numFmtId="0" fontId="68" fillId="2" borderId="5" xfId="0" applyFont="1" applyFill="1" applyBorder="1" applyAlignment="1">
      <alignment horizontal="center" vertical="center"/>
    </xf>
    <xf numFmtId="176" fontId="7" fillId="2" borderId="42" xfId="0" applyNumberFormat="1" applyFont="1" applyFill="1" applyBorder="1" applyAlignment="1">
      <alignment horizontal="center" vertical="center" wrapText="1"/>
    </xf>
    <xf numFmtId="176" fontId="7" fillId="2" borderId="42" xfId="0" applyNumberFormat="1" applyFont="1" applyFill="1" applyBorder="1" applyAlignment="1">
      <alignment horizontal="center" vertical="center"/>
    </xf>
    <xf numFmtId="176" fontId="68" fillId="2" borderId="26" xfId="0" applyNumberFormat="1" applyFont="1" applyFill="1" applyBorder="1" applyAlignment="1">
      <alignment horizontal="center" vertical="center"/>
    </xf>
    <xf numFmtId="176" fontId="0" fillId="0" borderId="0" xfId="0" applyNumberFormat="1">
      <alignment vertical="center"/>
    </xf>
    <xf numFmtId="176" fontId="6" fillId="0" borderId="10" xfId="0" applyNumberFormat="1" applyFont="1" applyFill="1" applyBorder="1" applyAlignment="1">
      <alignment vertical="center"/>
    </xf>
    <xf numFmtId="176" fontId="4" fillId="0" borderId="46" xfId="4" applyNumberFormat="1" applyFont="1" applyFill="1" applyBorder="1" applyAlignment="1">
      <alignment horizontal="center" vertical="center"/>
    </xf>
    <xf numFmtId="176" fontId="5" fillId="0" borderId="0" xfId="0" applyNumberFormat="1" applyFont="1">
      <alignment vertical="center"/>
    </xf>
    <xf numFmtId="176" fontId="0" fillId="41" borderId="0" xfId="0" applyNumberFormat="1" applyFill="1">
      <alignment vertical="center"/>
    </xf>
    <xf numFmtId="176" fontId="6" fillId="0" borderId="5" xfId="0" applyNumberFormat="1" applyFont="1" applyFill="1" applyBorder="1" applyAlignment="1">
      <alignment vertical="center"/>
    </xf>
    <xf numFmtId="176" fontId="4" fillId="0" borderId="2" xfId="4" applyNumberFormat="1" applyFont="1" applyFill="1" applyBorder="1" applyAlignment="1">
      <alignment horizontal="center" vertical="center"/>
    </xf>
    <xf numFmtId="176" fontId="0" fillId="8" borderId="0" xfId="0" applyNumberFormat="1" applyFill="1">
      <alignment vertical="center"/>
    </xf>
    <xf numFmtId="176" fontId="0" fillId="14" borderId="0" xfId="0" applyNumberFormat="1" applyFill="1">
      <alignment vertical="center"/>
    </xf>
    <xf numFmtId="176" fontId="0" fillId="18" borderId="0" xfId="0" applyNumberFormat="1" applyFill="1">
      <alignment vertical="center"/>
    </xf>
    <xf numFmtId="176" fontId="6" fillId="0" borderId="32" xfId="0" applyNumberFormat="1" applyFont="1" applyFill="1" applyBorder="1" applyAlignment="1">
      <alignment vertical="center"/>
    </xf>
    <xf numFmtId="176" fontId="87" fillId="0" borderId="32" xfId="0" applyNumberFormat="1" applyFont="1" applyBorder="1" applyAlignment="1">
      <alignment horizontal="center" vertical="center" wrapText="1" readingOrder="1"/>
    </xf>
    <xf numFmtId="176" fontId="67" fillId="0" borderId="32" xfId="0" applyNumberFormat="1" applyFont="1" applyFill="1" applyBorder="1" applyAlignment="1">
      <alignment horizontal="center" vertical="center"/>
    </xf>
    <xf numFmtId="176" fontId="0" fillId="10" borderId="58" xfId="0" applyNumberFormat="1" applyFont="1" applyFill="1" applyBorder="1" applyAlignment="1">
      <alignment horizontal="center" vertical="center"/>
    </xf>
    <xf numFmtId="176" fontId="4" fillId="0" borderId="4" xfId="4" applyNumberFormat="1" applyFont="1" applyFill="1" applyBorder="1" applyAlignment="1">
      <alignment horizontal="center" vertical="center"/>
    </xf>
    <xf numFmtId="176" fontId="0" fillId="10" borderId="0" xfId="0" applyNumberFormat="1" applyFill="1">
      <alignment vertical="center"/>
    </xf>
    <xf numFmtId="176" fontId="6" fillId="0" borderId="50" xfId="0" applyNumberFormat="1" applyFont="1" applyBorder="1" applyAlignment="1">
      <alignment horizontal="center" vertical="center" wrapText="1"/>
    </xf>
    <xf numFmtId="176" fontId="6" fillId="0" borderId="51" xfId="0" applyNumberFormat="1" applyFont="1" applyFill="1" applyBorder="1" applyAlignment="1">
      <alignment horizontal="left" vertical="center" wrapText="1" readingOrder="1"/>
    </xf>
    <xf numFmtId="176" fontId="87" fillId="0" borderId="51" xfId="0" applyNumberFormat="1" applyFont="1" applyBorder="1" applyAlignment="1">
      <alignment horizontal="center" vertical="center" wrapText="1" readingOrder="1"/>
    </xf>
    <xf numFmtId="176" fontId="67" fillId="0" borderId="51" xfId="0" applyNumberFormat="1" applyFont="1" applyFill="1" applyBorder="1" applyAlignment="1">
      <alignment horizontal="center" vertical="center"/>
    </xf>
    <xf numFmtId="176" fontId="0" fillId="10" borderId="59" xfId="0" applyNumberFormat="1" applyFont="1" applyFill="1" applyBorder="1" applyAlignment="1">
      <alignment horizontal="center" vertical="center"/>
    </xf>
    <xf numFmtId="176" fontId="4" fillId="0" borderId="52" xfId="4" applyNumberFormat="1" applyFont="1" applyFill="1" applyBorder="1" applyAlignment="1">
      <alignment horizontal="center" vertical="center"/>
    </xf>
    <xf numFmtId="176" fontId="6" fillId="0" borderId="10" xfId="0" applyNumberFormat="1" applyFont="1" applyFill="1" applyBorder="1" applyAlignment="1">
      <alignment horizontal="left" vertical="center" wrapText="1" readingOrder="1"/>
    </xf>
    <xf numFmtId="176" fontId="87" fillId="0" borderId="10" xfId="0" applyNumberFormat="1" applyFont="1" applyBorder="1" applyAlignment="1">
      <alignment horizontal="center" vertical="center" wrapText="1" readingOrder="1"/>
    </xf>
    <xf numFmtId="176" fontId="67" fillId="0" borderId="10" xfId="0" applyNumberFormat="1" applyFont="1" applyFill="1" applyBorder="1" applyAlignment="1">
      <alignment horizontal="center" vertical="center"/>
    </xf>
    <xf numFmtId="176" fontId="0" fillId="10" borderId="57" xfId="0" applyNumberFormat="1" applyFont="1" applyFill="1" applyBorder="1" applyAlignment="1">
      <alignment horizontal="center" vertical="center"/>
    </xf>
    <xf numFmtId="176" fontId="6" fillId="0" borderId="5" xfId="0" applyNumberFormat="1" applyFont="1" applyFill="1" applyBorder="1">
      <alignment vertical="center"/>
    </xf>
    <xf numFmtId="176" fontId="87" fillId="0" borderId="5" xfId="0" applyNumberFormat="1" applyFont="1" applyBorder="1" applyAlignment="1">
      <alignment horizontal="center" vertical="center" wrapText="1" readingOrder="1"/>
    </xf>
    <xf numFmtId="176" fontId="67" fillId="0" borderId="5" xfId="0" applyNumberFormat="1" applyFont="1" applyFill="1" applyBorder="1" applyAlignment="1">
      <alignment horizontal="center" vertical="center"/>
    </xf>
    <xf numFmtId="176" fontId="0" fillId="10" borderId="21" xfId="0" applyNumberFormat="1" applyFont="1" applyFill="1" applyBorder="1" applyAlignment="1">
      <alignment horizontal="center" vertical="center"/>
    </xf>
    <xf numFmtId="176" fontId="6" fillId="0" borderId="32" xfId="0" applyNumberFormat="1" applyFont="1" applyFill="1" applyBorder="1">
      <alignment vertical="center"/>
    </xf>
    <xf numFmtId="176" fontId="6" fillId="0" borderId="10" xfId="0" applyNumberFormat="1" applyFont="1" applyFill="1" applyBorder="1">
      <alignment vertical="center"/>
    </xf>
    <xf numFmtId="176" fontId="6" fillId="0" borderId="10" xfId="0" applyNumberFormat="1" applyFont="1" applyFill="1" applyBorder="1" applyAlignment="1">
      <alignment horizontal="center" vertical="center"/>
    </xf>
    <xf numFmtId="176" fontId="88" fillId="41" borderId="10" xfId="0" applyNumberFormat="1" applyFont="1" applyFill="1" applyBorder="1" applyAlignment="1">
      <alignment horizontal="center" vertical="center"/>
    </xf>
    <xf numFmtId="176" fontId="67" fillId="0" borderId="57" xfId="0" applyNumberFormat="1" applyFont="1" applyFill="1" applyBorder="1" applyAlignment="1">
      <alignment horizontal="center" vertical="center"/>
    </xf>
    <xf numFmtId="176" fontId="6" fillId="0" borderId="5" xfId="0" applyNumberFormat="1" applyFont="1" applyBorder="1">
      <alignment vertical="center"/>
    </xf>
    <xf numFmtId="176" fontId="6" fillId="0" borderId="5" xfId="0" applyNumberFormat="1" applyFont="1" applyFill="1" applyBorder="1" applyAlignment="1">
      <alignment horizontal="center" vertical="center"/>
    </xf>
    <xf numFmtId="176" fontId="88" fillId="41" borderId="5" xfId="0" applyNumberFormat="1" applyFont="1" applyFill="1" applyBorder="1" applyAlignment="1">
      <alignment horizontal="center" vertical="center"/>
    </xf>
    <xf numFmtId="176" fontId="67" fillId="0" borderId="21" xfId="0" applyNumberFormat="1" applyFont="1" applyFill="1" applyBorder="1" applyAlignment="1">
      <alignment horizontal="center" vertical="center"/>
    </xf>
    <xf numFmtId="176" fontId="67" fillId="0" borderId="22" xfId="0" applyNumberFormat="1" applyFont="1" applyFill="1" applyBorder="1" applyAlignment="1">
      <alignment horizontal="center" vertical="center"/>
    </xf>
    <xf numFmtId="176" fontId="67" fillId="0" borderId="23" xfId="0" applyNumberFormat="1" applyFont="1" applyFill="1" applyBorder="1" applyAlignment="1">
      <alignment horizontal="center" vertical="center"/>
    </xf>
    <xf numFmtId="176" fontId="0" fillId="8" borderId="5" xfId="0" applyNumberFormat="1" applyFont="1" applyFill="1" applyBorder="1" applyAlignment="1">
      <alignment horizontal="center" vertical="center"/>
    </xf>
    <xf numFmtId="176" fontId="6" fillId="0" borderId="22" xfId="0" applyNumberFormat="1" applyFont="1" applyFill="1" applyBorder="1" applyAlignment="1">
      <alignment horizontal="center" vertical="center"/>
    </xf>
    <xf numFmtId="176" fontId="0" fillId="41" borderId="5" xfId="0" applyNumberFormat="1" applyFont="1" applyFill="1" applyBorder="1" applyAlignment="1">
      <alignment horizontal="center" vertical="center"/>
    </xf>
    <xf numFmtId="176" fontId="6" fillId="0" borderId="32" xfId="0" applyNumberFormat="1" applyFont="1" applyFill="1" applyBorder="1" applyAlignment="1">
      <alignment horizontal="center" vertical="center"/>
    </xf>
    <xf numFmtId="176" fontId="0" fillId="41" borderId="32" xfId="0" applyNumberFormat="1" applyFont="1" applyFill="1" applyBorder="1" applyAlignment="1">
      <alignment horizontal="center" vertical="center"/>
    </xf>
    <xf numFmtId="176" fontId="67" fillId="0" borderId="58" xfId="0" applyNumberFormat="1" applyFont="1" applyFill="1" applyBorder="1" applyAlignment="1">
      <alignment horizontal="center" vertical="center"/>
    </xf>
    <xf numFmtId="176" fontId="28" fillId="18" borderId="10" xfId="0" applyNumberFormat="1" applyFont="1" applyFill="1" applyBorder="1" applyAlignment="1">
      <alignment horizontal="center" vertical="center"/>
    </xf>
    <xf numFmtId="176" fontId="28" fillId="18" borderId="5" xfId="0" applyNumberFormat="1" applyFont="1" applyFill="1" applyBorder="1" applyAlignment="1">
      <alignment horizontal="center" vertical="center"/>
    </xf>
    <xf numFmtId="176" fontId="28" fillId="18" borderId="32" xfId="0" applyNumberFormat="1" applyFont="1" applyFill="1" applyBorder="1" applyAlignment="1">
      <alignment horizontal="center" vertical="center"/>
    </xf>
    <xf numFmtId="176" fontId="6" fillId="0" borderId="12" xfId="0" applyNumberFormat="1" applyFont="1" applyFill="1" applyBorder="1" applyAlignment="1">
      <alignment vertical="center"/>
    </xf>
    <xf numFmtId="176" fontId="6" fillId="0" borderId="26" xfId="0" applyNumberFormat="1" applyFont="1" applyFill="1" applyBorder="1" applyAlignment="1">
      <alignment horizontal="center" vertical="center"/>
    </xf>
    <xf numFmtId="176" fontId="67" fillId="0" borderId="12" xfId="0" applyNumberFormat="1" applyFont="1" applyFill="1" applyBorder="1" applyAlignment="1">
      <alignment horizontal="center" vertical="center"/>
    </xf>
    <xf numFmtId="176" fontId="0" fillId="8" borderId="12" xfId="0" applyNumberFormat="1" applyFont="1" applyFill="1" applyBorder="1" applyAlignment="1">
      <alignment horizontal="center" vertical="center"/>
    </xf>
    <xf numFmtId="176" fontId="0" fillId="14" borderId="12" xfId="0" applyNumberFormat="1" applyFont="1" applyFill="1" applyBorder="1" applyAlignment="1">
      <alignment horizontal="center" vertical="center"/>
    </xf>
    <xf numFmtId="176" fontId="67" fillId="0" borderId="27" xfId="0" applyNumberFormat="1" applyFont="1" applyFill="1" applyBorder="1" applyAlignment="1">
      <alignment horizontal="center" vertical="center"/>
    </xf>
    <xf numFmtId="176" fontId="4" fillId="0" borderId="12" xfId="4" applyNumberFormat="1" applyFont="1" applyFill="1" applyBorder="1" applyAlignment="1">
      <alignment horizontal="center" vertical="center"/>
    </xf>
    <xf numFmtId="176" fontId="0" fillId="14" borderId="5" xfId="0" applyNumberFormat="1" applyFont="1" applyFill="1" applyBorder="1" applyAlignment="1">
      <alignment horizontal="center" vertical="center"/>
    </xf>
    <xf numFmtId="176" fontId="4" fillId="0" borderId="5" xfId="4" applyNumberFormat="1" applyFont="1" applyFill="1" applyBorder="1" applyAlignment="1">
      <alignment horizontal="center" vertical="center"/>
    </xf>
    <xf numFmtId="176" fontId="6" fillId="0" borderId="22" xfId="0" applyNumberFormat="1" applyFont="1" applyFill="1" applyBorder="1" applyAlignment="1">
      <alignment vertical="center"/>
    </xf>
    <xf numFmtId="176" fontId="67" fillId="44" borderId="5" xfId="0" applyNumberFormat="1" applyFont="1" applyFill="1" applyBorder="1" applyAlignment="1">
      <alignment horizontal="center" vertical="center"/>
    </xf>
    <xf numFmtId="176" fontId="67" fillId="44" borderId="21" xfId="0" applyNumberFormat="1" applyFont="1" applyFill="1" applyBorder="1" applyAlignment="1">
      <alignment horizontal="center" vertical="center"/>
    </xf>
    <xf numFmtId="176" fontId="0" fillId="8" borderId="22" xfId="0" applyNumberFormat="1" applyFont="1" applyFill="1" applyBorder="1" applyAlignment="1">
      <alignment horizontal="center" vertical="center"/>
    </xf>
    <xf numFmtId="176" fontId="4" fillId="0" borderId="22" xfId="4" applyNumberFormat="1" applyFont="1" applyFill="1" applyBorder="1" applyAlignment="1">
      <alignment horizontal="center" vertical="center"/>
    </xf>
    <xf numFmtId="176" fontId="6" fillId="0" borderId="10" xfId="0" applyNumberFormat="1" applyFont="1" applyFill="1" applyBorder="1" applyAlignment="1">
      <alignment horizontal="left" vertical="center"/>
    </xf>
    <xf numFmtId="176" fontId="0" fillId="8" borderId="10" xfId="0" applyNumberFormat="1" applyFont="1" applyFill="1" applyBorder="1" applyAlignment="1">
      <alignment horizontal="center" vertical="center"/>
    </xf>
    <xf numFmtId="176" fontId="0" fillId="14" borderId="10" xfId="0" applyNumberFormat="1" applyFont="1" applyFill="1" applyBorder="1" applyAlignment="1">
      <alignment horizontal="center" vertical="center"/>
    </xf>
    <xf numFmtId="176" fontId="6" fillId="0" borderId="5" xfId="0" applyNumberFormat="1" applyFont="1" applyFill="1" applyBorder="1" applyAlignment="1">
      <alignment horizontal="left" vertical="center"/>
    </xf>
    <xf numFmtId="176" fontId="25" fillId="0" borderId="5" xfId="0" applyNumberFormat="1" applyFont="1" applyFill="1" applyBorder="1">
      <alignment vertical="center"/>
    </xf>
    <xf numFmtId="176" fontId="6" fillId="0" borderId="22" xfId="0" applyNumberFormat="1" applyFont="1" applyFill="1" applyBorder="1">
      <alignment vertical="center"/>
    </xf>
    <xf numFmtId="176" fontId="0" fillId="8" borderId="32" xfId="0" applyNumberFormat="1" applyFont="1" applyFill="1" applyBorder="1" applyAlignment="1">
      <alignment horizontal="center" vertical="center"/>
    </xf>
    <xf numFmtId="176" fontId="6" fillId="0" borderId="51" xfId="0" applyNumberFormat="1" applyFont="1" applyFill="1" applyBorder="1" applyAlignment="1">
      <alignment horizontal="center" vertical="center"/>
    </xf>
    <xf numFmtId="176" fontId="0" fillId="0" borderId="54" xfId="0" applyNumberFormat="1" applyBorder="1" applyAlignment="1">
      <alignment horizontal="center" vertical="center"/>
    </xf>
    <xf numFmtId="176" fontId="74" fillId="0" borderId="12" xfId="0" applyNumberFormat="1" applyFont="1" applyBorder="1">
      <alignment vertical="center"/>
    </xf>
    <xf numFmtId="176" fontId="68" fillId="2" borderId="5" xfId="0" applyNumberFormat="1" applyFont="1" applyFill="1" applyBorder="1" applyAlignment="1">
      <alignment horizontal="center" vertical="center"/>
    </xf>
    <xf numFmtId="176" fontId="68" fillId="0" borderId="0" xfId="0" applyNumberFormat="1" applyFont="1" applyFill="1" applyBorder="1" applyAlignment="1">
      <alignment horizontal="center" vertical="center"/>
    </xf>
    <xf numFmtId="176" fontId="9" fillId="0" borderId="0" xfId="2" applyNumberFormat="1">
      <alignment vertical="center"/>
    </xf>
    <xf numFmtId="0" fontId="7" fillId="2" borderId="29" xfId="0" applyFont="1" applyFill="1" applyBorder="1" applyAlignment="1">
      <alignment horizontal="center" vertical="center"/>
    </xf>
    <xf numFmtId="0" fontId="68" fillId="2" borderId="29" xfId="0" applyFont="1" applyFill="1" applyBorder="1" applyAlignment="1">
      <alignment horizontal="center" vertical="center"/>
    </xf>
    <xf numFmtId="0" fontId="25" fillId="14" borderId="5" xfId="0" applyFont="1" applyFill="1" applyBorder="1" applyAlignment="1">
      <alignment vertical="center" wrapText="1"/>
    </xf>
    <xf numFmtId="0" fontId="25" fillId="14" borderId="5" xfId="0" applyFont="1" applyFill="1" applyBorder="1" applyAlignment="1">
      <alignment horizontal="center" vertical="center" wrapText="1"/>
    </xf>
    <xf numFmtId="43" fontId="4" fillId="49" borderId="5" xfId="4" applyFont="1" applyFill="1" applyBorder="1" applyAlignment="1">
      <alignment horizontal="center" vertical="center"/>
    </xf>
    <xf numFmtId="43" fontId="4" fillId="0" borderId="0" xfId="4" applyFont="1" applyFill="1" applyBorder="1" applyAlignment="1">
      <alignment horizontal="center" vertical="center"/>
    </xf>
    <xf numFmtId="0" fontId="25" fillId="14" borderId="22" xfId="0" applyFont="1" applyFill="1" applyBorder="1" applyAlignment="1">
      <alignment vertical="center" wrapText="1"/>
    </xf>
    <xf numFmtId="0" fontId="25" fillId="14" borderId="12" xfId="0" applyFont="1" applyFill="1" applyBorder="1" applyAlignment="1">
      <alignment vertical="center" wrapText="1"/>
    </xf>
    <xf numFmtId="43" fontId="4" fillId="42" borderId="5" xfId="4" applyFont="1" applyFill="1" applyBorder="1" applyAlignment="1">
      <alignment horizontal="center" vertical="center"/>
    </xf>
    <xf numFmtId="0" fontId="25" fillId="38" borderId="5" xfId="0" applyFont="1" applyFill="1" applyBorder="1" applyAlignment="1">
      <alignment vertical="center" wrapText="1"/>
    </xf>
    <xf numFmtId="0" fontId="25" fillId="38" borderId="5" xfId="0" applyFont="1" applyFill="1" applyBorder="1" applyAlignment="1">
      <alignment horizontal="center" vertical="center" wrapText="1"/>
    </xf>
    <xf numFmtId="43" fontId="4" fillId="50" borderId="5" xfId="4" applyFont="1" applyFill="1" applyBorder="1" applyAlignment="1">
      <alignment horizontal="center" vertical="center"/>
    </xf>
    <xf numFmtId="43" fontId="4" fillId="38" borderId="5" xfId="4" applyFont="1" applyFill="1" applyBorder="1" applyAlignment="1">
      <alignment horizontal="center" vertical="center"/>
    </xf>
    <xf numFmtId="0" fontId="25" fillId="38" borderId="5" xfId="0" applyFont="1" applyFill="1" applyBorder="1">
      <alignment vertical="center"/>
    </xf>
    <xf numFmtId="0" fontId="0" fillId="0" borderId="0" xfId="0" applyFill="1">
      <alignment vertical="center"/>
    </xf>
    <xf numFmtId="0" fontId="0" fillId="0" borderId="0" xfId="0" applyFill="1" applyBorder="1" applyAlignment="1">
      <alignment horizontal="center" vertical="center"/>
    </xf>
    <xf numFmtId="0" fontId="0" fillId="0" borderId="22" xfId="0" applyFill="1" applyBorder="1" applyAlignment="1">
      <alignment vertical="center"/>
    </xf>
    <xf numFmtId="43" fontId="4" fillId="0" borderId="22" xfId="4" applyFont="1" applyFill="1" applyBorder="1" applyAlignment="1">
      <alignment vertical="center"/>
    </xf>
    <xf numFmtId="0" fontId="0" fillId="0" borderId="5" xfId="0" applyFill="1" applyBorder="1" applyAlignment="1">
      <alignment horizontal="center" vertical="center"/>
    </xf>
    <xf numFmtId="43" fontId="4" fillId="0" borderId="5" xfId="4" applyFont="1" applyFill="1" applyBorder="1" applyAlignment="1">
      <alignment horizontal="right" vertical="center"/>
    </xf>
    <xf numFmtId="0" fontId="0" fillId="0" borderId="0" xfId="0" applyBorder="1" applyAlignment="1">
      <alignment horizontal="center" vertical="center"/>
    </xf>
    <xf numFmtId="0" fontId="0" fillId="0" borderId="0" xfId="0" applyBorder="1" applyAlignment="1">
      <alignment vertical="center"/>
    </xf>
    <xf numFmtId="0" fontId="25" fillId="38" borderId="5" xfId="0" applyFont="1" applyFill="1" applyBorder="1" applyAlignment="1">
      <alignment vertical="center"/>
    </xf>
    <xf numFmtId="43" fontId="4" fillId="39" borderId="5" xfId="4" applyFont="1" applyFill="1" applyBorder="1" applyAlignment="1">
      <alignment horizontal="center" vertical="center"/>
    </xf>
    <xf numFmtId="0" fontId="4" fillId="39" borderId="5" xfId="0" applyFont="1" applyFill="1" applyBorder="1" applyAlignment="1">
      <alignment horizontal="center" vertical="center"/>
    </xf>
    <xf numFmtId="0" fontId="25" fillId="18" borderId="5" xfId="0" applyFont="1" applyFill="1" applyBorder="1" applyAlignment="1">
      <alignment vertical="center" wrapText="1"/>
    </xf>
    <xf numFmtId="0" fontId="25" fillId="18" borderId="5" xfId="0" applyFont="1" applyFill="1" applyBorder="1" applyAlignment="1">
      <alignment horizontal="center" vertical="center" wrapText="1"/>
    </xf>
    <xf numFmtId="43" fontId="4" fillId="51" borderId="5" xfId="4" applyFont="1" applyFill="1" applyBorder="1" applyAlignment="1">
      <alignment horizontal="center" vertical="center"/>
    </xf>
    <xf numFmtId="43" fontId="4" fillId="18" borderId="5" xfId="4" applyFont="1" applyFill="1" applyBorder="1" applyAlignment="1">
      <alignment horizontal="center" vertical="center"/>
    </xf>
    <xf numFmtId="0" fontId="4" fillId="18" borderId="5" xfId="0" applyFont="1" applyFill="1" applyBorder="1" applyAlignment="1">
      <alignment horizontal="center" vertical="center"/>
    </xf>
    <xf numFmtId="43" fontId="4" fillId="40" borderId="5" xfId="4" applyFont="1" applyFill="1" applyBorder="1" applyAlignment="1">
      <alignment horizontal="center" vertical="center"/>
    </xf>
    <xf numFmtId="0" fontId="25" fillId="43" borderId="5" xfId="0" applyFont="1" applyFill="1" applyBorder="1" applyAlignment="1">
      <alignment horizontal="center" vertical="center" wrapText="1"/>
    </xf>
    <xf numFmtId="43" fontId="4" fillId="36" borderId="5" xfId="4" applyFont="1" applyFill="1" applyBorder="1" applyAlignment="1">
      <alignment horizontal="center" vertical="center"/>
    </xf>
    <xf numFmtId="43" fontId="4" fillId="43" borderId="26" xfId="4" applyFont="1" applyFill="1" applyBorder="1" applyAlignment="1">
      <alignment horizontal="center" vertical="center"/>
    </xf>
    <xf numFmtId="43" fontId="4" fillId="43" borderId="5" xfId="4" applyFont="1" applyFill="1" applyBorder="1" applyAlignment="1">
      <alignment horizontal="center" vertical="center"/>
    </xf>
    <xf numFmtId="0" fontId="8" fillId="8" borderId="31" xfId="0" applyFont="1" applyFill="1" applyBorder="1" applyAlignment="1">
      <alignment horizontal="center" vertical="center" wrapText="1"/>
    </xf>
    <xf numFmtId="43" fontId="6" fillId="8" borderId="5" xfId="4" applyFont="1" applyFill="1" applyBorder="1" applyAlignment="1">
      <alignment horizontal="center" vertical="center"/>
    </xf>
    <xf numFmtId="43" fontId="4" fillId="8" borderId="5" xfId="4" applyFont="1" applyFill="1" applyBorder="1" applyAlignment="1">
      <alignment horizontal="center" vertical="center"/>
    </xf>
    <xf numFmtId="0" fontId="6" fillId="8" borderId="5" xfId="0" applyFont="1" applyFill="1" applyBorder="1" applyAlignment="1">
      <alignment horizontal="center" vertical="center"/>
    </xf>
    <xf numFmtId="0" fontId="25" fillId="36" borderId="5" xfId="0" applyFont="1" applyFill="1" applyBorder="1" applyAlignment="1">
      <alignment horizontal="center" vertical="center"/>
    </xf>
    <xf numFmtId="10" fontId="4" fillId="0" borderId="0" xfId="0" applyNumberFormat="1" applyFont="1" applyAlignment="1">
      <alignment vertical="top"/>
    </xf>
    <xf numFmtId="10" fontId="7" fillId="2" borderId="5" xfId="0" applyNumberFormat="1" applyFont="1" applyFill="1" applyBorder="1" applyAlignment="1">
      <alignment horizontal="center" vertical="center" wrapText="1"/>
    </xf>
    <xf numFmtId="0" fontId="4" fillId="0" borderId="5" xfId="0" applyFont="1" applyFill="1" applyBorder="1" applyAlignment="1">
      <alignment horizontal="right" vertical="center"/>
    </xf>
    <xf numFmtId="0" fontId="2" fillId="0" borderId="33" xfId="0" applyFont="1" applyBorder="1" applyAlignment="1">
      <alignment horizontal="left" vertical="center"/>
    </xf>
    <xf numFmtId="0" fontId="4" fillId="0" borderId="1" xfId="0" applyFont="1" applyBorder="1" applyAlignment="1">
      <alignment horizontal="left" vertical="center"/>
    </xf>
    <xf numFmtId="0" fontId="6" fillId="0" borderId="1" xfId="0" applyFont="1" applyBorder="1" applyAlignment="1">
      <alignment horizontal="left" vertical="center"/>
    </xf>
    <xf numFmtId="0" fontId="2" fillId="0" borderId="34" xfId="0" applyFont="1" applyBorder="1" applyAlignment="1">
      <alignment horizontal="center" vertical="center"/>
    </xf>
    <xf numFmtId="0" fontId="2" fillId="0" borderId="19" xfId="0" applyFont="1" applyBorder="1" applyAlignment="1">
      <alignment horizontal="center" vertical="center"/>
    </xf>
    <xf numFmtId="0" fontId="7" fillId="2" borderId="42" xfId="0" applyFont="1" applyFill="1" applyBorder="1" applyAlignment="1">
      <alignment horizontal="center" vertical="center"/>
    </xf>
    <xf numFmtId="0" fontId="64" fillId="0" borderId="0" xfId="0" applyFont="1">
      <alignment vertical="center"/>
    </xf>
    <xf numFmtId="0" fontId="25" fillId="0" borderId="5" xfId="0" applyFont="1" applyFill="1" applyBorder="1" applyAlignment="1">
      <alignment horizontal="left" vertical="center" indent="1"/>
    </xf>
    <xf numFmtId="0" fontId="9" fillId="0" borderId="0" xfId="2" applyFill="1" applyAlignment="1">
      <alignment horizontal="left" vertical="center"/>
    </xf>
    <xf numFmtId="0" fontId="63" fillId="0" borderId="0" xfId="0" applyFont="1" applyFill="1" applyAlignment="1">
      <alignment horizontal="right" vertical="center"/>
    </xf>
    <xf numFmtId="0" fontId="6" fillId="0" borderId="5" xfId="0" applyFont="1" applyFill="1" applyBorder="1" applyAlignment="1">
      <alignment horizontal="left" vertical="center" indent="1"/>
    </xf>
    <xf numFmtId="0" fontId="0" fillId="0" borderId="5" xfId="0" applyBorder="1">
      <alignment vertical="center"/>
    </xf>
    <xf numFmtId="0" fontId="5" fillId="0" borderId="5" xfId="0" applyFont="1" applyFill="1" applyBorder="1">
      <alignment vertical="center"/>
    </xf>
    <xf numFmtId="0" fontId="6" fillId="0" borderId="1" xfId="0" applyFont="1" applyFill="1" applyBorder="1" applyAlignment="1">
      <alignment horizontal="left" vertical="center"/>
    </xf>
    <xf numFmtId="0" fontId="46" fillId="0" borderId="5" xfId="0" applyFont="1" applyFill="1" applyBorder="1">
      <alignment vertical="center"/>
    </xf>
    <xf numFmtId="0" fontId="6" fillId="0" borderId="31" xfId="0" applyFont="1" applyBorder="1" applyAlignment="1">
      <alignment vertical="center"/>
    </xf>
    <xf numFmtId="0" fontId="6" fillId="0" borderId="21" xfId="0" applyFont="1" applyBorder="1" applyAlignment="1">
      <alignment vertical="center"/>
    </xf>
    <xf numFmtId="0" fontId="6" fillId="0" borderId="5" xfId="0" applyFont="1" applyBorder="1" applyAlignment="1">
      <alignment vertical="center"/>
    </xf>
    <xf numFmtId="43" fontId="25" fillId="21" borderId="0" xfId="4" applyFont="1" applyFill="1" applyBorder="1" applyAlignment="1">
      <alignment horizontal="right" vertical="center"/>
    </xf>
    <xf numFmtId="0" fontId="6" fillId="0" borderId="0" xfId="0" applyFont="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right" vertical="center"/>
    </xf>
    <xf numFmtId="0" fontId="46" fillId="8" borderId="31" xfId="0" applyFont="1" applyFill="1" applyBorder="1" applyAlignment="1">
      <alignment vertical="center"/>
    </xf>
    <xf numFmtId="0" fontId="46" fillId="8" borderId="0" xfId="0" applyFont="1" applyFill="1" applyBorder="1" applyAlignment="1">
      <alignment vertical="center"/>
    </xf>
    <xf numFmtId="0" fontId="4" fillId="0" borderId="0" xfId="0" applyFont="1" applyAlignment="1">
      <alignment vertical="center" wrapText="1"/>
    </xf>
    <xf numFmtId="0" fontId="6" fillId="9" borderId="5" xfId="0" applyFont="1" applyFill="1" applyBorder="1" applyAlignment="1">
      <alignment horizontal="center" vertical="center" wrapText="1"/>
    </xf>
    <xf numFmtId="0" fontId="4" fillId="0" borderId="5" xfId="0" applyFont="1" applyFill="1" applyBorder="1" applyAlignment="1">
      <alignment horizontal="left" vertical="center"/>
    </xf>
    <xf numFmtId="0" fontId="8" fillId="0" borderId="25" xfId="0" applyNumberFormat="1" applyFont="1" applyFill="1" applyBorder="1" applyAlignment="1">
      <alignment horizontal="center" vertical="center"/>
    </xf>
    <xf numFmtId="0" fontId="8" fillId="0" borderId="25" xfId="0" applyNumberFormat="1" applyFont="1" applyFill="1" applyBorder="1" applyAlignment="1">
      <alignment horizontal="center" vertical="top"/>
    </xf>
    <xf numFmtId="0" fontId="8" fillId="0" borderId="20" xfId="0" applyNumberFormat="1" applyFont="1" applyFill="1" applyBorder="1" applyAlignment="1">
      <alignment horizontal="center" vertical="center"/>
    </xf>
    <xf numFmtId="0" fontId="8" fillId="0" borderId="17" xfId="0" applyNumberFormat="1" applyFont="1" applyFill="1" applyBorder="1" applyAlignment="1">
      <alignment horizontal="center" vertical="center"/>
    </xf>
    <xf numFmtId="0" fontId="25" fillId="0" borderId="0" xfId="0" applyNumberFormat="1" applyFont="1" applyFill="1" applyBorder="1" applyAlignment="1">
      <alignment horizontal="center" vertical="center"/>
    </xf>
    <xf numFmtId="0" fontId="5" fillId="0" borderId="0" xfId="0" applyNumberFormat="1" applyFont="1">
      <alignment vertical="center"/>
    </xf>
    <xf numFmtId="0" fontId="8" fillId="0" borderId="0" xfId="0" applyNumberFormat="1" applyFont="1" applyFill="1" applyBorder="1" applyAlignment="1">
      <alignment horizontal="center" vertical="center" wrapText="1"/>
    </xf>
    <xf numFmtId="0" fontId="8" fillId="0" borderId="0" xfId="0" applyNumberFormat="1" applyFont="1" applyFill="1" applyBorder="1" applyAlignment="1">
      <alignment horizontal="center" vertical="center"/>
    </xf>
    <xf numFmtId="0" fontId="8" fillId="0" borderId="5" xfId="0" applyNumberFormat="1" applyFont="1" applyFill="1" applyBorder="1" applyAlignment="1">
      <alignment horizontal="center" vertical="center"/>
    </xf>
    <xf numFmtId="0" fontId="8" fillId="0" borderId="5" xfId="0" applyNumberFormat="1" applyFont="1" applyFill="1" applyBorder="1" applyAlignment="1">
      <alignment horizontal="center" vertical="top"/>
    </xf>
    <xf numFmtId="0" fontId="8" fillId="0" borderId="19" xfId="0" applyNumberFormat="1" applyFont="1" applyFill="1" applyBorder="1" applyAlignment="1">
      <alignment horizontal="center" vertical="center"/>
    </xf>
    <xf numFmtId="0" fontId="8" fillId="0" borderId="0" xfId="0" applyNumberFormat="1" applyFont="1" applyFill="1" applyBorder="1" applyAlignment="1">
      <alignment horizontal="center" vertical="top"/>
    </xf>
    <xf numFmtId="0" fontId="7" fillId="2" borderId="5" xfId="0" applyNumberFormat="1" applyFont="1" applyFill="1" applyBorder="1" applyAlignment="1">
      <alignment horizontal="center" vertical="center"/>
    </xf>
    <xf numFmtId="0" fontId="7" fillId="2" borderId="29" xfId="0" applyNumberFormat="1" applyFont="1" applyFill="1" applyBorder="1" applyAlignment="1">
      <alignment horizontal="center" vertical="center"/>
    </xf>
    <xf numFmtId="0" fontId="7" fillId="2" borderId="12" xfId="0" applyNumberFormat="1" applyFont="1" applyFill="1" applyBorder="1" applyAlignment="1">
      <alignment horizontal="center" vertical="center"/>
    </xf>
    <xf numFmtId="0" fontId="68" fillId="2" borderId="12" xfId="0" applyNumberFormat="1" applyFont="1" applyFill="1" applyBorder="1" applyAlignment="1">
      <alignment horizontal="center" vertical="center"/>
    </xf>
    <xf numFmtId="0" fontId="7" fillId="2" borderId="26"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4" fillId="0" borderId="0" xfId="0" applyNumberFormat="1" applyFont="1">
      <alignment vertical="center"/>
    </xf>
    <xf numFmtId="0" fontId="20" fillId="0" borderId="5" xfId="0" applyNumberFormat="1" applyFont="1" applyBorder="1" applyAlignment="1">
      <alignment horizontal="left" vertical="center" wrapText="1"/>
    </xf>
    <xf numFmtId="0" fontId="20" fillId="0" borderId="5" xfId="0" applyNumberFormat="1" applyFont="1" applyBorder="1" applyAlignment="1">
      <alignment horizontal="left" vertical="top" wrapText="1"/>
    </xf>
    <xf numFmtId="0" fontId="6" fillId="0" borderId="19" xfId="0" applyNumberFormat="1" applyFont="1" applyBorder="1" applyAlignment="1">
      <alignment horizontal="left" vertical="center"/>
    </xf>
    <xf numFmtId="0" fontId="46" fillId="0" borderId="5" xfId="0" applyNumberFormat="1" applyFont="1" applyBorder="1">
      <alignment vertical="center"/>
    </xf>
    <xf numFmtId="0" fontId="20" fillId="0" borderId="5" xfId="0" applyNumberFormat="1" applyFont="1" applyBorder="1" applyAlignment="1">
      <alignment horizontal="center" vertical="center" wrapText="1"/>
    </xf>
    <xf numFmtId="0" fontId="4" fillId="0" borderId="5" xfId="0" applyNumberFormat="1" applyFont="1" applyBorder="1">
      <alignment vertical="center"/>
    </xf>
    <xf numFmtId="0" fontId="4" fillId="9" borderId="5" xfId="0" applyNumberFormat="1" applyFont="1" applyFill="1" applyBorder="1" applyAlignment="1">
      <alignment horizontal="center" vertical="center"/>
    </xf>
    <xf numFmtId="0" fontId="4" fillId="0" borderId="5" xfId="0" applyNumberFormat="1" applyFont="1" applyBorder="1" applyAlignment="1">
      <alignment vertical="center" wrapText="1"/>
    </xf>
    <xf numFmtId="0" fontId="4" fillId="0" borderId="5" xfId="0" applyNumberFormat="1" applyFont="1" applyFill="1" applyBorder="1" applyAlignment="1">
      <alignment vertical="center"/>
    </xf>
    <xf numFmtId="0" fontId="4" fillId="0" borderId="5" xfId="0" applyNumberFormat="1" applyFont="1" applyFill="1" applyBorder="1" applyAlignment="1">
      <alignment horizontal="center" vertical="center"/>
    </xf>
    <xf numFmtId="0" fontId="4" fillId="14" borderId="5" xfId="4" applyNumberFormat="1" applyFont="1" applyFill="1" applyBorder="1" applyAlignment="1">
      <alignment vertical="top"/>
    </xf>
    <xf numFmtId="0" fontId="4" fillId="0" borderId="5" xfId="4" applyNumberFormat="1" applyFont="1" applyBorder="1">
      <alignment vertical="center"/>
    </xf>
    <xf numFmtId="0" fontId="6" fillId="0" borderId="5" xfId="0" applyNumberFormat="1" applyFont="1" applyFill="1" applyBorder="1" applyAlignment="1">
      <alignment horizontal="left" vertical="center"/>
    </xf>
    <xf numFmtId="0" fontId="4" fillId="0" borderId="5" xfId="0" applyNumberFormat="1" applyFont="1" applyBorder="1" applyAlignment="1">
      <alignment horizontal="right" vertical="center" wrapText="1"/>
    </xf>
    <xf numFmtId="0" fontId="4" fillId="0" borderId="5" xfId="0" applyNumberFormat="1" applyFont="1" applyFill="1" applyBorder="1" applyAlignment="1">
      <alignment horizontal="right" vertical="center"/>
    </xf>
    <xf numFmtId="0" fontId="4" fillId="0" borderId="5" xfId="4" applyNumberFormat="1" applyFont="1" applyFill="1" applyBorder="1" applyAlignment="1">
      <alignment vertical="top"/>
    </xf>
    <xf numFmtId="0" fontId="46" fillId="0" borderId="5" xfId="0" applyNumberFormat="1" applyFont="1" applyBorder="1" applyAlignment="1">
      <alignment horizontal="right" vertical="center"/>
    </xf>
    <xf numFmtId="0" fontId="20" fillId="0" borderId="22" xfId="0" applyNumberFormat="1" applyFont="1" applyBorder="1" applyAlignment="1">
      <alignment horizontal="center" vertical="center" wrapText="1"/>
    </xf>
    <xf numFmtId="0" fontId="4" fillId="0" borderId="19" xfId="0" applyNumberFormat="1" applyFont="1" applyBorder="1" applyAlignment="1">
      <alignment horizontal="left" vertical="center"/>
    </xf>
    <xf numFmtId="0" fontId="4" fillId="0" borderId="5" xfId="0" applyNumberFormat="1" applyFont="1" applyFill="1" applyBorder="1" applyAlignment="1">
      <alignment horizontal="left" vertical="center" indent="1"/>
    </xf>
    <xf numFmtId="0" fontId="20" fillId="0" borderId="26" xfId="0" applyNumberFormat="1" applyFont="1" applyBorder="1" applyAlignment="1">
      <alignment horizontal="center" vertical="center" wrapText="1"/>
    </xf>
    <xf numFmtId="0" fontId="4" fillId="0" borderId="5" xfId="0" applyNumberFormat="1" applyFont="1" applyBorder="1" applyAlignment="1">
      <alignment horizontal="center" vertical="center"/>
    </xf>
    <xf numFmtId="0" fontId="20" fillId="0" borderId="12" xfId="0" applyNumberFormat="1" applyFont="1" applyBorder="1" applyAlignment="1">
      <alignment horizontal="center" vertical="center" wrapText="1"/>
    </xf>
    <xf numFmtId="0" fontId="4" fillId="0" borderId="21" xfId="0" applyNumberFormat="1" applyFont="1" applyFill="1" applyBorder="1" applyAlignment="1">
      <alignment horizontal="right" vertical="center"/>
    </xf>
    <xf numFmtId="0" fontId="4" fillId="0" borderId="21" xfId="0" applyNumberFormat="1" applyFont="1" applyBorder="1" applyAlignment="1">
      <alignment horizontal="right" vertical="center"/>
    </xf>
    <xf numFmtId="0" fontId="6" fillId="0" borderId="5" xfId="0" applyNumberFormat="1" applyFont="1" applyFill="1" applyBorder="1">
      <alignment vertical="center"/>
    </xf>
    <xf numFmtId="0" fontId="4" fillId="0" borderId="5" xfId="0" applyNumberFormat="1" applyFont="1" applyFill="1" applyBorder="1" applyAlignment="1">
      <alignment horizontal="left" vertical="center"/>
    </xf>
    <xf numFmtId="0" fontId="20" fillId="0" borderId="5" xfId="0" applyNumberFormat="1" applyFont="1" applyFill="1" applyBorder="1" applyAlignment="1">
      <alignment horizontal="center" vertical="center" wrapText="1"/>
    </xf>
    <xf numFmtId="0" fontId="4" fillId="0" borderId="5" xfId="0" applyNumberFormat="1" applyFont="1" applyBorder="1" applyAlignment="1">
      <alignment horizontal="left" vertical="center" wrapText="1"/>
    </xf>
    <xf numFmtId="0" fontId="46" fillId="0" borderId="22" xfId="0" applyNumberFormat="1" applyFont="1" applyBorder="1">
      <alignment vertical="center"/>
    </xf>
    <xf numFmtId="0" fontId="4" fillId="0" borderId="22" xfId="0" applyNumberFormat="1" applyFont="1" applyBorder="1" applyAlignment="1">
      <alignment horizontal="right" vertical="center" wrapText="1"/>
    </xf>
    <xf numFmtId="0" fontId="4" fillId="0" borderId="31" xfId="0" applyNumberFormat="1" applyFont="1" applyBorder="1">
      <alignment vertical="center"/>
    </xf>
    <xf numFmtId="0" fontId="4" fillId="0" borderId="21" xfId="0" applyNumberFormat="1" applyFont="1" applyFill="1" applyBorder="1" applyAlignment="1">
      <alignment horizontal="left" vertical="center"/>
    </xf>
    <xf numFmtId="0" fontId="25" fillId="0" borderId="5" xfId="0" applyNumberFormat="1" applyFont="1" applyFill="1" applyBorder="1">
      <alignment vertical="center"/>
    </xf>
    <xf numFmtId="0" fontId="20" fillId="0" borderId="5" xfId="0" applyNumberFormat="1" applyFont="1" applyFill="1" applyBorder="1" applyAlignment="1">
      <alignment horizontal="left" vertical="center" wrapText="1"/>
    </xf>
    <xf numFmtId="0" fontId="20" fillId="0" borderId="5" xfId="0" applyNumberFormat="1" applyFont="1" applyFill="1" applyBorder="1" applyAlignment="1">
      <alignment horizontal="left" vertical="top" wrapText="1"/>
    </xf>
    <xf numFmtId="0" fontId="4" fillId="0" borderId="5" xfId="4" applyNumberFormat="1" applyFont="1" applyFill="1" applyBorder="1" applyAlignment="1">
      <alignment horizontal="right" vertical="center"/>
    </xf>
    <xf numFmtId="0" fontId="4" fillId="0" borderId="21" xfId="0" applyNumberFormat="1" applyFont="1" applyBorder="1" applyAlignment="1">
      <alignment horizontal="left" vertical="center"/>
    </xf>
    <xf numFmtId="0" fontId="6" fillId="0" borderId="35" xfId="0" applyNumberFormat="1" applyFont="1" applyBorder="1" applyAlignment="1">
      <alignment horizontal="left" vertical="center"/>
    </xf>
    <xf numFmtId="0" fontId="6" fillId="0" borderId="22" xfId="0" applyNumberFormat="1" applyFont="1" applyFill="1" applyBorder="1">
      <alignment vertical="center"/>
    </xf>
    <xf numFmtId="0" fontId="4" fillId="0" borderId="22" xfId="0" applyNumberFormat="1" applyFont="1" applyBorder="1">
      <alignment vertical="center"/>
    </xf>
    <xf numFmtId="0" fontId="4" fillId="9" borderId="22" xfId="0" applyNumberFormat="1" applyFont="1" applyFill="1" applyBorder="1" applyAlignment="1">
      <alignment horizontal="center" vertical="center"/>
    </xf>
    <xf numFmtId="0" fontId="4" fillId="0" borderId="22" xfId="0" applyNumberFormat="1" applyFont="1" applyFill="1" applyBorder="1" applyAlignment="1">
      <alignment vertical="center"/>
    </xf>
    <xf numFmtId="0" fontId="4" fillId="0" borderId="22" xfId="4" applyNumberFormat="1" applyFont="1" applyBorder="1">
      <alignment vertical="center"/>
    </xf>
    <xf numFmtId="0" fontId="20" fillId="0" borderId="5" xfId="0" applyNumberFormat="1" applyFont="1" applyBorder="1" applyAlignment="1">
      <alignment horizontal="center" vertical="top" wrapText="1"/>
    </xf>
    <xf numFmtId="0" fontId="6" fillId="0" borderId="31" xfId="0" applyNumberFormat="1" applyFont="1" applyBorder="1" applyAlignment="1">
      <alignment horizontal="left" vertical="center"/>
    </xf>
    <xf numFmtId="0" fontId="5" fillId="0" borderId="5" xfId="0" applyNumberFormat="1" applyFont="1" applyBorder="1" applyAlignment="1">
      <alignment vertical="center" wrapText="1"/>
    </xf>
    <xf numFmtId="0" fontId="6" fillId="0" borderId="5" xfId="0" applyNumberFormat="1" applyFont="1" applyBorder="1">
      <alignment vertical="center"/>
    </xf>
    <xf numFmtId="0" fontId="6" fillId="0" borderId="5" xfId="0" applyNumberFormat="1" applyFont="1" applyBorder="1" applyAlignment="1">
      <alignment vertical="top"/>
    </xf>
    <xf numFmtId="0" fontId="6" fillId="8" borderId="5" xfId="0" applyNumberFormat="1" applyFont="1" applyFill="1" applyBorder="1">
      <alignment vertical="center"/>
    </xf>
    <xf numFmtId="0" fontId="25" fillId="0" borderId="5" xfId="0" applyNumberFormat="1" applyFont="1" applyBorder="1" applyAlignment="1">
      <alignment horizontal="right" vertical="center"/>
    </xf>
    <xf numFmtId="0" fontId="6" fillId="0" borderId="5" xfId="0" applyNumberFormat="1" applyFont="1" applyBorder="1" applyAlignment="1">
      <alignment horizontal="center" vertical="center"/>
    </xf>
    <xf numFmtId="0" fontId="6" fillId="9" borderId="5" xfId="0" applyNumberFormat="1" applyFont="1" applyFill="1" applyBorder="1" applyAlignment="1">
      <alignment horizontal="center" vertical="center"/>
    </xf>
    <xf numFmtId="0" fontId="6" fillId="0" borderId="5" xfId="0" applyNumberFormat="1" applyFont="1" applyBorder="1" applyAlignment="1">
      <alignment horizontal="right" vertical="center" wrapText="1"/>
    </xf>
    <xf numFmtId="0" fontId="4" fillId="0" borderId="5" xfId="0" applyNumberFormat="1" applyFont="1" applyFill="1" applyBorder="1" applyAlignment="1">
      <alignment horizontal="right" vertical="center" wrapText="1"/>
    </xf>
    <xf numFmtId="0" fontId="25" fillId="21" borderId="5" xfId="4" applyNumberFormat="1" applyFont="1" applyFill="1" applyBorder="1">
      <alignment vertical="center"/>
    </xf>
    <xf numFmtId="0" fontId="5" fillId="0" borderId="0" xfId="0" applyNumberFormat="1" applyFont="1" applyAlignment="1">
      <alignment vertical="top"/>
    </xf>
    <xf numFmtId="0" fontId="5" fillId="0" borderId="0" xfId="0" applyNumberFormat="1" applyFont="1" applyAlignment="1">
      <alignment horizontal="left" vertical="center"/>
    </xf>
    <xf numFmtId="0" fontId="4" fillId="8" borderId="5" xfId="0" applyNumberFormat="1" applyFont="1" applyFill="1" applyBorder="1">
      <alignment vertical="center"/>
    </xf>
    <xf numFmtId="0" fontId="46" fillId="0" borderId="0" xfId="0" applyNumberFormat="1" applyFont="1" applyAlignment="1">
      <alignment horizontal="right" vertical="center"/>
    </xf>
    <xf numFmtId="0" fontId="5" fillId="0" borderId="0" xfId="0" applyNumberFormat="1" applyFont="1" applyAlignment="1">
      <alignment horizontal="center" vertical="center"/>
    </xf>
    <xf numFmtId="0" fontId="5" fillId="0" borderId="0" xfId="0" applyNumberFormat="1" applyFont="1" applyAlignment="1">
      <alignment horizontal="right" vertical="center" wrapText="1"/>
    </xf>
    <xf numFmtId="0" fontId="5" fillId="0" borderId="0" xfId="0" applyNumberFormat="1" applyFont="1" applyAlignment="1">
      <alignment horizontal="right" vertical="center"/>
    </xf>
    <xf numFmtId="0" fontId="4" fillId="0" borderId="0" xfId="4" applyNumberFormat="1" applyFont="1">
      <alignment vertical="center"/>
    </xf>
    <xf numFmtId="0" fontId="5" fillId="0" borderId="0" xfId="0" applyNumberFormat="1" applyFont="1" applyAlignment="1">
      <alignment horizontal="right" vertical="top"/>
    </xf>
    <xf numFmtId="0" fontId="5" fillId="0" borderId="0" xfId="0" applyNumberFormat="1" applyFont="1" applyFill="1">
      <alignment vertical="center"/>
    </xf>
    <xf numFmtId="0" fontId="5" fillId="0" borderId="0" xfId="0" applyNumberFormat="1" applyFont="1" applyAlignment="1">
      <alignment vertical="center" wrapText="1"/>
    </xf>
    <xf numFmtId="0" fontId="9" fillId="0" borderId="0" xfId="2" applyNumberFormat="1" applyAlignment="1">
      <alignment horizontal="left" vertical="center"/>
    </xf>
    <xf numFmtId="0" fontId="9" fillId="0" borderId="0" xfId="2" applyNumberFormat="1" applyFill="1" applyAlignment="1">
      <alignment vertical="top" wrapText="1"/>
    </xf>
    <xf numFmtId="0" fontId="8" fillId="0" borderId="41" xfId="0" applyNumberFormat="1" applyFont="1" applyFill="1" applyBorder="1" applyAlignment="1">
      <alignment vertical="center"/>
    </xf>
    <xf numFmtId="0" fontId="8" fillId="0" borderId="0" xfId="0" applyNumberFormat="1" applyFont="1" applyFill="1" applyBorder="1" applyAlignment="1">
      <alignment horizontal="center" vertical="top" wrapText="1"/>
    </xf>
    <xf numFmtId="0" fontId="8" fillId="0" borderId="33" xfId="0" applyNumberFormat="1" applyFont="1" applyFill="1" applyBorder="1" applyAlignment="1">
      <alignment vertical="center"/>
    </xf>
    <xf numFmtId="0" fontId="8" fillId="0" borderId="34" xfId="0" applyNumberFormat="1" applyFont="1" applyFill="1" applyBorder="1" applyAlignment="1">
      <alignment vertical="center"/>
    </xf>
    <xf numFmtId="0" fontId="25" fillId="0" borderId="0" xfId="0" applyNumberFormat="1" applyFont="1" applyFill="1" applyBorder="1" applyAlignment="1">
      <alignment horizontal="center" vertical="top"/>
    </xf>
    <xf numFmtId="0" fontId="8" fillId="0" borderId="0" xfId="0" applyNumberFormat="1" applyFont="1" applyFill="1" applyBorder="1" applyAlignment="1">
      <alignment horizontal="left" vertical="top"/>
    </xf>
    <xf numFmtId="0" fontId="48" fillId="0" borderId="0" xfId="0" applyNumberFormat="1" applyFont="1" applyAlignment="1">
      <alignment vertical="top"/>
    </xf>
    <xf numFmtId="0" fontId="5" fillId="0" borderId="0" xfId="0" applyNumberFormat="1" applyFont="1" applyAlignment="1">
      <alignment horizontal="left" vertical="top"/>
    </xf>
    <xf numFmtId="0" fontId="5" fillId="0" borderId="0" xfId="0" applyNumberFormat="1" applyFont="1" applyAlignment="1">
      <alignment horizontal="center" vertical="top"/>
    </xf>
    <xf numFmtId="0" fontId="4" fillId="0" borderId="0" xfId="0" applyNumberFormat="1" applyFont="1" applyAlignment="1">
      <alignment vertical="top"/>
    </xf>
    <xf numFmtId="0" fontId="5" fillId="0" borderId="0" xfId="0" applyNumberFormat="1" applyFont="1" applyFill="1" applyAlignment="1">
      <alignment horizontal="left" vertical="top"/>
    </xf>
    <xf numFmtId="0" fontId="5" fillId="0" borderId="0" xfId="0" applyNumberFormat="1" applyFont="1" applyFill="1" applyAlignment="1">
      <alignment horizontal="center" vertical="top"/>
    </xf>
    <xf numFmtId="0" fontId="4" fillId="0" borderId="0" xfId="0" applyNumberFormat="1" applyFont="1" applyFill="1" applyAlignment="1">
      <alignment vertical="top"/>
    </xf>
    <xf numFmtId="0" fontId="5" fillId="0" borderId="0" xfId="0" applyNumberFormat="1" applyFont="1" applyFill="1" applyAlignment="1">
      <alignment vertical="top"/>
    </xf>
    <xf numFmtId="0" fontId="5" fillId="0" borderId="0" xfId="4" applyNumberFormat="1" applyFont="1" applyAlignment="1">
      <alignment vertical="top"/>
    </xf>
    <xf numFmtId="0" fontId="8" fillId="0" borderId="36" xfId="0" applyNumberFormat="1" applyFont="1" applyFill="1" applyBorder="1" applyAlignment="1">
      <alignment horizontal="center" vertical="top"/>
    </xf>
    <xf numFmtId="0" fontId="5" fillId="0" borderId="0" xfId="0" applyNumberFormat="1" applyFont="1" applyBorder="1" applyAlignment="1">
      <alignment horizontal="left" vertical="center"/>
    </xf>
    <xf numFmtId="0" fontId="5" fillId="0" borderId="0" xfId="0" applyNumberFormat="1" applyFont="1" applyFill="1" applyAlignment="1">
      <alignment vertical="top" wrapText="1"/>
    </xf>
    <xf numFmtId="0" fontId="7" fillId="2" borderId="5" xfId="0" applyNumberFormat="1" applyFont="1" applyFill="1" applyBorder="1" applyAlignment="1">
      <alignment horizontal="center" vertical="center" wrapText="1"/>
    </xf>
    <xf numFmtId="0" fontId="7" fillId="2" borderId="0" xfId="0" applyNumberFormat="1" applyFont="1" applyFill="1" applyBorder="1" applyAlignment="1">
      <alignment horizontal="center" vertical="center" wrapText="1"/>
    </xf>
    <xf numFmtId="0" fontId="48" fillId="2" borderId="0" xfId="0" applyNumberFormat="1" applyFont="1" applyFill="1" applyAlignment="1">
      <alignment vertical="top"/>
    </xf>
    <xf numFmtId="0" fontId="7" fillId="2" borderId="35" xfId="0" applyNumberFormat="1" applyFont="1" applyFill="1" applyBorder="1" applyAlignment="1">
      <alignment horizontal="center" vertical="center" wrapText="1"/>
    </xf>
    <xf numFmtId="0" fontId="7" fillId="2" borderId="22" xfId="0" applyNumberFormat="1" applyFont="1" applyFill="1" applyBorder="1" applyAlignment="1">
      <alignment horizontal="center" vertical="center"/>
    </xf>
    <xf numFmtId="0" fontId="7" fillId="2" borderId="0" xfId="0" applyNumberFormat="1" applyFont="1" applyFill="1" applyAlignment="1">
      <alignment horizontal="center" vertical="center"/>
    </xf>
    <xf numFmtId="0" fontId="7" fillId="2" borderId="19" xfId="0" applyNumberFormat="1" applyFont="1" applyFill="1" applyBorder="1" applyAlignment="1">
      <alignment horizontal="center" vertical="center"/>
    </xf>
    <xf numFmtId="0" fontId="48" fillId="2" borderId="19" xfId="0" applyNumberFormat="1" applyFont="1" applyFill="1" applyBorder="1" applyAlignment="1">
      <alignment vertical="center"/>
    </xf>
    <xf numFmtId="0" fontId="7" fillId="2" borderId="5" xfId="0" applyNumberFormat="1" applyFont="1" applyFill="1" applyBorder="1" applyAlignment="1">
      <alignment horizontal="left" vertical="center" wrapText="1"/>
    </xf>
    <xf numFmtId="0" fontId="68" fillId="2" borderId="5" xfId="0" applyNumberFormat="1" applyFont="1" applyFill="1" applyBorder="1" applyAlignment="1">
      <alignment horizontal="center" vertical="center" wrapText="1"/>
    </xf>
    <xf numFmtId="0" fontId="5" fillId="0" borderId="0" xfId="0" applyNumberFormat="1" applyFont="1" applyFill="1" applyAlignment="1">
      <alignment vertical="center"/>
    </xf>
    <xf numFmtId="0" fontId="5" fillId="0" borderId="0" xfId="0" applyNumberFormat="1" applyFont="1" applyAlignment="1">
      <alignment vertical="center"/>
    </xf>
    <xf numFmtId="0" fontId="6" fillId="0" borderId="5" xfId="0" applyNumberFormat="1" applyFont="1" applyFill="1" applyBorder="1" applyAlignment="1">
      <alignment vertical="top" wrapText="1"/>
    </xf>
    <xf numFmtId="0" fontId="46" fillId="0" borderId="5" xfId="0" applyNumberFormat="1" applyFont="1" applyFill="1" applyBorder="1" applyAlignment="1">
      <alignment horizontal="right" vertical="top"/>
    </xf>
    <xf numFmtId="0" fontId="4" fillId="0" borderId="5" xfId="0" applyNumberFormat="1" applyFont="1" applyFill="1" applyBorder="1" applyAlignment="1">
      <alignment horizontal="center" vertical="top"/>
    </xf>
    <xf numFmtId="0" fontId="4" fillId="0" borderId="5" xfId="0" applyNumberFormat="1" applyFont="1" applyFill="1" applyBorder="1" applyAlignment="1">
      <alignment horizontal="left" vertical="top"/>
    </xf>
    <xf numFmtId="0" fontId="4" fillId="9" borderId="5" xfId="0" applyNumberFormat="1" applyFont="1" applyFill="1" applyBorder="1" applyAlignment="1">
      <alignment horizontal="center" vertical="top"/>
    </xf>
    <xf numFmtId="0" fontId="4" fillId="0" borderId="5" xfId="0" applyNumberFormat="1" applyFont="1" applyBorder="1" applyAlignment="1">
      <alignment horizontal="left" vertical="top"/>
    </xf>
    <xf numFmtId="0" fontId="4" fillId="20" borderId="5" xfId="0" applyNumberFormat="1" applyFont="1" applyFill="1" applyBorder="1" applyAlignment="1">
      <alignment vertical="top"/>
    </xf>
    <xf numFmtId="0" fontId="4" fillId="0" borderId="5" xfId="0" applyNumberFormat="1" applyFont="1" applyFill="1" applyBorder="1" applyAlignment="1">
      <alignment horizontal="right" vertical="top"/>
    </xf>
    <xf numFmtId="0" fontId="4" fillId="0" borderId="5" xfId="0" applyNumberFormat="1" applyFont="1" applyFill="1" applyBorder="1" applyAlignment="1">
      <alignment horizontal="left" vertical="top" wrapText="1"/>
    </xf>
    <xf numFmtId="0" fontId="46" fillId="0" borderId="5" xfId="0" applyNumberFormat="1" applyFont="1" applyBorder="1" applyAlignment="1">
      <alignment vertical="top"/>
    </xf>
    <xf numFmtId="0" fontId="5" fillId="0" borderId="5" xfId="0" applyNumberFormat="1" applyFont="1" applyBorder="1" applyAlignment="1">
      <alignment horizontal="center" vertical="top"/>
    </xf>
    <xf numFmtId="0" fontId="5" fillId="0" borderId="5" xfId="0" applyNumberFormat="1" applyFont="1" applyBorder="1" applyAlignment="1">
      <alignment horizontal="left" vertical="top"/>
    </xf>
    <xf numFmtId="0" fontId="4" fillId="0" borderId="5" xfId="4" applyNumberFormat="1" applyFont="1" applyFill="1" applyBorder="1" applyAlignment="1">
      <alignment horizontal="center" vertical="top"/>
    </xf>
    <xf numFmtId="0" fontId="4" fillId="0" borderId="5" xfId="0" quotePrefix="1" applyNumberFormat="1" applyFont="1" applyFill="1" applyBorder="1" applyAlignment="1">
      <alignment horizontal="center" vertical="top"/>
    </xf>
    <xf numFmtId="0" fontId="4" fillId="0" borderId="0" xfId="0" applyNumberFormat="1" applyFont="1" applyBorder="1" applyAlignment="1">
      <alignment vertical="top"/>
    </xf>
    <xf numFmtId="0" fontId="20" fillId="0" borderId="5" xfId="0" applyNumberFormat="1" applyFont="1" applyFill="1" applyBorder="1" applyAlignment="1">
      <alignment horizontal="right" vertical="top"/>
    </xf>
    <xf numFmtId="0" fontId="4" fillId="0" borderId="5" xfId="0" applyNumberFormat="1" applyFont="1" applyBorder="1" applyAlignment="1">
      <alignment horizontal="center" vertical="top"/>
    </xf>
    <xf numFmtId="0" fontId="20" fillId="0" borderId="5" xfId="0" applyNumberFormat="1" applyFont="1" applyFill="1" applyBorder="1" applyAlignment="1">
      <alignment vertical="top"/>
    </xf>
    <xf numFmtId="0" fontId="20" fillId="0" borderId="5" xfId="0" applyNumberFormat="1" applyFont="1" applyFill="1" applyBorder="1" applyAlignment="1">
      <alignment vertical="top" wrapText="1"/>
    </xf>
    <xf numFmtId="0" fontId="6" fillId="0" borderId="5" xfId="0" applyNumberFormat="1" applyFont="1" applyFill="1" applyBorder="1" applyAlignment="1">
      <alignment vertical="center"/>
    </xf>
    <xf numFmtId="0" fontId="48" fillId="8" borderId="5" xfId="0" applyNumberFormat="1" applyFont="1" applyFill="1" applyBorder="1" applyAlignment="1">
      <alignment horizontal="left" vertical="top"/>
    </xf>
    <xf numFmtId="0" fontId="4" fillId="0" borderId="0" xfId="0" applyNumberFormat="1" applyFont="1" applyAlignment="1">
      <alignment vertical="center"/>
    </xf>
    <xf numFmtId="0" fontId="46" fillId="0" borderId="5" xfId="0" applyNumberFormat="1" applyFont="1" applyFill="1" applyBorder="1" applyAlignment="1">
      <alignment vertical="top"/>
    </xf>
    <xf numFmtId="0" fontId="5" fillId="0" borderId="5" xfId="0" applyNumberFormat="1" applyFont="1" applyFill="1" applyBorder="1" applyAlignment="1">
      <alignment horizontal="center" vertical="top"/>
    </xf>
    <xf numFmtId="0" fontId="5" fillId="0" borderId="5" xfId="0" applyNumberFormat="1" applyFont="1" applyFill="1" applyBorder="1" applyAlignment="1">
      <alignment horizontal="left" vertical="top"/>
    </xf>
    <xf numFmtId="0" fontId="46" fillId="0" borderId="5" xfId="0" applyNumberFormat="1" applyFont="1" applyFill="1" applyBorder="1" applyAlignment="1">
      <alignment horizontal="left" vertical="center"/>
    </xf>
    <xf numFmtId="0" fontId="46" fillId="0" borderId="5" xfId="0" applyNumberFormat="1" applyFont="1" applyFill="1" applyBorder="1" applyAlignment="1">
      <alignment horizontal="left" vertical="top"/>
    </xf>
    <xf numFmtId="0" fontId="4" fillId="6" borderId="5" xfId="0" applyNumberFormat="1" applyFont="1" applyFill="1" applyBorder="1" applyAlignment="1">
      <alignment horizontal="center" vertical="top"/>
    </xf>
    <xf numFmtId="0" fontId="36" fillId="0" borderId="5" xfId="6" applyNumberFormat="1" applyFont="1" applyFill="1" applyBorder="1" applyAlignment="1">
      <alignment horizontal="left" vertical="top"/>
    </xf>
    <xf numFmtId="0" fontId="36" fillId="0" borderId="5" xfId="6" applyNumberFormat="1" applyFont="1" applyFill="1" applyBorder="1" applyAlignment="1">
      <alignment horizontal="left" vertical="top" wrapText="1"/>
    </xf>
    <xf numFmtId="0" fontId="6" fillId="0" borderId="5" xfId="0" applyNumberFormat="1" applyFont="1" applyFill="1" applyBorder="1" applyAlignment="1">
      <alignment vertical="top"/>
    </xf>
    <xf numFmtId="0" fontId="65" fillId="0" borderId="5" xfId="0" applyNumberFormat="1" applyFont="1" applyBorder="1" applyAlignment="1">
      <alignment horizontal="center" vertical="top"/>
    </xf>
    <xf numFmtId="0" fontId="46" fillId="0" borderId="5" xfId="0" applyNumberFormat="1" applyFont="1" applyBorder="1" applyAlignment="1">
      <alignment horizontal="right" vertical="top"/>
    </xf>
    <xf numFmtId="0" fontId="4" fillId="0" borderId="5" xfId="0" applyNumberFormat="1" applyFont="1" applyBorder="1" applyAlignment="1">
      <alignment horizontal="right" vertical="top"/>
    </xf>
    <xf numFmtId="0" fontId="4" fillId="0" borderId="5" xfId="4" applyNumberFormat="1" applyFont="1" applyBorder="1" applyAlignment="1">
      <alignment horizontal="left" vertical="top"/>
    </xf>
    <xf numFmtId="0" fontId="4" fillId="0" borderId="5" xfId="4" applyNumberFormat="1" applyFont="1" applyFill="1" applyBorder="1" applyAlignment="1">
      <alignment horizontal="left" vertical="top"/>
    </xf>
    <xf numFmtId="0" fontId="52" fillId="0" borderId="5" xfId="0" applyNumberFormat="1" applyFont="1" applyBorder="1" applyAlignment="1">
      <alignment horizontal="center" vertical="top"/>
    </xf>
    <xf numFmtId="0" fontId="52" fillId="0" borderId="5" xfId="0" applyNumberFormat="1" applyFont="1" applyBorder="1" applyAlignment="1">
      <alignment horizontal="left" vertical="top"/>
    </xf>
    <xf numFmtId="0" fontId="50" fillId="13" borderId="5" xfId="0" applyNumberFormat="1" applyFont="1" applyFill="1" applyBorder="1" applyAlignment="1">
      <alignment horizontal="center" vertical="top"/>
    </xf>
    <xf numFmtId="0" fontId="4" fillId="0" borderId="5" xfId="0" applyNumberFormat="1" applyFont="1" applyBorder="1" applyAlignment="1">
      <alignment vertical="top"/>
    </xf>
    <xf numFmtId="0" fontId="4" fillId="0" borderId="5" xfId="0" applyNumberFormat="1" applyFont="1" applyBorder="1" applyAlignment="1">
      <alignment vertical="top" wrapText="1"/>
    </xf>
    <xf numFmtId="0" fontId="4" fillId="8" borderId="5" xfId="0" applyNumberFormat="1" applyFont="1" applyFill="1" applyBorder="1" applyAlignment="1">
      <alignment horizontal="left" vertical="top"/>
    </xf>
    <xf numFmtId="0" fontId="4" fillId="0" borderId="5" xfId="0" applyNumberFormat="1" applyFont="1" applyBorder="1" applyAlignment="1">
      <alignment horizontal="right" vertical="top" wrapText="1"/>
    </xf>
    <xf numFmtId="0" fontId="50" fillId="0" borderId="5" xfId="0" applyNumberFormat="1" applyFont="1" applyFill="1" applyBorder="1" applyAlignment="1">
      <alignment horizontal="left" vertical="center"/>
    </xf>
    <xf numFmtId="0" fontId="6" fillId="0" borderId="12" xfId="0" applyNumberFormat="1" applyFont="1" applyFill="1" applyBorder="1" applyAlignment="1">
      <alignment vertical="top"/>
    </xf>
    <xf numFmtId="0" fontId="6" fillId="0" borderId="12" xfId="0" applyNumberFormat="1" applyFont="1" applyFill="1" applyBorder="1" applyAlignment="1">
      <alignment vertical="top" wrapText="1"/>
    </xf>
    <xf numFmtId="0" fontId="6" fillId="0" borderId="27" xfId="0" applyNumberFormat="1" applyFont="1" applyFill="1" applyBorder="1" applyAlignment="1">
      <alignment horizontal="left" vertical="center"/>
    </xf>
    <xf numFmtId="0" fontId="6" fillId="8" borderId="5" xfId="0" applyNumberFormat="1" applyFont="1" applyFill="1" applyBorder="1" applyAlignment="1">
      <alignment vertical="top" wrapText="1"/>
    </xf>
    <xf numFmtId="0" fontId="6" fillId="0" borderId="29" xfId="0" applyNumberFormat="1" applyFont="1" applyFill="1" applyBorder="1" applyAlignment="1">
      <alignment vertical="top"/>
    </xf>
    <xf numFmtId="0" fontId="6" fillId="0" borderId="12" xfId="0" applyNumberFormat="1" applyFont="1" applyFill="1" applyBorder="1" applyAlignment="1">
      <alignment horizontal="center" vertical="top"/>
    </xf>
    <xf numFmtId="0" fontId="6" fillId="0" borderId="12" xfId="0" applyNumberFormat="1" applyFont="1" applyFill="1" applyBorder="1" applyAlignment="1">
      <alignment horizontal="left" vertical="top"/>
    </xf>
    <xf numFmtId="0" fontId="6" fillId="9" borderId="12" xfId="0" applyNumberFormat="1" applyFont="1" applyFill="1" applyBorder="1" applyAlignment="1">
      <alignment vertical="top"/>
    </xf>
    <xf numFmtId="0" fontId="6" fillId="0" borderId="5" xfId="0" applyNumberFormat="1" applyFont="1" applyFill="1" applyBorder="1" applyAlignment="1">
      <alignment horizontal="left" vertical="top"/>
    </xf>
    <xf numFmtId="0" fontId="6" fillId="0" borderId="5" xfId="0" applyNumberFormat="1" applyFont="1" applyFill="1" applyBorder="1" applyAlignment="1">
      <alignment horizontal="center" vertical="top"/>
    </xf>
    <xf numFmtId="0" fontId="6" fillId="0" borderId="0" xfId="0" applyNumberFormat="1" applyFont="1" applyFill="1" applyBorder="1" applyAlignment="1">
      <alignment horizontal="center" vertical="top"/>
    </xf>
    <xf numFmtId="0" fontId="6" fillId="0" borderId="0" xfId="0" applyNumberFormat="1" applyFont="1" applyFill="1">
      <alignment vertical="center"/>
    </xf>
    <xf numFmtId="0" fontId="6" fillId="0" borderId="0" xfId="0" applyNumberFormat="1" applyFont="1" applyFill="1" applyAlignment="1">
      <alignment vertical="top"/>
    </xf>
    <xf numFmtId="0" fontId="4" fillId="0" borderId="0" xfId="0" applyNumberFormat="1" applyFont="1" applyAlignment="1">
      <alignment horizontal="right" vertical="top"/>
    </xf>
    <xf numFmtId="0" fontId="4" fillId="0" borderId="0" xfId="0" applyNumberFormat="1" applyFont="1" applyAlignment="1">
      <alignment horizontal="right" vertical="top" wrapText="1"/>
    </xf>
    <xf numFmtId="0" fontId="4" fillId="0" borderId="0" xfId="0" applyNumberFormat="1" applyFont="1" applyBorder="1" applyAlignment="1">
      <alignment horizontal="left" vertical="center"/>
    </xf>
    <xf numFmtId="0" fontId="4" fillId="0" borderId="0" xfId="0" applyNumberFormat="1" applyFont="1" applyAlignment="1">
      <alignment horizontal="center" vertical="top"/>
    </xf>
    <xf numFmtId="0" fontId="4" fillId="0" borderId="0" xfId="0" applyNumberFormat="1" applyFont="1" applyAlignment="1">
      <alignment horizontal="left" vertical="top"/>
    </xf>
    <xf numFmtId="0" fontId="4" fillId="8" borderId="22" xfId="0" applyNumberFormat="1" applyFont="1" applyFill="1" applyBorder="1" applyAlignment="1">
      <alignment horizontal="left" vertical="top"/>
    </xf>
    <xf numFmtId="0" fontId="4" fillId="0" borderId="0" xfId="0" applyNumberFormat="1" applyFont="1" applyFill="1" applyAlignment="1">
      <alignment horizontal="left" vertical="top"/>
    </xf>
    <xf numFmtId="0" fontId="4" fillId="0" borderId="0" xfId="0" applyNumberFormat="1" applyFont="1" applyFill="1" applyAlignment="1">
      <alignment horizontal="center" vertical="top"/>
    </xf>
    <xf numFmtId="0" fontId="4" fillId="0" borderId="0" xfId="4" applyNumberFormat="1" applyFont="1" applyAlignment="1">
      <alignment horizontal="left" vertical="top"/>
    </xf>
    <xf numFmtId="0" fontId="4" fillId="0" borderId="0" xfId="4" applyNumberFormat="1" applyFont="1" applyAlignment="1">
      <alignment horizontal="center" vertical="top"/>
    </xf>
    <xf numFmtId="0" fontId="4" fillId="0" borderId="0" xfId="0" applyNumberFormat="1" applyFont="1" applyFill="1" applyBorder="1" applyAlignment="1">
      <alignment horizontal="left" vertical="top"/>
    </xf>
    <xf numFmtId="0" fontId="69" fillId="8" borderId="5" xfId="4" applyNumberFormat="1" applyFont="1" applyFill="1" applyBorder="1" applyAlignment="1">
      <alignment vertical="top"/>
    </xf>
    <xf numFmtId="0" fontId="4" fillId="0" borderId="0" xfId="4" applyNumberFormat="1" applyFont="1" applyAlignment="1">
      <alignment horizontal="right" vertical="top"/>
    </xf>
    <xf numFmtId="0" fontId="60" fillId="0" borderId="0" xfId="0" applyNumberFormat="1" applyFont="1" applyAlignment="1">
      <alignment vertical="top"/>
    </xf>
    <xf numFmtId="0" fontId="4" fillId="20" borderId="5" xfId="0" applyNumberFormat="1" applyFont="1" applyFill="1" applyBorder="1" applyAlignment="1">
      <alignment horizontal="left" vertical="top"/>
    </xf>
    <xf numFmtId="0" fontId="60" fillId="0" borderId="5" xfId="4" applyNumberFormat="1" applyFont="1" applyBorder="1" applyAlignment="1">
      <alignment horizontal="center" vertical="top"/>
    </xf>
    <xf numFmtId="0" fontId="60" fillId="0" borderId="5" xfId="4" applyNumberFormat="1" applyFont="1" applyFill="1" applyBorder="1" applyAlignment="1">
      <alignment horizontal="center" vertical="top"/>
    </xf>
    <xf numFmtId="0" fontId="4" fillId="0" borderId="0" xfId="4" applyNumberFormat="1" applyFont="1" applyFill="1" applyAlignment="1">
      <alignment vertical="top"/>
    </xf>
    <xf numFmtId="0" fontId="60" fillId="0" borderId="0" xfId="0" applyNumberFormat="1" applyFont="1" applyAlignment="1">
      <alignment horizontal="right" vertical="top"/>
    </xf>
    <xf numFmtId="0" fontId="60" fillId="0" borderId="0" xfId="0" applyNumberFormat="1" applyFont="1" applyAlignment="1">
      <alignment horizontal="right" vertical="top" wrapText="1"/>
    </xf>
    <xf numFmtId="0" fontId="60" fillId="0" borderId="0" xfId="4" applyNumberFormat="1" applyFont="1" applyBorder="1" applyAlignment="1">
      <alignment horizontal="left" vertical="center"/>
    </xf>
    <xf numFmtId="0" fontId="6" fillId="8" borderId="5" xfId="0" applyNumberFormat="1" applyFont="1" applyFill="1" applyBorder="1" applyAlignment="1">
      <alignment vertical="top"/>
    </xf>
    <xf numFmtId="0" fontId="60" fillId="0" borderId="0" xfId="0" applyNumberFormat="1" applyFont="1" applyAlignment="1">
      <alignment horizontal="center" vertical="top"/>
    </xf>
    <xf numFmtId="0" fontId="60" fillId="0" borderId="0" xfId="4" applyNumberFormat="1" applyFont="1" applyAlignment="1">
      <alignment horizontal="left" vertical="top"/>
    </xf>
    <xf numFmtId="0" fontId="60" fillId="0" borderId="0" xfId="4" applyNumberFormat="1" applyFont="1" applyAlignment="1">
      <alignment vertical="top"/>
    </xf>
    <xf numFmtId="0" fontId="4" fillId="0" borderId="5" xfId="4" applyNumberFormat="1" applyFont="1" applyBorder="1" applyAlignment="1">
      <alignment horizontal="center" vertical="top"/>
    </xf>
    <xf numFmtId="0" fontId="60" fillId="0" borderId="0" xfId="4" applyNumberFormat="1" applyFont="1" applyFill="1" applyAlignment="1">
      <alignment vertical="top"/>
    </xf>
    <xf numFmtId="0" fontId="60" fillId="0" borderId="0" xfId="4" applyNumberFormat="1" applyFont="1">
      <alignment vertical="center"/>
    </xf>
    <xf numFmtId="0" fontId="4" fillId="0" borderId="0" xfId="4" applyNumberFormat="1" applyFont="1" applyAlignment="1">
      <alignment vertical="top"/>
    </xf>
    <xf numFmtId="0" fontId="4" fillId="0" borderId="0" xfId="4" applyNumberFormat="1" applyFont="1" applyAlignment="1">
      <alignment horizontal="right" vertical="top" wrapText="1"/>
    </xf>
    <xf numFmtId="0" fontId="4" fillId="0" borderId="0" xfId="4" applyNumberFormat="1" applyFont="1" applyBorder="1" applyAlignment="1">
      <alignment horizontal="left" vertical="center"/>
    </xf>
    <xf numFmtId="0" fontId="4" fillId="9" borderId="0" xfId="0" applyNumberFormat="1" applyFont="1" applyFill="1" applyAlignment="1">
      <alignment horizontal="center" vertical="top"/>
    </xf>
    <xf numFmtId="0" fontId="4" fillId="0" borderId="0" xfId="0" applyNumberFormat="1" applyFont="1" applyAlignment="1">
      <alignment horizontal="left" vertical="center"/>
    </xf>
    <xf numFmtId="0" fontId="4" fillId="0" borderId="0" xfId="0" applyNumberFormat="1" applyFont="1" applyFill="1" applyAlignment="1">
      <alignment vertical="top" wrapText="1"/>
    </xf>
    <xf numFmtId="0" fontId="4" fillId="0" borderId="0" xfId="4" applyNumberFormat="1" applyFont="1" applyFill="1" applyAlignment="1">
      <alignment horizontal="left" vertical="top"/>
    </xf>
    <xf numFmtId="0" fontId="9" fillId="0" borderId="0" xfId="2" applyNumberFormat="1" applyFill="1" applyAlignment="1">
      <alignment vertical="top"/>
    </xf>
    <xf numFmtId="0" fontId="5" fillId="0" borderId="0" xfId="0" applyNumberFormat="1" applyFont="1" applyAlignment="1">
      <alignment horizontal="right" vertical="top" wrapText="1"/>
    </xf>
    <xf numFmtId="0" fontId="5" fillId="0" borderId="0" xfId="4" applyNumberFormat="1" applyFont="1" applyFill="1" applyAlignment="1">
      <alignment vertical="top"/>
    </xf>
    <xf numFmtId="10" fontId="6" fillId="0" borderId="5" xfId="0" applyNumberFormat="1" applyFont="1" applyBorder="1" applyAlignment="1">
      <alignment vertical="center"/>
    </xf>
    <xf numFmtId="10" fontId="6" fillId="0" borderId="0" xfId="0" applyNumberFormat="1" applyFont="1" applyBorder="1" applyAlignment="1">
      <alignment vertical="center"/>
    </xf>
    <xf numFmtId="10" fontId="6" fillId="0" borderId="0" xfId="0" applyNumberFormat="1" applyFont="1" applyAlignment="1">
      <alignment vertical="center"/>
    </xf>
    <xf numFmtId="10" fontId="4" fillId="0" borderId="5" xfId="0" applyNumberFormat="1" applyFont="1" applyFill="1" applyBorder="1" applyAlignment="1">
      <alignment horizontal="center" vertical="center"/>
    </xf>
    <xf numFmtId="10" fontId="4" fillId="0" borderId="0" xfId="0" applyNumberFormat="1" applyFont="1" applyFill="1" applyAlignment="1">
      <alignment vertical="top"/>
    </xf>
    <xf numFmtId="10" fontId="6" fillId="0" borderId="5" xfId="0" applyNumberFormat="1" applyFont="1" applyFill="1" applyBorder="1" applyAlignment="1">
      <alignment horizontal="center" vertical="top"/>
    </xf>
    <xf numFmtId="10" fontId="4" fillId="20" borderId="5" xfId="0" applyNumberFormat="1" applyFont="1" applyFill="1" applyBorder="1" applyAlignment="1">
      <alignment vertical="top"/>
    </xf>
    <xf numFmtId="10" fontId="4" fillId="0" borderId="0" xfId="0" applyNumberFormat="1" applyFont="1" applyFill="1" applyBorder="1" applyAlignment="1">
      <alignment vertical="top"/>
    </xf>
    <xf numFmtId="0" fontId="6" fillId="5" borderId="5" xfId="0" applyFont="1" applyFill="1" applyBorder="1" applyAlignment="1">
      <alignment horizontal="center" vertical="center" wrapText="1"/>
    </xf>
    <xf numFmtId="176" fontId="0" fillId="0" borderId="5" xfId="0" applyNumberFormat="1" applyBorder="1">
      <alignment vertical="center"/>
    </xf>
    <xf numFmtId="10" fontId="0" fillId="0" borderId="5" xfId="0" applyNumberFormat="1" applyBorder="1">
      <alignment vertical="center"/>
    </xf>
    <xf numFmtId="0" fontId="0" fillId="0" borderId="5" xfId="0" applyNumberFormat="1" applyBorder="1">
      <alignment vertical="center"/>
    </xf>
    <xf numFmtId="0" fontId="0" fillId="0" borderId="5" xfId="0" applyNumberFormat="1" applyBorder="1" applyAlignment="1">
      <alignment horizontal="left" vertical="center"/>
    </xf>
    <xf numFmtId="10" fontId="91" fillId="52" borderId="61" xfId="6" applyNumberFormat="1" applyFont="1" applyFill="1" applyBorder="1" applyAlignment="1">
      <alignment horizontal="center" vertical="center" wrapText="1"/>
    </xf>
    <xf numFmtId="10" fontId="0" fillId="0" borderId="5" xfId="0" applyNumberFormat="1" applyFill="1" applyBorder="1">
      <alignment vertical="center"/>
    </xf>
    <xf numFmtId="10" fontId="0" fillId="0" borderId="12" xfId="0" applyNumberFormat="1" applyFill="1" applyBorder="1">
      <alignment vertical="center"/>
    </xf>
    <xf numFmtId="10" fontId="0" fillId="5" borderId="5" xfId="0" applyNumberFormat="1" applyFill="1" applyBorder="1">
      <alignment vertical="center"/>
    </xf>
    <xf numFmtId="0" fontId="11" fillId="0" borderId="11" xfId="0" applyFont="1" applyFill="1" applyBorder="1" applyAlignment="1">
      <alignment horizontal="center" vertical="center" wrapText="1"/>
    </xf>
    <xf numFmtId="0" fontId="6" fillId="5" borderId="5" xfId="0" applyNumberFormat="1" applyFont="1" applyFill="1" applyBorder="1" applyAlignment="1">
      <alignment horizontal="center" vertical="center"/>
    </xf>
    <xf numFmtId="0" fontId="0" fillId="5" borderId="5" xfId="0" applyNumberFormat="1" applyFill="1" applyBorder="1">
      <alignment vertical="center"/>
    </xf>
    <xf numFmtId="0" fontId="0" fillId="0" borderId="0" xfId="0" applyNumberFormat="1">
      <alignment vertical="center"/>
    </xf>
    <xf numFmtId="10" fontId="0" fillId="0" borderId="0" xfId="0" applyNumberFormat="1" applyAlignment="1">
      <alignment horizontal="center" vertical="center"/>
    </xf>
    <xf numFmtId="10" fontId="0" fillId="0" borderId="5" xfId="0" applyNumberFormat="1" applyBorder="1" applyAlignment="1">
      <alignment horizontal="center" vertical="center"/>
    </xf>
    <xf numFmtId="0" fontId="0" fillId="0" borderId="12" xfId="0" applyNumberFormat="1" applyBorder="1">
      <alignment vertical="center"/>
    </xf>
    <xf numFmtId="10" fontId="91" fillId="52" borderId="0" xfId="6" applyNumberFormat="1" applyFont="1" applyFill="1" applyBorder="1" applyAlignment="1">
      <alignment horizontal="center" vertical="center"/>
    </xf>
    <xf numFmtId="10" fontId="13" fillId="0" borderId="5" xfId="0" applyNumberFormat="1" applyFont="1" applyBorder="1" applyAlignment="1">
      <alignment horizontal="center" vertical="center"/>
    </xf>
    <xf numFmtId="10" fontId="0" fillId="0" borderId="31" xfId="0" applyNumberFormat="1" applyBorder="1">
      <alignment vertical="center"/>
    </xf>
    <xf numFmtId="0" fontId="0" fillId="0" borderId="0" xfId="0" pivotButton="1" applyNumberFormat="1">
      <alignment vertical="center"/>
    </xf>
    <xf numFmtId="0" fontId="0" fillId="0" borderId="31" xfId="0" applyNumberFormat="1" applyBorder="1" applyAlignment="1">
      <alignment horizontal="left" vertical="center"/>
    </xf>
    <xf numFmtId="181" fontId="68" fillId="2" borderId="26" xfId="0" applyNumberFormat="1" applyFont="1" applyFill="1" applyBorder="1" applyAlignment="1">
      <alignment horizontal="center" vertical="center"/>
    </xf>
    <xf numFmtId="181" fontId="0" fillId="0" borderId="10" xfId="0" applyNumberFormat="1" applyBorder="1">
      <alignment vertical="center"/>
    </xf>
    <xf numFmtId="181" fontId="0" fillId="8" borderId="10" xfId="0" applyNumberFormat="1" applyFill="1" applyBorder="1" applyAlignment="1">
      <alignment horizontal="center" vertical="center"/>
    </xf>
    <xf numFmtId="181" fontId="0" fillId="45" borderId="10" xfId="0" applyNumberFormat="1" applyFill="1" applyBorder="1" applyAlignment="1">
      <alignment horizontal="center" vertical="center"/>
    </xf>
    <xf numFmtId="181" fontId="0" fillId="14" borderId="10" xfId="0" applyNumberFormat="1" applyFill="1" applyBorder="1" applyAlignment="1">
      <alignment horizontal="center" vertical="center"/>
    </xf>
    <xf numFmtId="181" fontId="0" fillId="18" borderId="10" xfId="0" applyNumberFormat="1" applyFill="1" applyBorder="1" applyAlignment="1">
      <alignment horizontal="center" vertical="center"/>
    </xf>
    <xf numFmtId="181" fontId="0" fillId="38" borderId="46" xfId="0" applyNumberFormat="1" applyFill="1" applyBorder="1" applyAlignment="1">
      <alignment horizontal="center" vertical="center"/>
    </xf>
    <xf numFmtId="181" fontId="0" fillId="43" borderId="5" xfId="0" applyNumberFormat="1" applyFill="1" applyBorder="1" applyAlignment="1">
      <alignment horizontal="center" vertical="center"/>
    </xf>
    <xf numFmtId="181" fontId="0" fillId="0" borderId="5" xfId="0" applyNumberFormat="1" applyBorder="1" applyAlignment="1">
      <alignment horizontal="center" vertical="center"/>
    </xf>
    <xf numFmtId="181" fontId="0" fillId="45" borderId="5" xfId="0" applyNumberFormat="1" applyFill="1" applyBorder="1" applyAlignment="1">
      <alignment horizontal="center" vertical="center"/>
    </xf>
    <xf numFmtId="181" fontId="0" fillId="0" borderId="2" xfId="0" applyNumberFormat="1" applyBorder="1" applyAlignment="1">
      <alignment horizontal="center" vertical="center"/>
    </xf>
    <xf numFmtId="181" fontId="0" fillId="8" borderId="5" xfId="0" applyNumberFormat="1" applyFill="1" applyBorder="1" applyAlignment="1">
      <alignment horizontal="center" vertical="center"/>
    </xf>
    <xf numFmtId="181" fontId="0" fillId="14" borderId="5" xfId="0" applyNumberFormat="1" applyFill="1" applyBorder="1" applyAlignment="1">
      <alignment horizontal="center" vertical="center"/>
    </xf>
    <xf numFmtId="181" fontId="0" fillId="18" borderId="5" xfId="0" applyNumberFormat="1" applyFill="1" applyBorder="1" applyAlignment="1">
      <alignment horizontal="center" vertical="center"/>
    </xf>
    <xf numFmtId="181" fontId="0" fillId="38" borderId="2" xfId="0" applyNumberFormat="1" applyFill="1" applyBorder="1" applyAlignment="1">
      <alignment horizontal="center" vertical="center"/>
    </xf>
    <xf numFmtId="181" fontId="0" fillId="0" borderId="5" xfId="0" applyNumberFormat="1" applyFill="1" applyBorder="1">
      <alignment vertical="center"/>
    </xf>
    <xf numFmtId="181" fontId="0" fillId="0" borderId="5" xfId="0" applyNumberFormat="1" applyBorder="1">
      <alignment vertical="center"/>
    </xf>
    <xf numFmtId="181" fontId="0" fillId="43" borderId="32" xfId="0" applyNumberFormat="1" applyFill="1" applyBorder="1" applyAlignment="1">
      <alignment horizontal="center" vertical="center"/>
    </xf>
    <xf numFmtId="181" fontId="0" fillId="0" borderId="32" xfId="0" applyNumberFormat="1" applyBorder="1" applyAlignment="1">
      <alignment horizontal="center" vertical="center"/>
    </xf>
    <xf numFmtId="181" fontId="0" fillId="0" borderId="4" xfId="0" applyNumberFormat="1" applyBorder="1" applyAlignment="1">
      <alignment horizontal="center" vertical="center"/>
    </xf>
    <xf numFmtId="181" fontId="88" fillId="43" borderId="10" xfId="0" applyNumberFormat="1" applyFont="1" applyFill="1" applyBorder="1" applyAlignment="1">
      <alignment horizontal="center" vertical="center"/>
    </xf>
    <xf numFmtId="181" fontId="88" fillId="43" borderId="5" xfId="0" applyNumberFormat="1" applyFont="1" applyFill="1" applyBorder="1" applyAlignment="1">
      <alignment horizontal="center" vertical="center"/>
    </xf>
    <xf numFmtId="181" fontId="88" fillId="8" borderId="5" xfId="0" applyNumberFormat="1" applyFont="1" applyFill="1" applyBorder="1" applyAlignment="1">
      <alignment horizontal="center" vertical="center"/>
    </xf>
    <xf numFmtId="181" fontId="88" fillId="45" borderId="5" xfId="0" applyNumberFormat="1" applyFont="1" applyFill="1" applyBorder="1" applyAlignment="1">
      <alignment horizontal="center" vertical="center"/>
    </xf>
    <xf numFmtId="181" fontId="88" fillId="14" borderId="5" xfId="0" applyNumberFormat="1" applyFont="1" applyFill="1" applyBorder="1" applyAlignment="1">
      <alignment horizontal="center" vertical="center"/>
    </xf>
    <xf numFmtId="181" fontId="88" fillId="18" borderId="5" xfId="0" applyNumberFormat="1" applyFont="1" applyFill="1" applyBorder="1" applyAlignment="1">
      <alignment horizontal="center" vertical="center"/>
    </xf>
    <xf numFmtId="181" fontId="88" fillId="38" borderId="2" xfId="0" applyNumberFormat="1" applyFont="1" applyFill="1" applyBorder="1" applyAlignment="1">
      <alignment horizontal="center" vertical="center"/>
    </xf>
    <xf numFmtId="181" fontId="88" fillId="0" borderId="5" xfId="0" applyNumberFormat="1" applyFont="1" applyFill="1" applyBorder="1" applyAlignment="1">
      <alignment horizontal="center" vertical="center"/>
    </xf>
    <xf numFmtId="181" fontId="88" fillId="0" borderId="2" xfId="0" applyNumberFormat="1" applyFont="1" applyBorder="1" applyAlignment="1">
      <alignment horizontal="center" vertical="center"/>
    </xf>
    <xf numFmtId="181" fontId="88" fillId="0" borderId="5" xfId="0" applyNumberFormat="1" applyFont="1" applyBorder="1" applyAlignment="1">
      <alignment horizontal="center" vertical="center"/>
    </xf>
    <xf numFmtId="181" fontId="88" fillId="0" borderId="2" xfId="0" applyNumberFormat="1" applyFont="1" applyFill="1" applyBorder="1" applyAlignment="1">
      <alignment horizontal="center" vertical="center"/>
    </xf>
    <xf numFmtId="181" fontId="88" fillId="0" borderId="5" xfId="0" applyNumberFormat="1" applyFont="1" applyFill="1" applyBorder="1">
      <alignment vertical="center"/>
    </xf>
    <xf numFmtId="181" fontId="88" fillId="46" borderId="5" xfId="0" applyNumberFormat="1" applyFont="1" applyFill="1" applyBorder="1" applyAlignment="1">
      <alignment horizontal="center" vertical="center"/>
    </xf>
    <xf numFmtId="181" fontId="88" fillId="47" borderId="5" xfId="0" applyNumberFormat="1" applyFont="1" applyFill="1" applyBorder="1" applyAlignment="1">
      <alignment horizontal="center" vertical="center"/>
    </xf>
    <xf numFmtId="181" fontId="88" fillId="48" borderId="5" xfId="0" applyNumberFormat="1" applyFont="1" applyFill="1" applyBorder="1" applyAlignment="1">
      <alignment horizontal="center" vertical="center"/>
    </xf>
    <xf numFmtId="181" fontId="88" fillId="42" borderId="5" xfId="0" applyNumberFormat="1" applyFont="1" applyFill="1" applyBorder="1" applyAlignment="1">
      <alignment horizontal="center" vertical="center"/>
    </xf>
    <xf numFmtId="181" fontId="88" fillId="40" borderId="5" xfId="0" applyNumberFormat="1" applyFont="1" applyFill="1" applyBorder="1" applyAlignment="1">
      <alignment horizontal="center" vertical="center"/>
    </xf>
    <xf numFmtId="181" fontId="88" fillId="39" borderId="2" xfId="0" applyNumberFormat="1" applyFont="1" applyFill="1" applyBorder="1" applyAlignment="1">
      <alignment horizontal="center" vertical="center"/>
    </xf>
    <xf numFmtId="181" fontId="88" fillId="43" borderId="32" xfId="0" applyNumberFormat="1" applyFont="1" applyFill="1" applyBorder="1" applyAlignment="1">
      <alignment horizontal="center" vertical="center"/>
    </xf>
    <xf numFmtId="181" fontId="88" fillId="0" borderId="10" xfId="0" applyNumberFormat="1" applyFont="1" applyBorder="1" applyAlignment="1">
      <alignment horizontal="center" vertical="center"/>
    </xf>
    <xf numFmtId="181" fontId="88" fillId="0" borderId="46" xfId="0" applyNumberFormat="1" applyFont="1" applyBorder="1" applyAlignment="1">
      <alignment horizontal="center" vertical="center"/>
    </xf>
    <xf numFmtId="181" fontId="88" fillId="0" borderId="32" xfId="0" applyNumberFormat="1" applyFont="1" applyBorder="1" applyAlignment="1">
      <alignment horizontal="center" vertical="center"/>
    </xf>
    <xf numFmtId="181" fontId="88" fillId="0" borderId="4" xfId="0" applyNumberFormat="1" applyFont="1" applyBorder="1" applyAlignment="1">
      <alignment horizontal="center" vertical="center"/>
    </xf>
    <xf numFmtId="181" fontId="88" fillId="0" borderId="10" xfId="0" applyNumberFormat="1" applyFont="1" applyBorder="1">
      <alignment vertical="center"/>
    </xf>
    <xf numFmtId="181" fontId="88" fillId="8" borderId="10" xfId="0" applyNumberFormat="1" applyFont="1" applyFill="1" applyBorder="1" applyAlignment="1">
      <alignment horizontal="center" vertical="center"/>
    </xf>
    <xf numFmtId="181" fontId="88" fillId="45" borderId="10" xfId="0" applyNumberFormat="1" applyFont="1" applyFill="1" applyBorder="1" applyAlignment="1">
      <alignment horizontal="center" vertical="center"/>
    </xf>
    <xf numFmtId="181" fontId="88" fillId="14" borderId="10" xfId="0" applyNumberFormat="1" applyFont="1" applyFill="1" applyBorder="1" applyAlignment="1">
      <alignment horizontal="center" vertical="center"/>
    </xf>
    <xf numFmtId="181" fontId="88" fillId="18" borderId="10" xfId="0" applyNumberFormat="1" applyFont="1" applyFill="1" applyBorder="1" applyAlignment="1">
      <alignment horizontal="center" vertical="center"/>
    </xf>
    <xf numFmtId="181" fontId="88" fillId="38" borderId="46" xfId="0" applyNumberFormat="1" applyFont="1" applyFill="1" applyBorder="1" applyAlignment="1">
      <alignment horizontal="center" vertical="center"/>
    </xf>
    <xf numFmtId="181" fontId="88" fillId="0" borderId="5" xfId="0" applyNumberFormat="1" applyFont="1" applyBorder="1">
      <alignment vertical="center"/>
    </xf>
    <xf numFmtId="181" fontId="88" fillId="36" borderId="5" xfId="0" applyNumberFormat="1" applyFont="1" applyFill="1" applyBorder="1" applyAlignment="1">
      <alignment horizontal="center" vertical="center"/>
    </xf>
    <xf numFmtId="181" fontId="88" fillId="0" borderId="32" xfId="0" applyNumberFormat="1" applyFont="1" applyBorder="1">
      <alignment vertical="center"/>
    </xf>
    <xf numFmtId="181" fontId="88" fillId="8" borderId="32" xfId="0" applyNumberFormat="1" applyFont="1" applyFill="1" applyBorder="1" applyAlignment="1">
      <alignment horizontal="center" vertical="center"/>
    </xf>
    <xf numFmtId="181" fontId="88" fillId="0" borderId="51" xfId="0" applyNumberFormat="1" applyFont="1" applyBorder="1">
      <alignment vertical="center"/>
    </xf>
    <xf numFmtId="181" fontId="88" fillId="0" borderId="51" xfId="0" applyNumberFormat="1" applyFont="1" applyBorder="1" applyAlignment="1">
      <alignment horizontal="center" vertical="center"/>
    </xf>
    <xf numFmtId="181" fontId="88" fillId="45" borderId="51" xfId="0" applyNumberFormat="1" applyFont="1" applyFill="1" applyBorder="1" applyAlignment="1">
      <alignment horizontal="center" vertical="center"/>
    </xf>
    <xf numFmtId="181" fontId="88" fillId="14" borderId="51" xfId="0" applyNumberFormat="1" applyFont="1" applyFill="1" applyBorder="1" applyAlignment="1">
      <alignment horizontal="center" vertical="center"/>
    </xf>
    <xf numFmtId="181" fontId="88" fillId="0" borderId="52" xfId="0" applyNumberFormat="1" applyFont="1" applyBorder="1" applyAlignment="1">
      <alignment horizontal="center" vertical="center"/>
    </xf>
    <xf numFmtId="181" fontId="74" fillId="0" borderId="12" xfId="0" applyNumberFormat="1" applyFont="1" applyBorder="1">
      <alignment vertical="center"/>
    </xf>
    <xf numFmtId="181" fontId="0" fillId="0" borderId="0" xfId="0" applyNumberFormat="1">
      <alignment vertical="center"/>
    </xf>
    <xf numFmtId="181" fontId="0" fillId="0" borderId="0" xfId="0" applyNumberFormat="1" applyBorder="1">
      <alignment vertical="center"/>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xf>
    <xf numFmtId="10" fontId="4" fillId="3" borderId="5" xfId="0" applyNumberFormat="1" applyFont="1" applyFill="1" applyBorder="1" applyAlignment="1">
      <alignment horizontal="right" vertical="center"/>
    </xf>
    <xf numFmtId="0" fontId="20" fillId="0" borderId="5" xfId="0" applyFont="1" applyFill="1" applyBorder="1" applyAlignment="1">
      <alignment horizontal="left" vertical="center" wrapText="1"/>
    </xf>
    <xf numFmtId="0" fontId="20" fillId="0" borderId="5" xfId="0" applyNumberFormat="1" applyFont="1" applyBorder="1" applyAlignment="1">
      <alignment horizontal="left" vertical="center" wrapText="1"/>
    </xf>
    <xf numFmtId="0" fontId="31" fillId="0" borderId="5" xfId="0" applyFont="1" applyBorder="1" applyAlignment="1">
      <alignment horizontal="center" vertical="center" wrapText="1"/>
    </xf>
    <xf numFmtId="10" fontId="7" fillId="2" borderId="5" xfId="0" applyNumberFormat="1" applyFont="1" applyFill="1" applyBorder="1" applyAlignment="1">
      <alignment horizontal="center" vertical="center"/>
    </xf>
    <xf numFmtId="10" fontId="6" fillId="0" borderId="5" xfId="0" applyNumberFormat="1" applyFont="1" applyFill="1" applyBorder="1" applyAlignment="1">
      <alignment horizontal="center" vertical="center"/>
    </xf>
    <xf numFmtId="10" fontId="4" fillId="0" borderId="0" xfId="0" applyNumberFormat="1" applyFont="1" applyFill="1">
      <alignment vertical="center"/>
    </xf>
    <xf numFmtId="10" fontId="4" fillId="0" borderId="5" xfId="0" applyNumberFormat="1" applyFont="1" applyFill="1" applyBorder="1" applyAlignment="1">
      <alignment horizontal="left" vertical="top"/>
    </xf>
    <xf numFmtId="176" fontId="5" fillId="0" borderId="0" xfId="0" applyNumberFormat="1" applyFont="1" applyAlignment="1">
      <alignment horizontal="center" vertical="top"/>
    </xf>
    <xf numFmtId="176" fontId="7" fillId="2" borderId="5" xfId="0" applyNumberFormat="1" applyFont="1" applyFill="1" applyBorder="1" applyAlignment="1">
      <alignment horizontal="center" vertical="center" wrapText="1"/>
    </xf>
    <xf numFmtId="176" fontId="4" fillId="0" borderId="5" xfId="0" applyNumberFormat="1" applyFont="1" applyFill="1" applyBorder="1" applyAlignment="1">
      <alignment horizontal="center" vertical="top"/>
    </xf>
    <xf numFmtId="176" fontId="4" fillId="0" borderId="5" xfId="0" quotePrefix="1" applyNumberFormat="1" applyFont="1" applyFill="1" applyBorder="1" applyAlignment="1">
      <alignment horizontal="center" vertical="top"/>
    </xf>
    <xf numFmtId="176" fontId="4" fillId="6" borderId="5" xfId="0" applyNumberFormat="1" applyFont="1" applyFill="1" applyBorder="1" applyAlignment="1">
      <alignment horizontal="center" vertical="top"/>
    </xf>
    <xf numFmtId="176" fontId="4" fillId="0" borderId="5" xfId="4" applyNumberFormat="1" applyFont="1" applyFill="1" applyBorder="1" applyAlignment="1">
      <alignment horizontal="center" vertical="top"/>
    </xf>
    <xf numFmtId="176" fontId="6" fillId="0" borderId="5" xfId="0" applyNumberFormat="1" applyFont="1" applyFill="1" applyBorder="1" applyAlignment="1">
      <alignment horizontal="center" vertical="top"/>
    </xf>
    <xf numFmtId="176" fontId="4" fillId="0" borderId="0" xfId="0" applyNumberFormat="1" applyFont="1" applyAlignment="1">
      <alignment horizontal="center" vertical="top"/>
    </xf>
    <xf numFmtId="176" fontId="60" fillId="0" borderId="5" xfId="4" applyNumberFormat="1" applyFont="1" applyBorder="1" applyAlignment="1">
      <alignment horizontal="center" vertical="top"/>
    </xf>
    <xf numFmtId="176" fontId="4" fillId="0" borderId="5" xfId="4" applyNumberFormat="1" applyFont="1" applyBorder="1" applyAlignment="1">
      <alignment horizontal="center" vertical="top"/>
    </xf>
    <xf numFmtId="176" fontId="4" fillId="0" borderId="0" xfId="0" applyNumberFormat="1" applyFont="1">
      <alignment vertical="center"/>
    </xf>
    <xf numFmtId="176" fontId="4" fillId="0" borderId="0" xfId="0" applyNumberFormat="1" applyFont="1" applyAlignment="1">
      <alignment horizontal="center" vertical="center"/>
    </xf>
    <xf numFmtId="10" fontId="4" fillId="0" borderId="0" xfId="0" applyNumberFormat="1" applyFont="1" applyAlignment="1">
      <alignment vertical="center"/>
    </xf>
    <xf numFmtId="10" fontId="6" fillId="0" borderId="0" xfId="0" applyNumberFormat="1" applyFont="1" applyFill="1" applyBorder="1" applyAlignment="1">
      <alignment horizontal="center" vertical="center"/>
    </xf>
    <xf numFmtId="10" fontId="39" fillId="0" borderId="0" xfId="0" applyNumberFormat="1" applyFont="1" applyFill="1" applyBorder="1" applyAlignment="1">
      <alignment vertical="center"/>
    </xf>
    <xf numFmtId="10" fontId="4" fillId="20" borderId="5" xfId="0" applyNumberFormat="1" applyFont="1" applyFill="1" applyBorder="1" applyAlignment="1">
      <alignment horizontal="center" vertical="top"/>
    </xf>
    <xf numFmtId="10" fontId="4" fillId="0" borderId="0" xfId="0" applyNumberFormat="1" applyFont="1" applyFill="1" applyAlignment="1">
      <alignment vertical="center"/>
    </xf>
    <xf numFmtId="10" fontId="4" fillId="0" borderId="5" xfId="0" applyNumberFormat="1" applyFont="1" applyBorder="1" applyAlignment="1">
      <alignment horizontal="right" vertical="center"/>
    </xf>
    <xf numFmtId="10" fontId="4" fillId="0" borderId="5" xfId="3" applyNumberFormat="1" applyFont="1" applyFill="1" applyBorder="1" applyAlignment="1">
      <alignment horizontal="right" vertical="center"/>
    </xf>
    <xf numFmtId="176" fontId="4" fillId="0" borderId="5" xfId="0" applyNumberFormat="1" applyFont="1" applyFill="1" applyBorder="1" applyAlignment="1">
      <alignment horizontal="right" vertical="center"/>
    </xf>
    <xf numFmtId="10" fontId="4" fillId="0" borderId="21" xfId="0" applyNumberFormat="1" applyFont="1" applyFill="1" applyBorder="1" applyAlignment="1">
      <alignment horizontal="right" vertical="center"/>
    </xf>
    <xf numFmtId="176" fontId="4" fillId="0" borderId="5" xfId="0" applyNumberFormat="1" applyFont="1" applyFill="1" applyBorder="1" applyAlignment="1">
      <alignment horizontal="right" vertical="center" wrapText="1"/>
    </xf>
    <xf numFmtId="181" fontId="4" fillId="0" borderId="5" xfId="0" applyNumberFormat="1" applyFont="1" applyFill="1" applyBorder="1" applyAlignment="1">
      <alignment horizontal="right" vertical="center"/>
    </xf>
    <xf numFmtId="10" fontId="6" fillId="0" borderId="5" xfId="0" applyNumberFormat="1" applyFont="1" applyFill="1" applyBorder="1">
      <alignment vertical="center"/>
    </xf>
    <xf numFmtId="10" fontId="4" fillId="0" borderId="5" xfId="0" applyNumberFormat="1" applyFont="1" applyFill="1" applyBorder="1" applyAlignment="1">
      <alignment horizontal="left" vertical="center"/>
    </xf>
    <xf numFmtId="176" fontId="4" fillId="0" borderId="5" xfId="0" applyNumberFormat="1" applyFont="1" applyFill="1" applyBorder="1" applyAlignment="1">
      <alignment horizontal="left" vertical="center"/>
    </xf>
    <xf numFmtId="10" fontId="4" fillId="0" borderId="5" xfId="0" applyNumberFormat="1" applyFont="1" applyFill="1" applyBorder="1" applyAlignment="1">
      <alignment horizontal="center" vertical="top"/>
    </xf>
    <xf numFmtId="10" fontId="50" fillId="0" borderId="5" xfId="0" applyNumberFormat="1" applyFont="1" applyFill="1" applyBorder="1" applyAlignment="1">
      <alignment horizontal="left" vertical="center"/>
    </xf>
    <xf numFmtId="176" fontId="4" fillId="0" borderId="5" xfId="0" applyNumberFormat="1" applyFont="1" applyFill="1" applyBorder="1" applyAlignment="1">
      <alignment horizontal="left" vertical="top"/>
    </xf>
    <xf numFmtId="0" fontId="4" fillId="0" borderId="5" xfId="0" applyNumberFormat="1" applyFont="1" applyFill="1" applyBorder="1" applyAlignment="1">
      <alignment horizontal="left" vertical="top" wrapText="1"/>
    </xf>
    <xf numFmtId="176" fontId="4" fillId="0" borderId="5" xfId="0" applyNumberFormat="1" applyFont="1" applyFill="1" applyBorder="1" applyAlignment="1">
      <alignment horizontal="center" vertical="top"/>
    </xf>
    <xf numFmtId="10" fontId="4" fillId="0" borderId="5" xfId="0" applyNumberFormat="1" applyFont="1" applyBorder="1" applyAlignment="1">
      <alignment horizontal="left" vertical="top"/>
    </xf>
    <xf numFmtId="181" fontId="4" fillId="0" borderId="5" xfId="0" applyNumberFormat="1" applyFont="1" applyFill="1" applyBorder="1" applyAlignment="1">
      <alignment horizontal="center" vertical="top"/>
    </xf>
    <xf numFmtId="176" fontId="7" fillId="2" borderId="0" xfId="0" applyNumberFormat="1" applyFont="1" applyFill="1" applyBorder="1" applyAlignment="1">
      <alignment horizontal="center" vertical="center"/>
    </xf>
    <xf numFmtId="176" fontId="25" fillId="21" borderId="5" xfId="0" applyNumberFormat="1" applyFont="1" applyFill="1" applyBorder="1" applyAlignment="1">
      <alignment vertical="center"/>
    </xf>
    <xf numFmtId="176" fontId="6" fillId="0" borderId="0" xfId="0" applyNumberFormat="1" applyFont="1" applyAlignment="1">
      <alignment vertical="center"/>
    </xf>
    <xf numFmtId="10" fontId="4" fillId="0" borderId="5" xfId="0" applyNumberFormat="1" applyFont="1" applyFill="1" applyBorder="1" applyAlignment="1">
      <alignment vertical="center"/>
    </xf>
    <xf numFmtId="181" fontId="4" fillId="0" borderId="5" xfId="4" applyNumberFormat="1" applyFont="1" applyBorder="1" applyAlignment="1">
      <alignment horizontal="center" vertical="top"/>
    </xf>
    <xf numFmtId="181" fontId="4" fillId="20" borderId="5" xfId="0" applyNumberFormat="1" applyFont="1" applyFill="1" applyBorder="1" applyAlignment="1">
      <alignment vertical="top"/>
    </xf>
    <xf numFmtId="181" fontId="4" fillId="20" borderId="5" xfId="0" applyNumberFormat="1" applyFont="1" applyFill="1" applyBorder="1" applyAlignment="1">
      <alignment horizontal="left" vertical="top"/>
    </xf>
    <xf numFmtId="181" fontId="4" fillId="0" borderId="5" xfId="4" applyNumberFormat="1" applyFont="1" applyFill="1" applyBorder="1" applyAlignment="1">
      <alignment horizontal="center" vertical="top"/>
    </xf>
    <xf numFmtId="181" fontId="4" fillId="0" borderId="5" xfId="0" quotePrefix="1" applyNumberFormat="1" applyFont="1" applyFill="1" applyBorder="1" applyAlignment="1">
      <alignment horizontal="center" vertical="top"/>
    </xf>
    <xf numFmtId="181" fontId="4" fillId="6" borderId="5" xfId="0" applyNumberFormat="1" applyFont="1" applyFill="1" applyBorder="1" applyAlignment="1">
      <alignment horizontal="center" vertical="top"/>
    </xf>
    <xf numFmtId="181" fontId="5" fillId="0" borderId="0" xfId="0" applyNumberFormat="1" applyFont="1" applyFill="1" applyAlignment="1">
      <alignment horizontal="center" vertical="top"/>
    </xf>
    <xf numFmtId="181" fontId="7" fillId="2" borderId="5" xfId="0" applyNumberFormat="1" applyFont="1" applyFill="1" applyBorder="1" applyAlignment="1">
      <alignment horizontal="center" vertical="center" wrapText="1"/>
    </xf>
    <xf numFmtId="181" fontId="6" fillId="0" borderId="5" xfId="0" applyNumberFormat="1" applyFont="1" applyFill="1" applyBorder="1" applyAlignment="1">
      <alignment horizontal="center" vertical="top"/>
    </xf>
    <xf numFmtId="181" fontId="4" fillId="0" borderId="0" xfId="0" applyNumberFormat="1" applyFont="1" applyFill="1" applyAlignment="1">
      <alignment horizontal="center" vertical="top"/>
    </xf>
    <xf numFmtId="181" fontId="60" fillId="0" borderId="5" xfId="4" applyNumberFormat="1" applyFont="1" applyFill="1" applyBorder="1" applyAlignment="1">
      <alignment horizontal="center" vertical="top"/>
    </xf>
    <xf numFmtId="181" fontId="4" fillId="0" borderId="0" xfId="0" applyNumberFormat="1" applyFont="1">
      <alignment vertical="center"/>
    </xf>
    <xf numFmtId="181" fontId="5" fillId="0" borderId="0" xfId="0" applyNumberFormat="1" applyFont="1" applyAlignment="1">
      <alignment horizontal="center" vertical="top"/>
    </xf>
    <xf numFmtId="181" fontId="4" fillId="0" borderId="0" xfId="0" applyNumberFormat="1" applyFont="1" applyAlignment="1">
      <alignment horizontal="center" vertical="top"/>
    </xf>
    <xf numFmtId="181" fontId="60" fillId="0" borderId="5" xfId="4" applyNumberFormat="1" applyFont="1" applyBorder="1" applyAlignment="1">
      <alignment horizontal="center" vertical="top"/>
    </xf>
    <xf numFmtId="181" fontId="4" fillId="0" borderId="0" xfId="0" applyNumberFormat="1" applyFont="1" applyFill="1" applyBorder="1" applyAlignment="1">
      <alignment horizontal="center" vertical="top"/>
    </xf>
    <xf numFmtId="181" fontId="4" fillId="0" borderId="0" xfId="0" applyNumberFormat="1" applyFont="1" applyFill="1" applyAlignment="1">
      <alignment vertical="top"/>
    </xf>
    <xf numFmtId="181" fontId="5" fillId="0" borderId="0" xfId="0" applyNumberFormat="1" applyFont="1">
      <alignment vertical="center"/>
    </xf>
    <xf numFmtId="181" fontId="7" fillId="2" borderId="5" xfId="0" applyNumberFormat="1" applyFont="1" applyFill="1" applyBorder="1" applyAlignment="1">
      <alignment horizontal="center" vertical="center"/>
    </xf>
    <xf numFmtId="181" fontId="4" fillId="0" borderId="5" xfId="0" quotePrefix="1" applyNumberFormat="1" applyFont="1" applyFill="1" applyBorder="1" applyAlignment="1">
      <alignment horizontal="center" vertical="center"/>
    </xf>
    <xf numFmtId="181" fontId="4" fillId="0" borderId="5" xfId="0" applyNumberFormat="1" applyFont="1" applyFill="1" applyBorder="1">
      <alignment vertical="center"/>
    </xf>
    <xf numFmtId="181" fontId="4" fillId="0" borderId="5" xfId="0" applyNumberFormat="1" applyFont="1" applyFill="1" applyBorder="1" applyAlignment="1">
      <alignment horizontal="center" vertical="center"/>
    </xf>
    <xf numFmtId="181" fontId="6" fillId="0" borderId="5" xfId="0" applyNumberFormat="1" applyFont="1" applyFill="1" applyBorder="1" applyAlignment="1">
      <alignment horizontal="center" vertical="center"/>
    </xf>
    <xf numFmtId="181" fontId="4" fillId="0" borderId="0" xfId="0" applyNumberFormat="1" applyFont="1" applyFill="1">
      <alignment vertical="center"/>
    </xf>
    <xf numFmtId="181" fontId="51" fillId="0" borderId="5" xfId="4" applyNumberFormat="1" applyFont="1" applyBorder="1">
      <alignment vertical="center"/>
    </xf>
    <xf numFmtId="181" fontId="4" fillId="0" borderId="5" xfId="4" applyNumberFormat="1" applyFont="1" applyFill="1" applyBorder="1">
      <alignment vertical="center"/>
    </xf>
    <xf numFmtId="181" fontId="4" fillId="0" borderId="5" xfId="4" applyNumberFormat="1" applyFont="1" applyBorder="1">
      <alignment vertical="center"/>
    </xf>
    <xf numFmtId="181" fontId="5" fillId="0" borderId="0" xfId="0" applyNumberFormat="1" applyFont="1" applyFill="1">
      <alignment vertical="center"/>
    </xf>
    <xf numFmtId="181" fontId="4" fillId="0" borderId="0" xfId="0" applyNumberFormat="1" applyFont="1" applyAlignment="1">
      <alignment vertical="center"/>
    </xf>
    <xf numFmtId="181" fontId="46" fillId="0" borderId="5" xfId="0" applyNumberFormat="1" applyFont="1" applyFill="1" applyBorder="1" applyAlignment="1">
      <alignment horizontal="center" vertical="center"/>
    </xf>
    <xf numFmtId="181" fontId="4" fillId="0" borderId="5" xfId="4" applyNumberFormat="1" applyFont="1" applyFill="1" applyBorder="1" applyAlignment="1">
      <alignment horizontal="center" vertical="center"/>
    </xf>
    <xf numFmtId="181" fontId="6" fillId="0" borderId="0" xfId="0" applyNumberFormat="1" applyFont="1" applyFill="1" applyBorder="1" applyAlignment="1">
      <alignment horizontal="center" vertical="center"/>
    </xf>
    <xf numFmtId="181" fontId="39" fillId="0" borderId="0" xfId="0" applyNumberFormat="1" applyFont="1" applyFill="1" applyBorder="1" applyAlignment="1">
      <alignment vertical="center"/>
    </xf>
    <xf numFmtId="181" fontId="51" fillId="0" borderId="5" xfId="4" applyNumberFormat="1" applyFont="1" applyBorder="1" applyAlignment="1">
      <alignment vertical="center"/>
    </xf>
    <xf numFmtId="181" fontId="4" fillId="0" borderId="5" xfId="4" applyNumberFormat="1" applyFont="1" applyBorder="1" applyAlignment="1">
      <alignment vertical="center"/>
    </xf>
    <xf numFmtId="181" fontId="4" fillId="0" borderId="5" xfId="4" applyNumberFormat="1" applyFont="1" applyFill="1" applyBorder="1" applyAlignment="1">
      <alignment vertical="center"/>
    </xf>
    <xf numFmtId="181" fontId="4" fillId="0" borderId="0" xfId="0" applyNumberFormat="1" applyFont="1" applyFill="1" applyAlignment="1">
      <alignment vertical="center"/>
    </xf>
    <xf numFmtId="181" fontId="4" fillId="0" borderId="5" xfId="4" applyNumberFormat="1" applyFont="1" applyFill="1" applyBorder="1" applyAlignment="1">
      <alignment horizontal="right" vertical="center"/>
    </xf>
    <xf numFmtId="181" fontId="4" fillId="0" borderId="5" xfId="0" applyNumberFormat="1" applyFont="1" applyFill="1" applyBorder="1" applyAlignment="1">
      <alignment vertical="center"/>
    </xf>
    <xf numFmtId="176" fontId="4" fillId="0" borderId="5" xfId="4" applyNumberFormat="1" applyFont="1" applyBorder="1" applyAlignment="1">
      <alignment vertical="top"/>
    </xf>
    <xf numFmtId="176" fontId="4" fillId="20" borderId="5" xfId="0" applyNumberFormat="1" applyFont="1" applyFill="1" applyBorder="1" applyAlignment="1">
      <alignment vertical="top"/>
    </xf>
    <xf numFmtId="176" fontId="6" fillId="21" borderId="5" xfId="0" applyNumberFormat="1" applyFont="1" applyFill="1" applyBorder="1" applyAlignment="1">
      <alignment vertical="top"/>
    </xf>
    <xf numFmtId="176" fontId="6" fillId="21" borderId="21" xfId="0" applyNumberFormat="1" applyFont="1" applyFill="1" applyBorder="1" applyAlignment="1">
      <alignment vertical="top"/>
    </xf>
    <xf numFmtId="176" fontId="4" fillId="21" borderId="5" xfId="0" applyNumberFormat="1" applyFont="1" applyFill="1" applyBorder="1" applyAlignment="1">
      <alignment vertical="top"/>
    </xf>
    <xf numFmtId="176" fontId="25" fillId="21" borderId="5" xfId="4" applyNumberFormat="1" applyFont="1" applyFill="1" applyBorder="1">
      <alignment vertical="center"/>
    </xf>
    <xf numFmtId="176" fontId="4" fillId="21" borderId="5" xfId="4" applyNumberFormat="1" applyFont="1" applyFill="1" applyBorder="1">
      <alignment vertical="center"/>
    </xf>
    <xf numFmtId="176" fontId="6" fillId="21" borderId="5" xfId="0" applyNumberFormat="1" applyFont="1" applyFill="1" applyBorder="1">
      <alignment vertical="center"/>
    </xf>
    <xf numFmtId="176" fontId="6" fillId="21" borderId="5" xfId="4" applyNumberFormat="1" applyFont="1" applyFill="1" applyBorder="1">
      <alignment vertical="center"/>
    </xf>
    <xf numFmtId="0" fontId="0" fillId="0" borderId="0" xfId="0" applyAlignment="1">
      <alignment vertical="center" wrapText="1"/>
    </xf>
    <xf numFmtId="0" fontId="0" fillId="0" borderId="5" xfId="0" applyFill="1" applyBorder="1" applyAlignment="1">
      <alignment vertical="center" wrapText="1"/>
    </xf>
    <xf numFmtId="0" fontId="0" fillId="0" borderId="5" xfId="0" applyFill="1" applyBorder="1" applyAlignment="1">
      <alignment horizontal="center" vertical="center" wrapText="1"/>
    </xf>
    <xf numFmtId="0" fontId="19" fillId="57" borderId="5" xfId="0" applyFont="1" applyFill="1" applyBorder="1" applyAlignment="1">
      <alignment horizontal="center" vertical="center"/>
    </xf>
    <xf numFmtId="0" fontId="19" fillId="57" borderId="5" xfId="0" applyFont="1" applyFill="1" applyBorder="1" applyAlignment="1">
      <alignment vertical="center" wrapText="1"/>
    </xf>
    <xf numFmtId="0" fontId="19" fillId="57" borderId="5" xfId="0" applyFont="1" applyFill="1" applyBorder="1" applyAlignment="1">
      <alignment horizontal="left" vertical="center"/>
    </xf>
    <xf numFmtId="0" fontId="19" fillId="57" borderId="5" xfId="0" applyFont="1" applyFill="1"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0" fillId="0" borderId="5" xfId="0" applyBorder="1" applyAlignment="1">
      <alignment horizontal="left" vertical="center"/>
    </xf>
    <xf numFmtId="0" fontId="0" fillId="0" borderId="5" xfId="0" applyBorder="1" applyAlignment="1">
      <alignment horizontal="left" vertical="center" wrapText="1"/>
    </xf>
    <xf numFmtId="0" fontId="0" fillId="0" borderId="5" xfId="0" applyFont="1" applyBorder="1" applyAlignment="1">
      <alignment vertical="center" wrapText="1"/>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12" xfId="0" applyBorder="1" applyAlignment="1">
      <alignment vertical="center" wrapText="1"/>
    </xf>
    <xf numFmtId="0" fontId="0" fillId="0" borderId="12" xfId="0" applyBorder="1" applyAlignment="1">
      <alignment horizontal="center" vertical="center" wrapText="1"/>
    </xf>
    <xf numFmtId="0" fontId="19" fillId="0" borderId="5" xfId="0" applyFont="1" applyFill="1" applyBorder="1" applyAlignment="1">
      <alignment vertical="center" wrapText="1"/>
    </xf>
    <xf numFmtId="0" fontId="0" fillId="0" borderId="12" xfId="0" applyBorder="1">
      <alignment vertical="center"/>
    </xf>
    <xf numFmtId="0" fontId="0" fillId="0" borderId="12" xfId="0" applyBorder="1" applyAlignment="1">
      <alignment horizontal="left" vertical="center" wrapText="1"/>
    </xf>
    <xf numFmtId="0" fontId="0" fillId="0" borderId="12" xfId="0" applyBorder="1" applyAlignment="1">
      <alignment horizontal="center" vertical="center"/>
    </xf>
    <xf numFmtId="0" fontId="4" fillId="0" borderId="5" xfId="0" applyNumberFormat="1" applyFont="1" applyFill="1" applyBorder="1" applyAlignment="1">
      <alignment horizontal="left" vertical="top" wrapText="1"/>
    </xf>
    <xf numFmtId="0" fontId="4" fillId="0" borderId="5" xfId="0" applyFont="1" applyFill="1" applyBorder="1" applyAlignment="1">
      <alignment horizontal="center" vertical="center"/>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0" borderId="5" xfId="0" applyFont="1" applyFill="1" applyBorder="1" applyAlignment="1">
      <alignment horizontal="right" vertical="center"/>
    </xf>
    <xf numFmtId="0" fontId="20" fillId="0" borderId="5" xfId="0" applyFont="1" applyFill="1" applyBorder="1" applyAlignment="1">
      <alignment horizontal="left" vertical="center" wrapText="1"/>
    </xf>
    <xf numFmtId="181" fontId="4" fillId="21" borderId="5" xfId="0" applyNumberFormat="1" applyFont="1" applyFill="1" applyBorder="1" applyAlignment="1">
      <alignment horizontal="center" vertical="center"/>
    </xf>
    <xf numFmtId="43" fontId="6" fillId="0" borderId="0" xfId="0" applyNumberFormat="1" applyFont="1" applyAlignment="1">
      <alignment vertical="center"/>
    </xf>
    <xf numFmtId="176" fontId="25" fillId="21" borderId="22" xfId="0" applyNumberFormat="1" applyFont="1" applyFill="1" applyBorder="1" applyAlignment="1">
      <alignment vertical="center"/>
    </xf>
    <xf numFmtId="176" fontId="6" fillId="21" borderId="5" xfId="0" applyNumberFormat="1" applyFont="1" applyFill="1" applyBorder="1" applyAlignment="1">
      <alignment vertical="center"/>
    </xf>
    <xf numFmtId="181" fontId="4" fillId="21" borderId="12" xfId="0" applyNumberFormat="1" applyFont="1" applyFill="1" applyBorder="1" applyAlignment="1">
      <alignment horizontal="center" vertical="center"/>
    </xf>
    <xf numFmtId="43" fontId="4" fillId="21" borderId="5" xfId="0" applyNumberFormat="1" applyFont="1" applyFill="1" applyBorder="1">
      <alignment vertical="center"/>
    </xf>
    <xf numFmtId="43" fontId="5" fillId="58" borderId="5" xfId="4" applyFont="1" applyFill="1" applyBorder="1" applyAlignment="1">
      <alignment horizontal="center" vertical="center"/>
    </xf>
    <xf numFmtId="0" fontId="4" fillId="0" borderId="0" xfId="0" applyNumberFormat="1" applyFont="1" applyFill="1" applyBorder="1" applyAlignment="1">
      <alignment vertical="top"/>
    </xf>
    <xf numFmtId="0" fontId="4" fillId="0" borderId="0" xfId="0" applyNumberFormat="1" applyFont="1" applyBorder="1" applyAlignment="1">
      <alignment horizontal="left" vertical="top"/>
    </xf>
    <xf numFmtId="0" fontId="4" fillId="0" borderId="0" xfId="0" applyNumberFormat="1" applyFont="1" applyBorder="1" applyAlignment="1">
      <alignment horizontal="center" vertical="top"/>
    </xf>
    <xf numFmtId="0" fontId="93" fillId="0" borderId="0" xfId="0" applyFont="1" applyBorder="1">
      <alignment vertical="center"/>
    </xf>
    <xf numFmtId="181" fontId="4" fillId="0" borderId="0" xfId="0" applyNumberFormat="1" applyFont="1" applyBorder="1" applyAlignment="1">
      <alignment horizontal="center" vertical="top"/>
    </xf>
    <xf numFmtId="10" fontId="4" fillId="0" borderId="0" xfId="0" applyNumberFormat="1" applyFont="1" applyBorder="1" applyAlignment="1">
      <alignment vertical="top"/>
    </xf>
    <xf numFmtId="0" fontId="93" fillId="0" borderId="0" xfId="0" applyFont="1" applyBorder="1" applyAlignment="1">
      <alignment horizontal="right" vertical="center"/>
    </xf>
    <xf numFmtId="0" fontId="93" fillId="0" borderId="0" xfId="0" applyFont="1" applyFill="1" applyBorder="1" applyAlignment="1">
      <alignment horizontal="right" vertical="center"/>
    </xf>
    <xf numFmtId="182" fontId="4" fillId="0" borderId="21" xfId="0" applyNumberFormat="1" applyFont="1" applyFill="1" applyBorder="1" applyAlignment="1">
      <alignment horizontal="right" vertical="center"/>
    </xf>
    <xf numFmtId="0" fontId="6" fillId="0" borderId="5" xfId="0" applyNumberFormat="1" applyFont="1" applyFill="1" applyBorder="1" applyAlignment="1">
      <alignment horizontal="center" vertical="center"/>
    </xf>
    <xf numFmtId="0" fontId="52" fillId="0" borderId="5" xfId="4" applyNumberFormat="1" applyFont="1" applyFill="1" applyBorder="1" applyAlignment="1">
      <alignment horizontal="center" vertical="center"/>
    </xf>
    <xf numFmtId="0" fontId="4" fillId="0" borderId="5" xfId="4" applyNumberFormat="1" applyFont="1" applyFill="1" applyBorder="1" applyAlignment="1">
      <alignment horizontal="center" vertical="center"/>
    </xf>
    <xf numFmtId="176" fontId="52" fillId="0" borderId="5" xfId="4" applyNumberFormat="1" applyFont="1" applyFill="1" applyBorder="1" applyAlignment="1">
      <alignment horizontal="center" vertical="center"/>
    </xf>
    <xf numFmtId="0" fontId="46" fillId="0" borderId="5" xfId="4" applyNumberFormat="1" applyFont="1" applyFill="1" applyBorder="1" applyAlignment="1">
      <alignment horizontal="center" vertical="center"/>
    </xf>
    <xf numFmtId="0" fontId="4" fillId="20" borderId="5" xfId="0" applyNumberFormat="1" applyFont="1" applyFill="1" applyBorder="1" applyAlignment="1">
      <alignment horizontal="center" vertical="center"/>
    </xf>
    <xf numFmtId="0" fontId="4" fillId="21" borderId="5" xfId="4" applyNumberFormat="1" applyFont="1" applyFill="1" applyBorder="1" applyAlignment="1">
      <alignment horizontal="center" vertical="center"/>
    </xf>
    <xf numFmtId="0" fontId="4" fillId="0" borderId="0" xfId="4" applyNumberFormat="1" applyFont="1" applyAlignment="1">
      <alignment horizontal="center" vertical="center"/>
    </xf>
    <xf numFmtId="0" fontId="60" fillId="0" borderId="0" xfId="4" applyNumberFormat="1" applyFont="1" applyAlignment="1">
      <alignment horizontal="center" vertical="center"/>
    </xf>
    <xf numFmtId="0" fontId="4" fillId="0" borderId="0" xfId="0" applyNumberFormat="1" applyFont="1" applyAlignment="1">
      <alignment horizontal="center" vertical="center"/>
    </xf>
    <xf numFmtId="0" fontId="6" fillId="23" borderId="5" xfId="0" applyNumberFormat="1" applyFont="1" applyFill="1" applyBorder="1" applyAlignment="1">
      <alignment vertical="top" wrapText="1"/>
    </xf>
    <xf numFmtId="0" fontId="7" fillId="2" borderId="0" xfId="4" applyNumberFormat="1" applyFont="1" applyFill="1" applyAlignment="1">
      <alignment horizontal="center" vertical="center"/>
    </xf>
    <xf numFmtId="0" fontId="4" fillId="14" borderId="5" xfId="4" applyNumberFormat="1" applyFont="1" applyFill="1" applyBorder="1" applyAlignment="1">
      <alignment horizontal="center" vertical="center"/>
    </xf>
    <xf numFmtId="176" fontId="4" fillId="21" borderId="5" xfId="0" applyNumberFormat="1" applyFont="1" applyFill="1" applyBorder="1" applyAlignment="1">
      <alignment horizontal="center" vertical="center"/>
    </xf>
    <xf numFmtId="0" fontId="6" fillId="23" borderId="5" xfId="0" applyFont="1" applyFill="1" applyBorder="1">
      <alignment vertical="center"/>
    </xf>
    <xf numFmtId="0" fontId="6" fillId="18" borderId="5" xfId="0" applyFont="1" applyFill="1" applyBorder="1">
      <alignment vertical="center"/>
    </xf>
    <xf numFmtId="9" fontId="4" fillId="0" borderId="5" xfId="3" applyFont="1" applyBorder="1" applyAlignment="1">
      <alignment horizontal="center" vertical="center"/>
    </xf>
    <xf numFmtId="43" fontId="4" fillId="0" borderId="5" xfId="4" applyFont="1" applyBorder="1" applyAlignment="1">
      <alignment horizontal="center" vertical="center" wrapText="1"/>
    </xf>
    <xf numFmtId="0" fontId="4" fillId="21" borderId="5" xfId="0" quotePrefix="1" applyFont="1" applyFill="1" applyBorder="1" applyAlignment="1">
      <alignment horizontal="center" vertical="center"/>
    </xf>
    <xf numFmtId="0" fontId="46" fillId="21" borderId="5" xfId="0" applyFont="1" applyFill="1" applyBorder="1" applyAlignment="1">
      <alignment horizontal="center" vertical="center"/>
    </xf>
    <xf numFmtId="0" fontId="6" fillId="14" borderId="5" xfId="0" applyFont="1" applyFill="1" applyBorder="1" applyAlignment="1">
      <alignment vertical="center"/>
    </xf>
    <xf numFmtId="10" fontId="4" fillId="0" borderId="5" xfId="4" applyNumberFormat="1" applyFont="1" applyBorder="1" applyAlignment="1">
      <alignment horizontal="center" vertical="center"/>
    </xf>
    <xf numFmtId="183" fontId="4" fillId="0" borderId="5" xfId="4" applyNumberFormat="1" applyFont="1" applyBorder="1" applyAlignment="1">
      <alignment horizontal="center" vertical="center"/>
    </xf>
    <xf numFmtId="183" fontId="46" fillId="0" borderId="5" xfId="4" applyNumberFormat="1" applyFont="1" applyBorder="1" applyAlignment="1">
      <alignment horizontal="center" vertical="center"/>
    </xf>
    <xf numFmtId="0" fontId="6" fillId="18" borderId="5" xfId="0" applyFont="1" applyFill="1" applyBorder="1" applyAlignment="1">
      <alignment vertical="center"/>
    </xf>
    <xf numFmtId="183" fontId="4" fillId="0" borderId="5" xfId="4" applyNumberFormat="1" applyFont="1" applyBorder="1" applyAlignment="1">
      <alignment vertical="center"/>
    </xf>
    <xf numFmtId="0" fontId="25" fillId="18" borderId="5" xfId="0" applyFont="1" applyFill="1" applyBorder="1">
      <alignment vertical="center"/>
    </xf>
    <xf numFmtId="0" fontId="25" fillId="18" borderId="5" xfId="0" applyFont="1" applyFill="1" applyBorder="1" applyAlignment="1">
      <alignment horizontal="left" vertical="center" indent="1"/>
    </xf>
    <xf numFmtId="176" fontId="52" fillId="0" borderId="5" xfId="0" applyNumberFormat="1" applyFont="1" applyFill="1" applyBorder="1" applyAlignment="1">
      <alignment horizontal="center" vertical="center"/>
    </xf>
    <xf numFmtId="0" fontId="52" fillId="0" borderId="5" xfId="0" applyFont="1" applyFill="1" applyBorder="1" applyAlignment="1">
      <alignment horizontal="center" vertical="center"/>
    </xf>
    <xf numFmtId="43" fontId="25" fillId="21" borderId="0" xfId="4" applyFont="1" applyFill="1" applyBorder="1" applyAlignment="1">
      <alignment horizontal="center" vertical="center"/>
    </xf>
    <xf numFmtId="181" fontId="52" fillId="0" borderId="5" xfId="0" applyNumberFormat="1" applyFont="1" applyFill="1" applyBorder="1" applyAlignment="1">
      <alignment horizontal="center" vertical="center"/>
    </xf>
    <xf numFmtId="0" fontId="6" fillId="14" borderId="5" xfId="0" applyNumberFormat="1" applyFont="1" applyFill="1" applyBorder="1" applyAlignment="1">
      <alignment horizontal="left" vertical="center"/>
    </xf>
    <xf numFmtId="0" fontId="6" fillId="18" borderId="5" xfId="0" applyNumberFormat="1" applyFont="1" applyFill="1" applyBorder="1" applyAlignment="1">
      <alignment vertical="top" wrapText="1"/>
    </xf>
    <xf numFmtId="0" fontId="6" fillId="18" borderId="5" xfId="0" applyFont="1" applyFill="1" applyBorder="1" applyAlignment="1">
      <alignment horizontal="left" vertical="center"/>
    </xf>
    <xf numFmtId="0" fontId="94" fillId="0" borderId="0" xfId="0" applyFont="1" applyFill="1" applyBorder="1" applyAlignment="1">
      <alignment horizontal="center" vertical="center"/>
    </xf>
    <xf numFmtId="0" fontId="95" fillId="0" borderId="0" xfId="0" applyFont="1" applyFill="1" applyBorder="1" applyAlignment="1">
      <alignment horizontal="right" vertical="center"/>
    </xf>
    <xf numFmtId="0" fontId="6" fillId="14" borderId="5" xfId="0" applyNumberFormat="1" applyFont="1" applyFill="1" applyBorder="1" applyAlignment="1">
      <alignment vertical="top" wrapText="1"/>
    </xf>
    <xf numFmtId="0" fontId="74" fillId="0" borderId="5" xfId="0" applyFont="1" applyFill="1" applyBorder="1" applyAlignment="1">
      <alignment horizontal="center" vertical="center"/>
    </xf>
    <xf numFmtId="0" fontId="74" fillId="0" borderId="5" xfId="0" applyFont="1" applyFill="1" applyBorder="1" applyAlignment="1">
      <alignment horizontal="center" vertical="center" wrapText="1"/>
    </xf>
    <xf numFmtId="0" fontId="19" fillId="0" borderId="5"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0" xfId="0" applyFont="1">
      <alignment vertical="center"/>
    </xf>
    <xf numFmtId="0" fontId="19" fillId="0" borderId="0" xfId="0" applyFont="1" applyAlignment="1">
      <alignment vertical="center" wrapText="1"/>
    </xf>
    <xf numFmtId="0" fontId="19" fillId="0" borderId="26" xfId="0" applyFont="1" applyFill="1" applyBorder="1" applyAlignment="1">
      <alignment horizontal="center" vertical="center" wrapText="1"/>
    </xf>
    <xf numFmtId="0" fontId="19" fillId="0" borderId="12" xfId="0" applyFont="1" applyFill="1" applyBorder="1" applyAlignment="1">
      <alignment horizontal="center" vertical="center"/>
    </xf>
    <xf numFmtId="0" fontId="0" fillId="0" borderId="5" xfId="0" applyFill="1" applyBorder="1" applyAlignment="1">
      <alignment vertical="center"/>
    </xf>
    <xf numFmtId="0" fontId="88" fillId="57" borderId="5" xfId="0" applyFont="1" applyFill="1" applyBorder="1" applyAlignment="1">
      <alignment horizontal="center" vertical="center" wrapText="1"/>
    </xf>
    <xf numFmtId="0" fontId="0" fillId="0" borderId="5" xfId="0" applyFill="1" applyBorder="1" applyAlignment="1" applyProtection="1">
      <alignment horizontal="center" vertical="center"/>
      <protection locked="0"/>
    </xf>
    <xf numFmtId="0" fontId="0" fillId="57" borderId="5" xfId="0" applyFill="1" applyBorder="1" applyAlignment="1">
      <alignment horizontal="center" vertical="center"/>
    </xf>
    <xf numFmtId="0" fontId="19" fillId="0" borderId="12" xfId="0" applyFont="1" applyFill="1" applyBorder="1" applyAlignment="1">
      <alignment vertical="center" wrapText="1"/>
    </xf>
    <xf numFmtId="0" fontId="19" fillId="0" borderId="5" xfId="0" applyFont="1" applyFill="1" applyBorder="1" applyAlignment="1">
      <alignment horizontal="left" vertical="center"/>
    </xf>
    <xf numFmtId="0" fontId="0" fillId="57" borderId="5" xfId="0" applyFill="1" applyBorder="1" applyAlignment="1">
      <alignment horizontal="left" vertical="center" wrapText="1"/>
    </xf>
    <xf numFmtId="0" fontId="0" fillId="0" borderId="0" xfId="0" applyAlignment="1">
      <alignment horizontal="left" vertical="center" wrapText="1"/>
    </xf>
    <xf numFmtId="0" fontId="6" fillId="0" borderId="5" xfId="0" applyFont="1" applyFill="1" applyBorder="1" applyAlignment="1">
      <alignment horizontal="left" vertical="center"/>
    </xf>
    <xf numFmtId="0" fontId="4" fillId="9" borderId="5" xfId="0" applyFont="1" applyFill="1" applyBorder="1" applyAlignment="1">
      <alignment horizontal="center" vertical="center"/>
    </xf>
    <xf numFmtId="0" fontId="4" fillId="0" borderId="5" xfId="0" applyFont="1" applyFill="1" applyBorder="1" applyAlignment="1">
      <alignment horizontal="center" vertical="center"/>
    </xf>
    <xf numFmtId="181" fontId="4" fillId="0" borderId="5" xfId="0" applyNumberFormat="1" applyFont="1" applyFill="1" applyBorder="1" applyAlignment="1">
      <alignment horizontal="center" vertical="center"/>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0" borderId="5" xfId="0" applyFont="1" applyFill="1" applyBorder="1" applyAlignment="1">
      <alignment horizontal="right" vertical="center"/>
    </xf>
    <xf numFmtId="0" fontId="70" fillId="2" borderId="21" xfId="0" applyFont="1" applyFill="1" applyBorder="1" applyAlignment="1">
      <alignment horizontal="center" vertical="center"/>
    </xf>
    <xf numFmtId="181" fontId="4" fillId="0" borderId="5" xfId="0" applyNumberFormat="1" applyFont="1" applyFill="1" applyBorder="1" applyAlignment="1">
      <alignment horizontal="right" vertical="center"/>
    </xf>
    <xf numFmtId="0" fontId="4" fillId="0" borderId="5" xfId="0" applyFont="1" applyFill="1" applyBorder="1" applyAlignment="1">
      <alignment horizontal="left" vertical="center"/>
    </xf>
    <xf numFmtId="10" fontId="4" fillId="3" borderId="5" xfId="0" applyNumberFormat="1" applyFont="1" applyFill="1" applyBorder="1" applyAlignment="1">
      <alignment horizontal="right" vertical="center"/>
    </xf>
    <xf numFmtId="0" fontId="22" fillId="7" borderId="5" xfId="6" applyFont="1" applyFill="1" applyBorder="1" applyAlignment="1">
      <alignment horizontal="center" vertical="center" wrapText="1"/>
    </xf>
    <xf numFmtId="0" fontId="20" fillId="0" borderId="5" xfId="0" applyFont="1" applyBorder="1" applyAlignment="1">
      <alignment horizontal="center" vertical="center" wrapText="1"/>
    </xf>
    <xf numFmtId="176" fontId="0" fillId="55" borderId="12" xfId="0" applyNumberFormat="1" applyFill="1" applyBorder="1" applyAlignment="1">
      <alignment horizontal="center" vertical="center"/>
    </xf>
    <xf numFmtId="0" fontId="0" fillId="21" borderId="5" xfId="0" applyFill="1" applyBorder="1" applyAlignment="1">
      <alignment horizontal="center" vertical="center"/>
    </xf>
    <xf numFmtId="0" fontId="2" fillId="0" borderId="5" xfId="0" applyFont="1" applyFill="1" applyBorder="1" applyAlignment="1">
      <alignment horizontal="left" vertical="center" wrapText="1"/>
    </xf>
    <xf numFmtId="10" fontId="4" fillId="3" borderId="5" xfId="0" applyNumberFormat="1" applyFont="1" applyFill="1" applyBorder="1" applyAlignment="1">
      <alignment horizontal="right" vertical="center"/>
    </xf>
    <xf numFmtId="176" fontId="0" fillId="9" borderId="5" xfId="0" applyNumberFormat="1" applyFill="1" applyBorder="1" applyAlignment="1">
      <alignment horizontal="center" vertical="center"/>
    </xf>
    <xf numFmtId="0" fontId="6" fillId="0" borderId="0" xfId="0" applyFont="1" applyBorder="1">
      <alignment vertical="center"/>
    </xf>
    <xf numFmtId="0" fontId="4" fillId="0" borderId="0" xfId="0" applyFont="1" applyFill="1" applyBorder="1" applyAlignment="1">
      <alignment horizontal="right" vertical="center"/>
    </xf>
    <xf numFmtId="10" fontId="4" fillId="0" borderId="0" xfId="0" applyNumberFormat="1" applyFont="1" applyFill="1" applyBorder="1" applyAlignment="1">
      <alignment horizontal="right" vertical="center"/>
    </xf>
    <xf numFmtId="43" fontId="4" fillId="0" borderId="31" xfId="4" applyFont="1" applyFill="1" applyBorder="1" applyAlignment="1">
      <alignment vertical="top"/>
    </xf>
    <xf numFmtId="0" fontId="46" fillId="0" borderId="31" xfId="0" applyFont="1" applyBorder="1">
      <alignment vertical="center"/>
    </xf>
    <xf numFmtId="0" fontId="4" fillId="8" borderId="31" xfId="0" applyFont="1" applyFill="1" applyBorder="1">
      <alignment vertical="center"/>
    </xf>
    <xf numFmtId="0" fontId="4" fillId="0" borderId="21" xfId="0" applyFont="1" applyBorder="1">
      <alignment vertical="center"/>
    </xf>
    <xf numFmtId="0" fontId="4" fillId="0" borderId="31" xfId="0" applyFont="1" applyBorder="1">
      <alignment vertical="center"/>
    </xf>
    <xf numFmtId="0" fontId="63" fillId="0" borderId="5" xfId="0" applyFont="1" applyBorder="1">
      <alignment vertical="center"/>
    </xf>
    <xf numFmtId="176" fontId="4" fillId="0" borderId="5" xfId="0" applyNumberFormat="1" applyFont="1" applyFill="1" applyBorder="1" applyAlignment="1">
      <alignment horizontal="center" vertical="center"/>
    </xf>
    <xf numFmtId="181" fontId="4" fillId="19" borderId="5" xfId="4" applyNumberFormat="1" applyFont="1" applyFill="1" applyBorder="1" applyAlignment="1">
      <alignment horizontal="center" vertical="center"/>
    </xf>
    <xf numFmtId="181" fontId="46" fillId="0" borderId="5" xfId="4" applyNumberFormat="1" applyFont="1" applyFill="1" applyBorder="1" applyAlignment="1">
      <alignment horizontal="center" vertical="center"/>
    </xf>
    <xf numFmtId="181" fontId="46" fillId="19" borderId="5" xfId="4" applyNumberFormat="1" applyFont="1" applyFill="1" applyBorder="1" applyAlignment="1">
      <alignment horizontal="center" vertical="center"/>
    </xf>
    <xf numFmtId="181" fontId="6" fillId="21" borderId="31" xfId="0" applyNumberFormat="1" applyFont="1" applyFill="1" applyBorder="1" applyAlignment="1">
      <alignment horizontal="center" vertical="center"/>
    </xf>
    <xf numFmtId="181" fontId="6" fillId="21" borderId="5" xfId="4" applyNumberFormat="1" applyFont="1" applyFill="1" applyBorder="1" applyAlignment="1">
      <alignment horizontal="center" vertical="center"/>
    </xf>
    <xf numFmtId="181" fontId="6" fillId="21" borderId="5" xfId="0" applyNumberFormat="1" applyFont="1" applyFill="1" applyBorder="1" applyAlignment="1">
      <alignment horizontal="center" vertical="center"/>
    </xf>
    <xf numFmtId="183" fontId="0" fillId="0" borderId="5" xfId="0" applyNumberFormat="1" applyFill="1" applyBorder="1" applyAlignment="1">
      <alignment horizontal="center" vertical="center"/>
    </xf>
    <xf numFmtId="176" fontId="75" fillId="0" borderId="5" xfId="0" applyNumberFormat="1" applyFont="1" applyFill="1" applyBorder="1" applyAlignment="1">
      <alignment vertical="center"/>
    </xf>
    <xf numFmtId="0" fontId="6" fillId="9" borderId="12" xfId="0" quotePrefix="1" applyFont="1" applyFill="1" applyBorder="1" applyAlignment="1">
      <alignment horizontal="center" vertical="center"/>
    </xf>
    <xf numFmtId="43" fontId="46" fillId="21" borderId="12" xfId="4" applyFont="1" applyFill="1" applyBorder="1">
      <alignment vertical="center"/>
    </xf>
    <xf numFmtId="0" fontId="6" fillId="21" borderId="12" xfId="0" applyFont="1" applyFill="1" applyBorder="1">
      <alignment vertical="center"/>
    </xf>
    <xf numFmtId="181" fontId="4" fillId="0" borderId="31" xfId="0" applyNumberFormat="1" applyFont="1" applyFill="1" applyBorder="1" applyAlignment="1">
      <alignment horizontal="right" vertical="center"/>
    </xf>
    <xf numFmtId="181" fontId="70" fillId="2" borderId="5" xfId="0" applyNumberFormat="1" applyFont="1" applyFill="1" applyBorder="1" applyAlignment="1">
      <alignment horizontal="center" vertical="center"/>
    </xf>
    <xf numFmtId="10" fontId="70" fillId="2" borderId="5" xfId="0" applyNumberFormat="1" applyFont="1" applyFill="1" applyBorder="1" applyAlignment="1">
      <alignment horizontal="center" vertical="center"/>
    </xf>
    <xf numFmtId="176" fontId="4" fillId="1" borderId="5" xfId="0" applyNumberFormat="1" applyFont="1" applyFill="1" applyBorder="1" applyAlignment="1">
      <alignment horizontal="center" vertical="center"/>
    </xf>
    <xf numFmtId="0" fontId="68" fillId="2" borderId="22" xfId="0" applyNumberFormat="1" applyFont="1" applyFill="1" applyBorder="1" applyAlignment="1">
      <alignment horizontal="center" vertical="center"/>
    </xf>
    <xf numFmtId="0" fontId="46" fillId="0" borderId="5" xfId="4" applyNumberFormat="1" applyFont="1" applyFill="1" applyBorder="1" applyAlignment="1">
      <alignment horizontal="right" vertical="center"/>
    </xf>
    <xf numFmtId="176" fontId="44" fillId="0" borderId="0" xfId="0" applyNumberFormat="1" applyFont="1" applyBorder="1">
      <alignment vertical="center"/>
    </xf>
    <xf numFmtId="0" fontId="4" fillId="0" borderId="5" xfId="4" applyNumberFormat="1" applyFont="1" applyFill="1" applyBorder="1" applyAlignment="1">
      <alignment vertical="center"/>
    </xf>
    <xf numFmtId="0" fontId="20" fillId="0" borderId="5" xfId="0" applyNumberFormat="1" applyFont="1" applyFill="1" applyBorder="1" applyAlignment="1">
      <alignment horizontal="left" vertical="top" wrapText="1"/>
    </xf>
    <xf numFmtId="0" fontId="4" fillId="0" borderId="5" xfId="0" applyFont="1" applyFill="1" applyBorder="1" applyAlignment="1">
      <alignment horizontal="right" vertical="center"/>
    </xf>
    <xf numFmtId="10" fontId="4" fillId="0" borderId="5" xfId="4" applyNumberFormat="1" applyFont="1" applyFill="1" applyBorder="1" applyAlignment="1">
      <alignment horizontal="right" vertical="center"/>
    </xf>
    <xf numFmtId="0" fontId="4" fillId="0" borderId="5" xfId="0" applyFont="1" applyFill="1" applyBorder="1" applyAlignment="1">
      <alignment horizontal="right" vertical="center"/>
    </xf>
    <xf numFmtId="0" fontId="4" fillId="0" borderId="5" xfId="0" applyNumberFormat="1" applyFont="1" applyFill="1" applyBorder="1" applyAlignment="1">
      <alignment horizontal="left" vertical="top" wrapText="1"/>
    </xf>
    <xf numFmtId="0" fontId="4" fillId="0" borderId="5" xfId="0" applyNumberFormat="1" applyFont="1" applyFill="1" applyBorder="1" applyAlignment="1">
      <alignment horizontal="left" vertical="top" wrapText="1"/>
    </xf>
    <xf numFmtId="176" fontId="4" fillId="0" borderId="5" xfId="0" applyNumberFormat="1" applyFont="1" applyBorder="1" applyAlignment="1">
      <alignment horizontal="left" vertical="top"/>
    </xf>
    <xf numFmtId="0" fontId="4" fillId="0" borderId="5" xfId="0" applyNumberFormat="1" applyFont="1" applyFill="1" applyBorder="1" applyAlignment="1">
      <alignment horizontal="left" vertical="top" wrapText="1"/>
    </xf>
    <xf numFmtId="181" fontId="88" fillId="43" borderId="5" xfId="0" applyNumberFormat="1" applyFont="1" applyFill="1" applyBorder="1" applyAlignment="1">
      <alignment horizontal="center" vertical="center"/>
    </xf>
    <xf numFmtId="0" fontId="98" fillId="0" borderId="0" xfId="0" applyFont="1" applyFill="1" applyBorder="1" applyAlignment="1">
      <alignment horizontal="center" vertical="center"/>
    </xf>
    <xf numFmtId="176" fontId="0" fillId="0" borderId="5" xfId="0" applyNumberFormat="1" applyBorder="1" applyAlignment="1">
      <alignment horizontal="center" vertical="center"/>
    </xf>
    <xf numFmtId="0" fontId="4" fillId="18" borderId="5" xfId="4" applyNumberFormat="1" applyFont="1" applyFill="1" applyBorder="1" applyAlignment="1">
      <alignment horizontal="center" vertical="center"/>
    </xf>
    <xf numFmtId="0" fontId="4" fillId="18" borderId="5" xfId="0" applyNumberFormat="1" applyFont="1" applyFill="1" applyBorder="1" applyAlignment="1">
      <alignment horizontal="center" vertical="center"/>
    </xf>
    <xf numFmtId="176" fontId="4" fillId="18" borderId="5" xfId="0" applyNumberFormat="1" applyFont="1" applyFill="1" applyBorder="1" applyAlignment="1">
      <alignment horizontal="center" vertical="center"/>
    </xf>
    <xf numFmtId="0" fontId="20" fillId="0" borderId="5" xfId="0" applyNumberFormat="1" applyFont="1" applyBorder="1" applyAlignment="1">
      <alignment horizontal="left" vertical="top" wrapText="1"/>
    </xf>
    <xf numFmtId="0" fontId="4" fillId="0" borderId="5" xfId="0" applyFont="1" applyFill="1" applyBorder="1" applyAlignment="1">
      <alignment horizontal="left" vertical="center"/>
    </xf>
    <xf numFmtId="0" fontId="20" fillId="0" borderId="5" xfId="0" applyNumberFormat="1" applyFont="1" applyBorder="1" applyAlignment="1">
      <alignment horizontal="left" vertical="center" wrapText="1"/>
    </xf>
    <xf numFmtId="0" fontId="20" fillId="0" borderId="5" xfId="0" applyNumberFormat="1" applyFont="1" applyBorder="1" applyAlignment="1">
      <alignment horizontal="left" vertical="top" wrapText="1"/>
    </xf>
    <xf numFmtId="0" fontId="20" fillId="0" borderId="5" xfId="0" applyNumberFormat="1" applyFont="1" applyBorder="1" applyAlignment="1">
      <alignment horizontal="left" vertical="center" wrapText="1"/>
    </xf>
    <xf numFmtId="181" fontId="100" fillId="43" borderId="5" xfId="0" applyNumberFormat="1" applyFont="1" applyFill="1" applyBorder="1" applyAlignment="1">
      <alignment horizontal="center" vertical="center"/>
    </xf>
    <xf numFmtId="10" fontId="6" fillId="14" borderId="5" xfId="0" applyNumberFormat="1" applyFont="1" applyFill="1" applyBorder="1" applyAlignment="1">
      <alignment horizontal="center" vertical="center"/>
    </xf>
    <xf numFmtId="10" fontId="0" fillId="14" borderId="5" xfId="0" applyNumberFormat="1" applyFill="1" applyBorder="1" applyAlignment="1">
      <alignment horizontal="center" vertical="center"/>
    </xf>
    <xf numFmtId="10" fontId="6" fillId="14" borderId="22" xfId="0" applyNumberFormat="1" applyFont="1" applyFill="1" applyBorder="1" applyAlignment="1">
      <alignment horizontal="center" vertical="center"/>
    </xf>
    <xf numFmtId="10" fontId="0" fillId="14" borderId="22" xfId="0" applyNumberFormat="1" applyFill="1" applyBorder="1" applyAlignment="1">
      <alignment horizontal="center" vertical="center"/>
    </xf>
    <xf numFmtId="10" fontId="0" fillId="14" borderId="5" xfId="0" applyNumberFormat="1" applyFill="1" applyBorder="1">
      <alignment vertical="center"/>
    </xf>
    <xf numFmtId="10" fontId="0" fillId="14" borderId="22" xfId="0" applyNumberFormat="1" applyFill="1" applyBorder="1">
      <alignment vertical="center"/>
    </xf>
    <xf numFmtId="10" fontId="6" fillId="38" borderId="5" xfId="0" applyNumberFormat="1" applyFont="1" applyFill="1" applyBorder="1" applyAlignment="1">
      <alignment horizontal="center" vertical="center"/>
    </xf>
    <xf numFmtId="10" fontId="0" fillId="38" borderId="0" xfId="0" applyNumberFormat="1" applyFill="1">
      <alignment vertical="center"/>
    </xf>
    <xf numFmtId="10" fontId="0" fillId="38" borderId="5" xfId="0" applyNumberFormat="1" applyFill="1" applyBorder="1">
      <alignment vertical="center"/>
    </xf>
    <xf numFmtId="10" fontId="6" fillId="38" borderId="22" xfId="0" applyNumberFormat="1" applyFont="1" applyFill="1" applyBorder="1" applyAlignment="1">
      <alignment horizontal="center" vertical="center"/>
    </xf>
    <xf numFmtId="10" fontId="6" fillId="18" borderId="5" xfId="0" applyNumberFormat="1" applyFont="1" applyFill="1" applyBorder="1" applyAlignment="1">
      <alignment horizontal="center" vertical="center"/>
    </xf>
    <xf numFmtId="10" fontId="0" fillId="18" borderId="0" xfId="0" applyNumberFormat="1" applyFill="1">
      <alignment vertical="center"/>
    </xf>
    <xf numFmtId="10" fontId="6" fillId="18" borderId="22" xfId="0" applyNumberFormat="1" applyFont="1" applyFill="1" applyBorder="1" applyAlignment="1">
      <alignment horizontal="center" vertical="center"/>
    </xf>
    <xf numFmtId="10" fontId="0" fillId="18" borderId="5" xfId="0" applyNumberFormat="1" applyFill="1" applyBorder="1">
      <alignment vertical="center"/>
    </xf>
    <xf numFmtId="10" fontId="0" fillId="18" borderId="0" xfId="0" applyNumberFormat="1" applyFill="1" applyAlignment="1">
      <alignment horizontal="center" vertical="center"/>
    </xf>
    <xf numFmtId="10" fontId="0" fillId="43" borderId="0" xfId="0" applyNumberFormat="1" applyFill="1">
      <alignment vertical="center"/>
    </xf>
    <xf numFmtId="10" fontId="6" fillId="43" borderId="5" xfId="0" applyNumberFormat="1" applyFont="1" applyFill="1" applyBorder="1" applyAlignment="1">
      <alignment horizontal="center" vertical="center"/>
    </xf>
    <xf numFmtId="10" fontId="6" fillId="43" borderId="22" xfId="0" applyNumberFormat="1" applyFont="1" applyFill="1" applyBorder="1" applyAlignment="1">
      <alignment horizontal="center" vertical="center"/>
    </xf>
    <xf numFmtId="10" fontId="0" fillId="43" borderId="5" xfId="0" applyNumberFormat="1" applyFill="1" applyBorder="1">
      <alignment vertical="center"/>
    </xf>
    <xf numFmtId="10" fontId="0" fillId="43" borderId="5" xfId="0" applyNumberFormat="1" applyFill="1" applyBorder="1" applyAlignment="1">
      <alignment horizontal="center" vertical="center"/>
    </xf>
    <xf numFmtId="10" fontId="8" fillId="8" borderId="31" xfId="0" applyNumberFormat="1" applyFont="1" applyFill="1" applyBorder="1" applyAlignment="1">
      <alignment horizontal="center" vertical="center" wrapText="1"/>
    </xf>
    <xf numFmtId="10" fontId="6" fillId="8" borderId="5" xfId="0" applyNumberFormat="1" applyFont="1" applyFill="1" applyBorder="1" applyAlignment="1">
      <alignment horizontal="center" vertical="center"/>
    </xf>
    <xf numFmtId="10" fontId="7" fillId="2" borderId="42" xfId="0" applyNumberFormat="1" applyFont="1" applyFill="1" applyBorder="1" applyAlignment="1">
      <alignment horizontal="center" vertical="center"/>
    </xf>
    <xf numFmtId="10" fontId="6" fillId="0" borderId="32" xfId="0" applyNumberFormat="1" applyFont="1" applyBorder="1" applyAlignment="1">
      <alignment horizontal="center" vertical="center"/>
    </xf>
    <xf numFmtId="10" fontId="6" fillId="0" borderId="51" xfId="0" applyNumberFormat="1" applyFont="1" applyBorder="1" applyAlignment="1">
      <alignment horizontal="center" vertical="center"/>
    </xf>
    <xf numFmtId="10" fontId="6" fillId="0" borderId="10" xfId="0" applyNumberFormat="1" applyFont="1" applyBorder="1" applyAlignment="1">
      <alignment horizontal="center" vertical="center"/>
    </xf>
    <xf numFmtId="10" fontId="6" fillId="0" borderId="5" xfId="0" applyNumberFormat="1" applyFont="1" applyBorder="1" applyAlignment="1">
      <alignment horizontal="center" vertical="center"/>
    </xf>
    <xf numFmtId="10" fontId="6" fillId="0" borderId="10" xfId="0" applyNumberFormat="1" applyFont="1" applyFill="1" applyBorder="1" applyAlignment="1">
      <alignment horizontal="center" vertical="center"/>
    </xf>
    <xf numFmtId="10" fontId="6" fillId="0" borderId="22" xfId="0" applyNumberFormat="1" applyFont="1" applyFill="1" applyBorder="1" applyAlignment="1">
      <alignment horizontal="center" vertical="center"/>
    </xf>
    <xf numFmtId="10" fontId="6" fillId="0" borderId="32" xfId="0" applyNumberFormat="1" applyFont="1" applyFill="1" applyBorder="1" applyAlignment="1">
      <alignment horizontal="center" vertical="center"/>
    </xf>
    <xf numFmtId="10" fontId="6" fillId="0" borderId="26" xfId="0" applyNumberFormat="1" applyFont="1" applyFill="1" applyBorder="1" applyAlignment="1">
      <alignment horizontal="center" vertical="center"/>
    </xf>
    <xf numFmtId="10" fontId="6" fillId="0" borderId="12" xfId="0" applyNumberFormat="1" applyFont="1" applyFill="1" applyBorder="1" applyAlignment="1">
      <alignment horizontal="center" vertical="center"/>
    </xf>
    <xf numFmtId="10" fontId="6" fillId="0" borderId="51" xfId="0" applyNumberFormat="1" applyFont="1" applyFill="1" applyBorder="1" applyAlignment="1">
      <alignment horizontal="center" vertical="center"/>
    </xf>
    <xf numFmtId="10" fontId="68" fillId="2" borderId="5" xfId="0" applyNumberFormat="1" applyFont="1" applyFill="1" applyBorder="1" applyAlignment="1">
      <alignment horizontal="center" vertical="center"/>
    </xf>
    <xf numFmtId="181" fontId="88" fillId="36" borderId="2" xfId="0" applyNumberFormat="1" applyFont="1" applyFill="1" applyBorder="1" applyAlignment="1">
      <alignment horizontal="center" vertical="center"/>
    </xf>
    <xf numFmtId="185" fontId="4" fillId="16" borderId="2" xfId="1" applyNumberFormat="1" applyFont="1" applyFill="1" applyBorder="1" applyAlignment="1">
      <alignment horizontal="left" wrapText="1"/>
    </xf>
    <xf numFmtId="185" fontId="55" fillId="16" borderId="2" xfId="1" applyNumberFormat="1" applyFont="1" applyFill="1" applyBorder="1" applyAlignment="1">
      <alignment horizontal="left" vertical="center" wrapText="1"/>
    </xf>
    <xf numFmtId="185" fontId="4" fillId="16" borderId="2" xfId="1" applyNumberFormat="1" applyFont="1" applyFill="1" applyBorder="1" applyAlignment="1">
      <alignment wrapText="1"/>
    </xf>
    <xf numFmtId="0" fontId="4" fillId="0" borderId="5" xfId="0" applyNumberFormat="1" applyFont="1" applyBorder="1" applyAlignment="1">
      <alignment horizontal="left" vertical="center"/>
    </xf>
    <xf numFmtId="0" fontId="84" fillId="0" borderId="7" xfId="6" applyFont="1" applyFill="1" applyBorder="1" applyAlignment="1">
      <alignment vertical="center"/>
    </xf>
    <xf numFmtId="43" fontId="4" fillId="0" borderId="21" xfId="0" applyNumberFormat="1" applyFont="1" applyFill="1" applyBorder="1" applyAlignment="1">
      <alignment horizontal="right" vertical="center"/>
    </xf>
    <xf numFmtId="0" fontId="4" fillId="0" borderId="21" xfId="0" applyFont="1" applyFill="1" applyBorder="1" applyAlignment="1">
      <alignment horizontal="right" vertical="center"/>
    </xf>
    <xf numFmtId="43" fontId="4" fillId="0" borderId="21" xfId="0" applyNumberFormat="1" applyFont="1" applyBorder="1" applyAlignment="1">
      <alignment horizontal="right" vertical="center"/>
    </xf>
    <xf numFmtId="181" fontId="21" fillId="0" borderId="0" xfId="0" applyNumberFormat="1" applyFont="1" applyBorder="1" applyAlignment="1">
      <alignment horizontal="center" vertical="center"/>
    </xf>
    <xf numFmtId="181" fontId="21" fillId="0" borderId="0" xfId="0" applyNumberFormat="1" applyFont="1" applyBorder="1" applyAlignment="1">
      <alignment vertical="center"/>
    </xf>
    <xf numFmtId="181" fontId="26" fillId="0" borderId="5" xfId="0" applyNumberFormat="1" applyFont="1" applyFill="1" applyBorder="1" applyAlignment="1">
      <alignment horizontal="center" vertical="center" wrapText="1"/>
    </xf>
    <xf numFmtId="181" fontId="20" fillId="0" borderId="31" xfId="0" applyNumberFormat="1" applyFont="1" applyFill="1" applyBorder="1" applyAlignment="1">
      <alignment horizontal="center" vertical="center" wrapText="1"/>
    </xf>
    <xf numFmtId="181" fontId="0" fillId="5" borderId="5" xfId="0" applyNumberFormat="1" applyFill="1" applyBorder="1" applyAlignment="1">
      <alignment horizontal="center" vertical="center"/>
    </xf>
    <xf numFmtId="181" fontId="20" fillId="11" borderId="5" xfId="0" applyNumberFormat="1" applyFont="1" applyFill="1" applyBorder="1" applyAlignment="1">
      <alignment horizontal="center" vertical="center"/>
    </xf>
    <xf numFmtId="181" fontId="44" fillId="0" borderId="5" xfId="0" applyNumberFormat="1" applyFont="1" applyFill="1" applyBorder="1" applyAlignment="1">
      <alignment horizontal="center" vertical="center"/>
    </xf>
    <xf numFmtId="181" fontId="0" fillId="0" borderId="5" xfId="0" applyNumberFormat="1" applyFill="1" applyBorder="1" applyAlignment="1">
      <alignment horizontal="center" vertical="center"/>
    </xf>
    <xf numFmtId="181" fontId="20" fillId="0" borderId="5" xfId="4" applyNumberFormat="1" applyFont="1" applyBorder="1">
      <alignment vertical="center"/>
    </xf>
    <xf numFmtId="181" fontId="45" fillId="0" borderId="0" xfId="4" applyNumberFormat="1" applyFont="1">
      <alignment vertical="center"/>
    </xf>
    <xf numFmtId="181" fontId="20" fillId="21" borderId="5" xfId="4" applyNumberFormat="1" applyFont="1" applyFill="1" applyBorder="1">
      <alignment vertical="center"/>
    </xf>
    <xf numFmtId="0" fontId="4" fillId="0" borderId="5" xfId="0" applyFont="1" applyBorder="1" applyAlignment="1">
      <alignment horizontal="center" vertical="center"/>
    </xf>
    <xf numFmtId="0" fontId="68" fillId="2" borderId="13" xfId="0" applyFont="1" applyFill="1" applyBorder="1" applyAlignment="1">
      <alignment horizontal="left" vertical="center"/>
    </xf>
    <xf numFmtId="0" fontId="7" fillId="2" borderId="12" xfId="0" applyFont="1" applyFill="1" applyBorder="1" applyAlignment="1">
      <alignment horizontal="left" vertical="center"/>
    </xf>
    <xf numFmtId="43" fontId="4" fillId="0" borderId="21" xfId="4" applyFont="1" applyFill="1" applyBorder="1" applyAlignment="1">
      <alignment horizontal="left" vertical="center"/>
    </xf>
    <xf numFmtId="0" fontId="52" fillId="0" borderId="5" xfId="0" applyFont="1" applyBorder="1" applyAlignment="1">
      <alignment horizontal="center" vertical="center"/>
    </xf>
    <xf numFmtId="176" fontId="0" fillId="9" borderId="12" xfId="0" applyNumberFormat="1" applyFill="1" applyBorder="1" applyAlignment="1">
      <alignment horizontal="center" vertical="center"/>
    </xf>
    <xf numFmtId="184" fontId="0" fillId="9" borderId="12" xfId="0" applyNumberFormat="1" applyFill="1" applyBorder="1" applyAlignment="1">
      <alignment horizontal="center" vertical="center"/>
    </xf>
    <xf numFmtId="176" fontId="0" fillId="21" borderId="12" xfId="0" applyNumberFormat="1" applyFill="1" applyBorder="1" applyAlignment="1">
      <alignment horizontal="center" vertical="center"/>
    </xf>
    <xf numFmtId="0" fontId="0" fillId="9" borderId="12" xfId="0" applyFill="1" applyBorder="1" applyAlignment="1">
      <alignment horizontal="center" vertical="center"/>
    </xf>
    <xf numFmtId="0" fontId="0" fillId="55" borderId="12" xfId="0" applyFill="1" applyBorder="1" applyAlignment="1">
      <alignment horizontal="center" vertical="center"/>
    </xf>
    <xf numFmtId="0" fontId="6" fillId="18" borderId="5" xfId="0" applyFont="1" applyFill="1" applyBorder="1" applyAlignment="1">
      <alignment horizontal="left" vertical="center" wrapText="1"/>
    </xf>
    <xf numFmtId="0" fontId="4" fillId="5" borderId="5" xfId="4" applyNumberFormat="1" applyFont="1" applyFill="1" applyBorder="1" applyAlignment="1">
      <alignment horizontal="right" vertical="center"/>
    </xf>
    <xf numFmtId="0" fontId="6" fillId="23" borderId="5" xfId="0" applyFont="1" applyFill="1" applyBorder="1" applyAlignment="1">
      <alignment vertical="center"/>
    </xf>
    <xf numFmtId="0" fontId="4" fillId="0" borderId="5" xfId="0" applyFont="1" applyFill="1" applyBorder="1" applyAlignment="1">
      <alignment horizontal="left" vertical="top" wrapText="1" indent="1"/>
    </xf>
    <xf numFmtId="179" fontId="78" fillId="35" borderId="5" xfId="0" applyNumberFormat="1" applyFont="1" applyFill="1" applyBorder="1" applyAlignment="1">
      <alignment horizontal="right"/>
    </xf>
    <xf numFmtId="179" fontId="78" fillId="32" borderId="5" xfId="0" applyNumberFormat="1" applyFont="1" applyFill="1" applyBorder="1" applyAlignment="1">
      <alignment horizontal="right"/>
    </xf>
    <xf numFmtId="0" fontId="11" fillId="0" borderId="5" xfId="0" applyFont="1" applyFill="1" applyBorder="1" applyAlignment="1">
      <alignment horizontal="center" vertical="center" wrapText="1"/>
    </xf>
    <xf numFmtId="0" fontId="91" fillId="52" borderId="5" xfId="6" applyFont="1" applyFill="1" applyBorder="1" applyAlignment="1">
      <alignment horizontal="center" vertical="center"/>
    </xf>
    <xf numFmtId="0" fontId="91" fillId="52" borderId="5" xfId="6" applyFont="1" applyFill="1" applyBorder="1" applyAlignment="1">
      <alignment horizontal="center" vertical="center" wrapText="1"/>
    </xf>
    <xf numFmtId="10" fontId="91" fillId="52" borderId="5" xfId="6" applyNumberFormat="1" applyFont="1" applyFill="1" applyBorder="1" applyAlignment="1">
      <alignment horizontal="center" vertical="center"/>
    </xf>
    <xf numFmtId="10" fontId="0" fillId="0" borderId="5" xfId="0" applyNumberFormat="1" applyFill="1" applyBorder="1" applyAlignment="1">
      <alignment horizontal="center" vertical="center"/>
    </xf>
    <xf numFmtId="43" fontId="0" fillId="0" borderId="5" xfId="4" applyFont="1" applyFill="1" applyBorder="1" applyAlignment="1">
      <alignment horizontal="center" vertical="center"/>
    </xf>
    <xf numFmtId="10" fontId="0" fillId="5" borderId="5" xfId="0" applyNumberFormat="1" applyFill="1" applyBorder="1" applyAlignment="1">
      <alignment horizontal="center" vertical="center"/>
    </xf>
    <xf numFmtId="43" fontId="0" fillId="5" borderId="5" xfId="4" applyFont="1" applyFill="1" applyBorder="1" applyAlignment="1">
      <alignment horizontal="center" vertical="center"/>
    </xf>
    <xf numFmtId="10" fontId="91" fillId="52" borderId="5" xfId="6" applyNumberFormat="1" applyFont="1" applyFill="1" applyBorder="1" applyAlignment="1">
      <alignment horizontal="center" vertical="center" wrapText="1"/>
    </xf>
    <xf numFmtId="43" fontId="0" fillId="0" borderId="5" xfId="4" applyFont="1" applyFill="1" applyBorder="1">
      <alignment vertical="center"/>
    </xf>
    <xf numFmtId="0" fontId="99" fillId="52" borderId="61" xfId="6" applyFont="1" applyFill="1" applyBorder="1" applyAlignment="1">
      <alignment horizontal="center" vertical="center" wrapText="1"/>
    </xf>
    <xf numFmtId="0" fontId="99" fillId="52" borderId="5" xfId="6" applyFont="1" applyFill="1" applyBorder="1" applyAlignment="1">
      <alignment horizontal="center" vertical="center" wrapText="1"/>
    </xf>
    <xf numFmtId="49" fontId="101" fillId="0" borderId="5" xfId="0" applyNumberFormat="1" applyFont="1" applyBorder="1" applyAlignment="1"/>
    <xf numFmtId="186" fontId="101" fillId="0" borderId="5" xfId="0" applyNumberFormat="1" applyFont="1" applyBorder="1" applyAlignment="1"/>
    <xf numFmtId="0" fontId="101" fillId="0" borderId="0" xfId="0" applyNumberFormat="1" applyFont="1" applyAlignment="1"/>
    <xf numFmtId="0" fontId="101" fillId="0" borderId="5" xfId="0" applyNumberFormat="1" applyFont="1" applyBorder="1" applyAlignment="1"/>
    <xf numFmtId="43" fontId="0" fillId="5" borderId="5" xfId="4" applyFont="1" applyFill="1" applyBorder="1">
      <alignment vertical="center"/>
    </xf>
    <xf numFmtId="2" fontId="101" fillId="0" borderId="5" xfId="0" applyNumberFormat="1" applyFont="1" applyBorder="1" applyAlignment="1"/>
    <xf numFmtId="0" fontId="0" fillId="0" borderId="7" xfId="0" applyBorder="1" applyAlignment="1">
      <alignment vertical="center" wrapText="1"/>
    </xf>
    <xf numFmtId="43" fontId="4" fillId="8" borderId="58" xfId="4" applyFont="1" applyFill="1" applyBorder="1" applyAlignment="1">
      <alignment horizontal="center" vertical="center"/>
    </xf>
    <xf numFmtId="43" fontId="4" fillId="8" borderId="62" xfId="4" applyFont="1" applyFill="1" applyBorder="1" applyAlignment="1">
      <alignment horizontal="center" vertical="center"/>
    </xf>
    <xf numFmtId="43" fontId="4" fillId="36" borderId="21" xfId="4" applyFont="1" applyFill="1" applyBorder="1" applyAlignment="1">
      <alignment horizontal="center" vertical="center"/>
    </xf>
    <xf numFmtId="43" fontId="4" fillId="36" borderId="60" xfId="4" applyFont="1" applyFill="1" applyBorder="1" applyAlignment="1">
      <alignment horizontal="center" vertical="center"/>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87" fillId="0" borderId="5" xfId="0" applyFont="1" applyFill="1" applyBorder="1" applyAlignment="1">
      <alignment horizontal="center" vertical="center" wrapText="1" readingOrder="1"/>
    </xf>
    <xf numFmtId="0" fontId="6" fillId="0" borderId="9" xfId="0" applyFont="1" applyFill="1" applyBorder="1" applyAlignment="1">
      <alignment horizontal="center" vertical="center" wrapText="1" readingOrder="1"/>
    </xf>
    <xf numFmtId="0" fontId="6" fillId="0" borderId="1" xfId="0" applyFont="1" applyFill="1" applyBorder="1" applyAlignment="1">
      <alignment horizontal="center" vertical="center" wrapText="1" readingOrder="1"/>
    </xf>
    <xf numFmtId="0" fontId="6" fillId="0" borderId="3" xfId="0" applyFont="1" applyFill="1" applyBorder="1" applyAlignment="1">
      <alignment horizontal="center" vertical="center" wrapText="1" readingOrder="1"/>
    </xf>
    <xf numFmtId="0" fontId="6" fillId="0" borderId="5" xfId="0" applyFont="1" applyFill="1" applyBorder="1" applyAlignment="1">
      <alignment horizontal="left" vertical="center" wrapText="1"/>
    </xf>
    <xf numFmtId="0" fontId="6" fillId="0" borderId="5" xfId="0" applyFont="1" applyFill="1" applyBorder="1" applyAlignment="1">
      <alignment horizontal="left" vertical="center"/>
    </xf>
    <xf numFmtId="43" fontId="4" fillId="36" borderId="57" xfId="4" applyFont="1" applyFill="1" applyBorder="1" applyAlignment="1">
      <alignment horizontal="center" vertical="center"/>
    </xf>
    <xf numFmtId="43" fontId="4" fillId="36" borderId="16" xfId="4" applyFont="1" applyFill="1" applyBorder="1" applyAlignment="1">
      <alignment horizontal="center" vertical="center"/>
    </xf>
    <xf numFmtId="0" fontId="7" fillId="2" borderId="30" xfId="0" applyFont="1" applyFill="1" applyBorder="1" applyAlignment="1">
      <alignment horizontal="center" vertical="center"/>
    </xf>
    <xf numFmtId="0" fontId="7" fillId="2" borderId="42" xfId="0" applyFont="1" applyFill="1" applyBorder="1" applyAlignment="1">
      <alignment horizontal="center" vertical="center"/>
    </xf>
    <xf numFmtId="181" fontId="88" fillId="43" borderId="5" xfId="0" applyNumberFormat="1" applyFont="1" applyFill="1" applyBorder="1" applyAlignment="1">
      <alignment horizontal="center" vertical="center"/>
    </xf>
    <xf numFmtId="43" fontId="46" fillId="53" borderId="21" xfId="4" applyFont="1" applyFill="1" applyBorder="1" applyAlignment="1">
      <alignment horizontal="center" vertical="center"/>
    </xf>
    <xf numFmtId="43" fontId="46" fillId="53" borderId="60" xfId="4" applyFont="1" applyFill="1" applyBorder="1" applyAlignment="1">
      <alignment horizontal="center" vertical="center"/>
    </xf>
    <xf numFmtId="43" fontId="4" fillId="0" borderId="21" xfId="4" applyFont="1" applyFill="1" applyBorder="1" applyAlignment="1">
      <alignment horizontal="center" vertical="center"/>
    </xf>
    <xf numFmtId="43" fontId="4" fillId="0" borderId="60" xfId="4" applyFont="1" applyFill="1" applyBorder="1" applyAlignment="1">
      <alignment horizontal="center" vertical="center"/>
    </xf>
    <xf numFmtId="176" fontId="6" fillId="0" borderId="20" xfId="0" applyNumberFormat="1" applyFont="1" applyFill="1" applyBorder="1" applyAlignment="1">
      <alignment horizontal="center" vertical="center" wrapText="1"/>
    </xf>
    <xf numFmtId="176" fontId="6" fillId="0" borderId="47" xfId="0" applyNumberFormat="1" applyFont="1" applyFill="1" applyBorder="1" applyAlignment="1">
      <alignment horizontal="center" vertical="center" wrapText="1"/>
    </xf>
    <xf numFmtId="176" fontId="6" fillId="0" borderId="48" xfId="0" applyNumberFormat="1" applyFont="1" applyFill="1" applyBorder="1" applyAlignment="1">
      <alignment horizontal="center" vertical="center" wrapText="1"/>
    </xf>
    <xf numFmtId="176" fontId="6" fillId="0" borderId="53" xfId="0" applyNumberFormat="1" applyFont="1" applyFill="1" applyBorder="1" applyAlignment="1">
      <alignment horizontal="center" vertical="center" wrapText="1"/>
    </xf>
    <xf numFmtId="176" fontId="6" fillId="0" borderId="54" xfId="0" applyNumberFormat="1" applyFont="1" applyFill="1" applyBorder="1" applyAlignment="1">
      <alignment horizontal="center" vertical="center" wrapText="1"/>
    </xf>
    <xf numFmtId="176" fontId="67" fillId="0" borderId="17" xfId="0" applyNumberFormat="1" applyFont="1" applyFill="1" applyBorder="1" applyAlignment="1">
      <alignment horizontal="center" vertical="center"/>
    </xf>
    <xf numFmtId="176" fontId="67" fillId="0" borderId="12" xfId="0" applyNumberFormat="1" applyFont="1" applyFill="1" applyBorder="1" applyAlignment="1">
      <alignment horizontal="center" vertical="center"/>
    </xf>
    <xf numFmtId="176" fontId="67" fillId="0" borderId="22" xfId="0" applyNumberFormat="1" applyFont="1" applyFill="1" applyBorder="1" applyAlignment="1">
      <alignment horizontal="center" vertical="center"/>
    </xf>
    <xf numFmtId="176" fontId="6" fillId="0" borderId="11" xfId="0" applyNumberFormat="1" applyFont="1" applyBorder="1" applyAlignment="1">
      <alignment horizontal="center" vertical="center" wrapText="1"/>
    </xf>
    <xf numFmtId="176" fontId="6" fillId="0" borderId="1" xfId="0" applyNumberFormat="1" applyFont="1" applyBorder="1" applyAlignment="1">
      <alignment horizontal="center" vertical="center" wrapText="1"/>
    </xf>
    <xf numFmtId="176" fontId="6" fillId="0" borderId="56" xfId="0" applyNumberFormat="1" applyFont="1" applyBorder="1" applyAlignment="1">
      <alignment horizontal="center" vertical="center" wrapText="1"/>
    </xf>
    <xf numFmtId="176" fontId="88" fillId="41" borderId="22" xfId="0" applyNumberFormat="1" applyFont="1" applyFill="1" applyBorder="1" applyAlignment="1">
      <alignment horizontal="center" vertical="center"/>
    </xf>
    <xf numFmtId="176" fontId="88" fillId="41" borderId="12" xfId="0" applyNumberFormat="1" applyFont="1" applyFill="1" applyBorder="1" applyAlignment="1">
      <alignment horizontal="center" vertical="center"/>
    </xf>
    <xf numFmtId="176" fontId="6" fillId="0" borderId="9" xfId="0" applyNumberFormat="1" applyFont="1" applyBorder="1" applyAlignment="1">
      <alignment horizontal="center" vertical="center" wrapText="1"/>
    </xf>
    <xf numFmtId="176" fontId="6" fillId="0" borderId="3" xfId="0" applyNumberFormat="1" applyFont="1" applyBorder="1" applyAlignment="1">
      <alignment horizontal="center" vertical="center" wrapText="1"/>
    </xf>
    <xf numFmtId="176" fontId="6" fillId="0" borderId="22" xfId="0" applyNumberFormat="1" applyFont="1" applyFill="1" applyBorder="1" applyAlignment="1">
      <alignment horizontal="center" vertical="center"/>
    </xf>
    <xf numFmtId="176" fontId="6" fillId="0" borderId="12" xfId="0" applyNumberFormat="1" applyFont="1" applyFill="1" applyBorder="1" applyAlignment="1">
      <alignment horizontal="center" vertical="center"/>
    </xf>
    <xf numFmtId="10" fontId="6" fillId="0" borderId="26" xfId="0" applyNumberFormat="1" applyFont="1" applyFill="1" applyBorder="1" applyAlignment="1">
      <alignment horizontal="center" vertical="center"/>
    </xf>
    <xf numFmtId="10" fontId="6" fillId="0" borderId="12" xfId="0" applyNumberFormat="1" applyFont="1" applyFill="1" applyBorder="1" applyAlignment="1">
      <alignment horizontal="center" vertical="center"/>
    </xf>
    <xf numFmtId="176" fontId="25" fillId="0" borderId="20" xfId="0" applyNumberFormat="1" applyFont="1" applyFill="1" applyBorder="1" applyAlignment="1">
      <alignment horizontal="center" vertical="center" wrapText="1"/>
    </xf>
    <xf numFmtId="176" fontId="25" fillId="0" borderId="47" xfId="0" applyNumberFormat="1" applyFont="1" applyFill="1" applyBorder="1" applyAlignment="1">
      <alignment horizontal="center" vertical="center" wrapText="1"/>
    </xf>
    <xf numFmtId="176" fontId="25" fillId="0" borderId="48" xfId="0" applyNumberFormat="1" applyFont="1" applyFill="1" applyBorder="1" applyAlignment="1">
      <alignment horizontal="center" vertical="center" wrapText="1"/>
    </xf>
    <xf numFmtId="176" fontId="0" fillId="10" borderId="25" xfId="0" applyNumberFormat="1" applyFont="1" applyFill="1" applyBorder="1" applyAlignment="1">
      <alignment horizontal="center" vertical="center"/>
    </xf>
    <xf numFmtId="176" fontId="0" fillId="10" borderId="27" xfId="0" applyNumberFormat="1" applyFont="1" applyFill="1" applyBorder="1" applyAlignment="1">
      <alignment horizontal="center" vertical="center"/>
    </xf>
    <xf numFmtId="176" fontId="0" fillId="10" borderId="23" xfId="0" applyNumberFormat="1" applyFont="1" applyFill="1" applyBorder="1" applyAlignment="1">
      <alignment horizontal="center" vertical="center"/>
    </xf>
    <xf numFmtId="176" fontId="87" fillId="0" borderId="17" xfId="0" applyNumberFormat="1" applyFont="1" applyBorder="1" applyAlignment="1">
      <alignment horizontal="center" vertical="center" wrapText="1" readingOrder="1"/>
    </xf>
    <xf numFmtId="176" fontId="87" fillId="0" borderId="12" xfId="0" applyNumberFormat="1" applyFont="1" applyBorder="1" applyAlignment="1">
      <alignment horizontal="center" vertical="center" wrapText="1" readingOrder="1"/>
    </xf>
    <xf numFmtId="176" fontId="87" fillId="0" borderId="22" xfId="0" applyNumberFormat="1" applyFont="1" applyBorder="1" applyAlignment="1">
      <alignment horizontal="center" vertical="center" wrapText="1" readingOrder="1"/>
    </xf>
    <xf numFmtId="10" fontId="6" fillId="0" borderId="17" xfId="0" applyNumberFormat="1" applyFont="1" applyBorder="1" applyAlignment="1">
      <alignment horizontal="center" vertical="center"/>
    </xf>
    <xf numFmtId="10" fontId="6" fillId="0" borderId="12" xfId="0" applyNumberFormat="1" applyFont="1" applyBorder="1" applyAlignment="1">
      <alignment horizontal="center" vertical="center"/>
    </xf>
    <xf numFmtId="10" fontId="6" fillId="0" borderId="22" xfId="0" applyNumberFormat="1" applyFont="1" applyBorder="1" applyAlignment="1">
      <alignment horizontal="center" vertical="center"/>
    </xf>
    <xf numFmtId="176" fontId="0" fillId="41" borderId="22" xfId="0" applyNumberFormat="1" applyFont="1" applyFill="1" applyBorder="1" applyAlignment="1">
      <alignment horizontal="center" vertical="center"/>
    </xf>
    <xf numFmtId="176" fontId="0" fillId="41" borderId="12" xfId="0" applyNumberFormat="1" applyFont="1" applyFill="1" applyBorder="1" applyAlignment="1">
      <alignment horizontal="center" vertical="center"/>
    </xf>
    <xf numFmtId="176" fontId="67" fillId="0" borderId="23" xfId="0" applyNumberFormat="1" applyFont="1" applyFill="1" applyBorder="1" applyAlignment="1">
      <alignment horizontal="center" vertical="center"/>
    </xf>
    <xf numFmtId="176" fontId="67" fillId="0" borderId="27" xfId="0" applyNumberFormat="1" applyFont="1" applyFill="1" applyBorder="1" applyAlignment="1">
      <alignment horizontal="center" vertical="center"/>
    </xf>
    <xf numFmtId="176" fontId="0" fillId="8" borderId="22" xfId="0" applyNumberFormat="1" applyFont="1" applyFill="1" applyBorder="1" applyAlignment="1">
      <alignment horizontal="center" vertical="center"/>
    </xf>
    <xf numFmtId="176" fontId="0" fillId="8" borderId="12" xfId="0" applyNumberFormat="1" applyFont="1" applyFill="1" applyBorder="1" applyAlignment="1">
      <alignment horizontal="center" vertical="center"/>
    </xf>
    <xf numFmtId="10" fontId="6" fillId="0" borderId="22" xfId="0" applyNumberFormat="1" applyFont="1" applyFill="1" applyBorder="1" applyAlignment="1">
      <alignment horizontal="center" vertical="center"/>
    </xf>
    <xf numFmtId="0" fontId="25" fillId="38" borderId="22" xfId="0" applyFont="1" applyFill="1" applyBorder="1" applyAlignment="1">
      <alignment horizontal="center" vertical="center" wrapText="1"/>
    </xf>
    <xf numFmtId="0" fontId="25" fillId="38" borderId="26" xfId="0" applyFont="1" applyFill="1" applyBorder="1" applyAlignment="1">
      <alignment horizontal="center" vertical="center" wrapText="1"/>
    </xf>
    <xf numFmtId="0" fontId="25" fillId="38" borderId="12" xfId="0" applyFont="1" applyFill="1" applyBorder="1" applyAlignment="1">
      <alignment horizontal="center" vertical="center" wrapText="1"/>
    </xf>
    <xf numFmtId="43" fontId="4" fillId="0" borderId="27" xfId="4" applyFont="1" applyFill="1" applyBorder="1" applyAlignment="1">
      <alignment horizontal="center" vertical="center"/>
    </xf>
    <xf numFmtId="43" fontId="4" fillId="0" borderId="7" xfId="4" applyFont="1" applyFill="1" applyBorder="1" applyAlignment="1">
      <alignment horizontal="center" vertical="center"/>
    </xf>
    <xf numFmtId="0" fontId="6" fillId="43" borderId="5" xfId="0" applyFont="1" applyFill="1" applyBorder="1" applyAlignment="1">
      <alignment horizontal="left" vertical="center" wrapText="1"/>
    </xf>
    <xf numFmtId="0" fontId="0" fillId="0" borderId="35" xfId="0" applyFill="1" applyBorder="1" applyAlignment="1">
      <alignment horizontal="center" vertical="center"/>
    </xf>
    <xf numFmtId="0" fontId="0" fillId="0" borderId="7" xfId="0" applyFill="1" applyBorder="1" applyAlignment="1">
      <alignment horizontal="center" vertical="center"/>
    </xf>
    <xf numFmtId="0" fontId="0" fillId="0" borderId="29" xfId="0" applyFill="1" applyBorder="1" applyAlignment="1">
      <alignment horizontal="center" vertical="center"/>
    </xf>
    <xf numFmtId="43" fontId="4" fillId="0" borderId="29" xfId="4" applyFont="1" applyFill="1" applyBorder="1" applyAlignment="1">
      <alignment horizontal="center" vertical="center"/>
    </xf>
    <xf numFmtId="0" fontId="25" fillId="14" borderId="28" xfId="0" applyFont="1" applyFill="1" applyBorder="1" applyAlignment="1">
      <alignment horizontal="center" vertical="center" wrapText="1"/>
    </xf>
    <xf numFmtId="0" fontId="25" fillId="14" borderId="42" xfId="0" applyFont="1" applyFill="1" applyBorder="1" applyAlignment="1">
      <alignment horizontal="center" vertical="center" wrapText="1"/>
    </xf>
    <xf numFmtId="0" fontId="25" fillId="14" borderId="29"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8" borderId="31" xfId="0" applyFont="1" applyFill="1" applyBorder="1" applyAlignment="1">
      <alignment horizontal="center" vertical="center" wrapText="1"/>
    </xf>
    <xf numFmtId="0" fontId="25" fillId="18" borderId="22" xfId="0" applyFont="1" applyFill="1" applyBorder="1" applyAlignment="1">
      <alignment horizontal="center" vertical="center" wrapText="1"/>
    </xf>
    <xf numFmtId="0" fontId="25" fillId="18" borderId="26" xfId="0" applyFont="1" applyFill="1" applyBorder="1" applyAlignment="1">
      <alignment horizontal="center" vertical="center" wrapText="1"/>
    </xf>
    <xf numFmtId="0" fontId="25" fillId="18" borderId="22" xfId="0" applyFont="1" applyFill="1" applyBorder="1" applyAlignment="1">
      <alignment horizontal="left" vertical="center" wrapText="1"/>
    </xf>
    <xf numFmtId="0" fontId="25" fillId="18" borderId="12" xfId="0" applyFont="1" applyFill="1" applyBorder="1" applyAlignment="1">
      <alignment horizontal="left" vertical="center" wrapText="1"/>
    </xf>
    <xf numFmtId="0" fontId="6" fillId="43" borderId="22" xfId="0" applyFont="1" applyFill="1" applyBorder="1" applyAlignment="1">
      <alignment horizontal="left" vertical="center" wrapText="1"/>
    </xf>
    <xf numFmtId="0" fontId="6" fillId="43" borderId="12" xfId="0" applyFont="1" applyFill="1" applyBorder="1" applyAlignment="1">
      <alignment horizontal="left" vertical="center" wrapText="1"/>
    </xf>
    <xf numFmtId="0" fontId="25" fillId="43" borderId="5" xfId="0" applyFont="1" applyFill="1" applyBorder="1" applyAlignment="1">
      <alignment horizontal="center" vertical="center" wrapText="1"/>
    </xf>
    <xf numFmtId="0" fontId="34" fillId="0" borderId="14" xfId="0" applyFont="1" applyFill="1" applyBorder="1" applyAlignment="1">
      <alignment horizontal="center" vertical="center"/>
    </xf>
    <xf numFmtId="0" fontId="34" fillId="0" borderId="16" xfId="0" applyFont="1" applyFill="1" applyBorder="1" applyAlignment="1">
      <alignment horizontal="center" vertical="center"/>
    </xf>
    <xf numFmtId="0" fontId="7" fillId="29" borderId="5" xfId="0" applyFont="1" applyFill="1" applyBorder="1" applyAlignment="1">
      <alignment horizontal="center" vertical="center"/>
    </xf>
    <xf numFmtId="0" fontId="7" fillId="27" borderId="5" xfId="0" applyFont="1" applyFill="1" applyBorder="1" applyAlignment="1">
      <alignment horizontal="center" vertical="center"/>
    </xf>
    <xf numFmtId="0" fontId="7" fillId="26" borderId="21" xfId="0" applyFont="1" applyFill="1" applyBorder="1" applyAlignment="1">
      <alignment horizontal="center" vertical="center"/>
    </xf>
    <xf numFmtId="0" fontId="7" fillId="26" borderId="31" xfId="0" applyFont="1" applyFill="1" applyBorder="1" applyAlignment="1">
      <alignment horizontal="center" vertical="center"/>
    </xf>
    <xf numFmtId="0" fontId="7" fillId="26" borderId="5" xfId="0" applyFont="1" applyFill="1" applyBorder="1" applyAlignment="1">
      <alignment horizontal="center" vertical="center"/>
    </xf>
    <xf numFmtId="0" fontId="7" fillId="28" borderId="44" xfId="0" applyFont="1" applyFill="1" applyBorder="1" applyAlignment="1">
      <alignment horizontal="center" vertical="center"/>
    </xf>
    <xf numFmtId="0" fontId="74" fillId="30" borderId="5" xfId="0" applyFont="1" applyFill="1" applyBorder="1" applyAlignment="1">
      <alignment horizontal="center" vertical="center"/>
    </xf>
    <xf numFmtId="0" fontId="7" fillId="26" borderId="26" xfId="0" applyFont="1" applyFill="1" applyBorder="1" applyAlignment="1">
      <alignment horizontal="center" vertical="center"/>
    </xf>
    <xf numFmtId="0" fontId="7" fillId="26" borderId="12" xfId="0" applyFont="1" applyFill="1" applyBorder="1" applyAlignment="1">
      <alignment horizontal="center" vertical="center"/>
    </xf>
    <xf numFmtId="0" fontId="7" fillId="28" borderId="5" xfId="0" applyFont="1" applyFill="1" applyBorder="1" applyAlignment="1">
      <alignment horizontal="center" vertical="center" wrapText="1"/>
    </xf>
    <xf numFmtId="0" fontId="7" fillId="28" borderId="45" xfId="0" applyFont="1" applyFill="1" applyBorder="1" applyAlignment="1">
      <alignment horizontal="center" vertical="center"/>
    </xf>
    <xf numFmtId="0" fontId="7" fillId="28" borderId="44" xfId="0" applyFont="1" applyFill="1" applyBorder="1" applyAlignment="1">
      <alignment horizontal="center" vertical="center" wrapText="1"/>
    </xf>
    <xf numFmtId="0" fontId="7" fillId="27" borderId="45" xfId="0" applyFont="1" applyFill="1" applyBorder="1" applyAlignment="1">
      <alignment horizontal="center" vertical="center"/>
    </xf>
    <xf numFmtId="0" fontId="7" fillId="27" borderId="44" xfId="0" applyFont="1" applyFill="1" applyBorder="1" applyAlignment="1">
      <alignment horizontal="center" vertical="center"/>
    </xf>
    <xf numFmtId="0" fontId="7" fillId="28" borderId="43" xfId="0" applyFont="1" applyFill="1" applyBorder="1" applyAlignment="1">
      <alignment horizontal="center" vertical="center"/>
    </xf>
    <xf numFmtId="0" fontId="0" fillId="8" borderId="21" xfId="0" applyFill="1" applyBorder="1" applyAlignment="1">
      <alignment horizontal="left" vertical="center"/>
    </xf>
    <xf numFmtId="0" fontId="0" fillId="8" borderId="31" xfId="0" applyFill="1" applyBorder="1" applyAlignment="1">
      <alignment horizontal="left" vertical="center"/>
    </xf>
    <xf numFmtId="0" fontId="0" fillId="8" borderId="5" xfId="0" applyFill="1" applyBorder="1" applyAlignment="1">
      <alignment horizontal="left" vertical="center"/>
    </xf>
    <xf numFmtId="0" fontId="68" fillId="28" borderId="5" xfId="0" applyFont="1" applyFill="1" applyBorder="1" applyAlignment="1">
      <alignment horizontal="center" vertical="center" wrapText="1"/>
    </xf>
    <xf numFmtId="0" fontId="4" fillId="0" borderId="22" xfId="4" applyNumberFormat="1" applyFont="1" applyFill="1" applyBorder="1" applyAlignment="1">
      <alignment horizontal="center" vertical="center"/>
    </xf>
    <xf numFmtId="0" fontId="4" fillId="0" borderId="26" xfId="4" applyNumberFormat="1" applyFont="1" applyFill="1" applyBorder="1" applyAlignment="1">
      <alignment horizontal="center" vertical="center"/>
    </xf>
    <xf numFmtId="0" fontId="4" fillId="0" borderId="12" xfId="4" applyNumberFormat="1" applyFont="1" applyFill="1" applyBorder="1" applyAlignment="1">
      <alignment horizontal="center" vertical="center"/>
    </xf>
    <xf numFmtId="176" fontId="4" fillId="0" borderId="22" xfId="4" applyNumberFormat="1" applyFont="1" applyBorder="1" applyAlignment="1">
      <alignment horizontal="center" vertical="center"/>
    </xf>
    <xf numFmtId="176" fontId="4" fillId="0" borderId="26" xfId="4" applyNumberFormat="1" applyFont="1" applyBorder="1" applyAlignment="1">
      <alignment horizontal="center" vertical="center"/>
    </xf>
    <xf numFmtId="176" fontId="4" fillId="0" borderId="12" xfId="4" applyNumberFormat="1" applyFont="1" applyBorder="1" applyAlignment="1">
      <alignment horizontal="center" vertical="center"/>
    </xf>
    <xf numFmtId="181" fontId="4" fillId="0" borderId="5" xfId="0" applyNumberFormat="1" applyFont="1" applyFill="1" applyBorder="1" applyAlignment="1">
      <alignment horizontal="center" vertical="top"/>
    </xf>
    <xf numFmtId="0" fontId="4" fillId="0" borderId="5" xfId="0" applyNumberFormat="1" applyFont="1" applyFill="1" applyBorder="1" applyAlignment="1">
      <alignment horizontal="center" vertical="top"/>
    </xf>
    <xf numFmtId="0" fontId="4" fillId="6" borderId="5" xfId="0" applyNumberFormat="1" applyFont="1" applyFill="1" applyBorder="1" applyAlignment="1">
      <alignment horizontal="center" vertical="center" wrapText="1"/>
    </xf>
    <xf numFmtId="0" fontId="4" fillId="0" borderId="5" xfId="0" applyNumberFormat="1" applyFont="1" applyFill="1" applyBorder="1" applyAlignment="1">
      <alignment horizontal="center" vertical="center" wrapText="1"/>
    </xf>
    <xf numFmtId="181" fontId="4" fillId="0" borderId="5" xfId="0" applyNumberFormat="1" applyFont="1" applyFill="1" applyBorder="1" applyAlignment="1">
      <alignment horizontal="center" vertical="center" wrapText="1"/>
    </xf>
    <xf numFmtId="0" fontId="7" fillId="2" borderId="23" xfId="0" applyNumberFormat="1" applyFont="1" applyFill="1" applyBorder="1" applyAlignment="1">
      <alignment horizontal="center" vertical="center" wrapText="1"/>
    </xf>
    <xf numFmtId="0" fontId="7" fillId="2" borderId="35" xfId="0" applyNumberFormat="1" applyFont="1" applyFill="1" applyBorder="1" applyAlignment="1">
      <alignment horizontal="center" vertical="center" wrapText="1"/>
    </xf>
    <xf numFmtId="0" fontId="7" fillId="2" borderId="28" xfId="0" applyNumberFormat="1" applyFont="1" applyFill="1" applyBorder="1" applyAlignment="1">
      <alignment horizontal="center" vertical="center" wrapText="1"/>
    </xf>
    <xf numFmtId="176" fontId="4" fillId="0" borderId="5" xfId="0" applyNumberFormat="1" applyFont="1" applyFill="1" applyBorder="1" applyAlignment="1">
      <alignment horizontal="center" vertical="center" wrapText="1"/>
    </xf>
    <xf numFmtId="10" fontId="4" fillId="0" borderId="5" xfId="0" applyNumberFormat="1" applyFont="1" applyFill="1" applyBorder="1" applyAlignment="1">
      <alignment horizontal="center" vertical="top"/>
    </xf>
    <xf numFmtId="10" fontId="4" fillId="6" borderId="5" xfId="0" applyNumberFormat="1" applyFont="1" applyFill="1" applyBorder="1" applyAlignment="1">
      <alignment horizontal="center" vertical="center" wrapText="1"/>
    </xf>
    <xf numFmtId="181" fontId="4" fillId="18" borderId="5" xfId="0" applyNumberFormat="1" applyFont="1" applyFill="1" applyBorder="1" applyAlignment="1">
      <alignment horizontal="center" vertical="center" wrapText="1"/>
    </xf>
    <xf numFmtId="0" fontId="4" fillId="0" borderId="5" xfId="0" applyNumberFormat="1" applyFont="1" applyFill="1" applyBorder="1" applyAlignment="1">
      <alignment horizontal="left" vertical="top" wrapText="1"/>
    </xf>
    <xf numFmtId="0" fontId="4" fillId="0" borderId="5" xfId="0" applyNumberFormat="1" applyFont="1" applyBorder="1" applyAlignment="1">
      <alignment horizontal="left" vertical="top" wrapText="1"/>
    </xf>
    <xf numFmtId="0" fontId="4" fillId="0" borderId="5" xfId="4" applyNumberFormat="1" applyFont="1" applyBorder="1" applyAlignment="1">
      <alignment horizontal="left" vertical="top" wrapText="1"/>
    </xf>
    <xf numFmtId="0" fontId="4" fillId="0" borderId="22" xfId="4" applyNumberFormat="1" applyFont="1" applyBorder="1" applyAlignment="1">
      <alignment horizontal="left" vertical="top" wrapText="1"/>
    </xf>
    <xf numFmtId="0" fontId="4" fillId="0" borderId="26" xfId="0" applyNumberFormat="1" applyFont="1" applyBorder="1" applyAlignment="1">
      <alignment horizontal="left" vertical="top" wrapText="1"/>
    </xf>
    <xf numFmtId="0" fontId="4" fillId="0" borderId="12" xfId="0" applyNumberFormat="1" applyFont="1" applyBorder="1" applyAlignment="1">
      <alignment horizontal="left" vertical="top" wrapText="1"/>
    </xf>
    <xf numFmtId="0" fontId="4" fillId="0" borderId="5" xfId="0" applyNumberFormat="1" applyFont="1" applyBorder="1" applyAlignment="1">
      <alignment horizontal="center" vertical="top"/>
    </xf>
    <xf numFmtId="0" fontId="4" fillId="9" borderId="22" xfId="0" applyNumberFormat="1" applyFont="1" applyFill="1" applyBorder="1" applyAlignment="1">
      <alignment horizontal="center" vertical="center"/>
    </xf>
    <xf numFmtId="0" fontId="4" fillId="9" borderId="26" xfId="0" applyNumberFormat="1" applyFont="1" applyFill="1" applyBorder="1" applyAlignment="1">
      <alignment horizontal="center" vertical="center"/>
    </xf>
    <xf numFmtId="0" fontId="4" fillId="9" borderId="12" xfId="0" applyNumberFormat="1" applyFont="1" applyFill="1" applyBorder="1" applyAlignment="1">
      <alignment horizontal="center" vertical="center"/>
    </xf>
    <xf numFmtId="0" fontId="4" fillId="9" borderId="5" xfId="0" applyNumberFormat="1" applyFont="1" applyFill="1" applyBorder="1" applyAlignment="1">
      <alignment horizontal="center" vertical="top"/>
    </xf>
    <xf numFmtId="0" fontId="20" fillId="0" borderId="5" xfId="0" applyNumberFormat="1" applyFont="1" applyFill="1" applyBorder="1" applyAlignment="1">
      <alignment horizontal="left" vertical="top" wrapText="1"/>
    </xf>
    <xf numFmtId="176" fontId="4" fillId="0" borderId="5" xfId="0" applyNumberFormat="1" applyFont="1" applyFill="1" applyBorder="1" applyAlignment="1">
      <alignment horizontal="center" vertical="top"/>
    </xf>
    <xf numFmtId="0" fontId="20" fillId="0" borderId="5" xfId="0" applyNumberFormat="1" applyFont="1" applyBorder="1" applyAlignment="1">
      <alignment horizontal="left" vertical="top" wrapText="1"/>
    </xf>
    <xf numFmtId="0" fontId="36" fillId="0" borderId="5" xfId="6" applyNumberFormat="1" applyFont="1" applyFill="1" applyBorder="1" applyAlignment="1">
      <alignment horizontal="left" vertical="top" wrapText="1"/>
    </xf>
    <xf numFmtId="0" fontId="36" fillId="0" borderId="22" xfId="6" applyNumberFormat="1" applyFont="1" applyFill="1" applyBorder="1" applyAlignment="1">
      <alignment horizontal="left" vertical="top" wrapText="1"/>
    </xf>
    <xf numFmtId="0" fontId="20" fillId="0" borderId="26" xfId="0" applyNumberFormat="1" applyFont="1" applyBorder="1" applyAlignment="1">
      <alignment horizontal="left" vertical="top" wrapText="1"/>
    </xf>
    <xf numFmtId="0" fontId="20" fillId="0" borderId="12" xfId="0" applyNumberFormat="1" applyFont="1" applyBorder="1" applyAlignment="1">
      <alignment horizontal="left" vertical="top" wrapText="1"/>
    </xf>
    <xf numFmtId="0" fontId="52" fillId="0" borderId="22" xfId="4" applyNumberFormat="1" applyFont="1" applyFill="1" applyBorder="1" applyAlignment="1">
      <alignment horizontal="center" vertical="center"/>
    </xf>
    <xf numFmtId="0" fontId="52" fillId="0" borderId="12" xfId="4" applyNumberFormat="1" applyFont="1" applyFill="1" applyBorder="1" applyAlignment="1">
      <alignment horizontal="center" vertical="center"/>
    </xf>
    <xf numFmtId="0" fontId="4" fillId="14" borderId="22" xfId="4" applyNumberFormat="1" applyFont="1" applyFill="1" applyBorder="1" applyAlignment="1">
      <alignment horizontal="center" vertical="center"/>
    </xf>
    <xf numFmtId="0" fontId="4" fillId="14" borderId="12" xfId="4" applyNumberFormat="1" applyFont="1" applyFill="1" applyBorder="1" applyAlignment="1">
      <alignment horizontal="center" vertical="center"/>
    </xf>
    <xf numFmtId="0" fontId="7" fillId="2" borderId="21" xfId="0" applyNumberFormat="1" applyFont="1" applyFill="1" applyBorder="1" applyAlignment="1">
      <alignment horizontal="center" vertical="center" wrapText="1"/>
    </xf>
    <xf numFmtId="0" fontId="73" fillId="2" borderId="19" xfId="0" applyNumberFormat="1" applyFont="1" applyFill="1" applyBorder="1" applyAlignment="1">
      <alignment horizontal="center" vertical="center" wrapText="1"/>
    </xf>
    <xf numFmtId="0" fontId="73" fillId="2" borderId="31" xfId="0" applyNumberFormat="1" applyFont="1" applyFill="1" applyBorder="1" applyAlignment="1">
      <alignment horizontal="center" vertical="center" wrapText="1"/>
    </xf>
    <xf numFmtId="0" fontId="4" fillId="0" borderId="22" xfId="0" applyNumberFormat="1" applyFont="1" applyBorder="1" applyAlignment="1">
      <alignment horizontal="left" vertical="top"/>
    </xf>
    <xf numFmtId="0" fontId="4" fillId="0" borderId="26" xfId="0" applyNumberFormat="1" applyFont="1" applyBorder="1" applyAlignment="1">
      <alignment horizontal="left" vertical="top"/>
    </xf>
    <xf numFmtId="0" fontId="4" fillId="0" borderId="12" xfId="0" applyNumberFormat="1" applyFont="1" applyBorder="1" applyAlignment="1">
      <alignment horizontal="left" vertical="top"/>
    </xf>
    <xf numFmtId="0" fontId="7" fillId="2" borderId="19" xfId="0" applyNumberFormat="1" applyFont="1" applyFill="1" applyBorder="1" applyAlignment="1">
      <alignment horizontal="center" vertical="center" wrapText="1"/>
    </xf>
    <xf numFmtId="181" fontId="4" fillId="18" borderId="5" xfId="0" applyNumberFormat="1" applyFont="1" applyFill="1" applyBorder="1" applyAlignment="1">
      <alignment vertical="center" wrapText="1"/>
    </xf>
    <xf numFmtId="181" fontId="4" fillId="0" borderId="22" xfId="0" applyNumberFormat="1" applyFont="1" applyFill="1" applyBorder="1" applyAlignment="1">
      <alignment horizontal="center" vertical="center" wrapText="1"/>
    </xf>
    <xf numFmtId="181" fontId="4" fillId="0" borderId="26" xfId="0" applyNumberFormat="1" applyFont="1" applyFill="1" applyBorder="1" applyAlignment="1">
      <alignment horizontal="center" vertical="center" wrapText="1"/>
    </xf>
    <xf numFmtId="181" fontId="4" fillId="0" borderId="12" xfId="0" applyNumberFormat="1" applyFont="1" applyFill="1" applyBorder="1" applyAlignment="1">
      <alignment horizontal="center" vertical="center" wrapText="1"/>
    </xf>
    <xf numFmtId="0" fontId="4" fillId="0" borderId="5" xfId="0" applyFont="1" applyFill="1" applyBorder="1" applyAlignment="1">
      <alignment horizontal="center" vertical="center"/>
    </xf>
    <xf numFmtId="181" fontId="4" fillId="0" borderId="5" xfId="0" applyNumberFormat="1" applyFont="1" applyFill="1" applyBorder="1" applyAlignment="1">
      <alignment horizontal="center" vertical="center"/>
    </xf>
    <xf numFmtId="0" fontId="20" fillId="0" borderId="22" xfId="0" applyFont="1" applyBorder="1" applyAlignment="1">
      <alignment horizontal="left" vertical="center" wrapText="1"/>
    </xf>
    <xf numFmtId="0" fontId="20" fillId="0" borderId="26" xfId="0" applyFont="1" applyBorder="1" applyAlignment="1">
      <alignment horizontal="left" vertical="center" wrapText="1"/>
    </xf>
    <xf numFmtId="0" fontId="20" fillId="0" borderId="12" xfId="0" applyFont="1" applyBorder="1" applyAlignment="1">
      <alignment horizontal="left" vertical="center" wrapText="1"/>
    </xf>
    <xf numFmtId="0" fontId="20" fillId="0" borderId="23" xfId="0" applyFont="1" applyBorder="1" applyAlignment="1">
      <alignment horizontal="left" vertical="center" wrapText="1"/>
    </xf>
    <xf numFmtId="0" fontId="20" fillId="0" borderId="30" xfId="0" applyFont="1" applyBorder="1" applyAlignment="1">
      <alignment horizontal="left" vertical="center" wrapText="1"/>
    </xf>
    <xf numFmtId="0" fontId="20" fillId="0" borderId="27" xfId="0" applyFont="1" applyBorder="1" applyAlignment="1">
      <alignment horizontal="left" vertical="center" wrapText="1"/>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9" borderId="5" xfId="0" applyFont="1" applyFill="1" applyBorder="1" applyAlignment="1">
      <alignment horizontal="center" vertical="center"/>
    </xf>
    <xf numFmtId="43" fontId="4" fillId="0" borderId="22" xfId="4" applyFont="1" applyFill="1" applyBorder="1" applyAlignment="1">
      <alignment horizontal="center" vertical="center"/>
    </xf>
    <xf numFmtId="43" fontId="4" fillId="0" borderId="26" xfId="4" applyFont="1" applyFill="1" applyBorder="1" applyAlignment="1">
      <alignment horizontal="center" vertical="center"/>
    </xf>
    <xf numFmtId="43" fontId="4" fillId="0" borderId="12" xfId="4" applyFont="1" applyFill="1" applyBorder="1" applyAlignment="1">
      <alignment horizontal="center" vertical="center"/>
    </xf>
    <xf numFmtId="0" fontId="7" fillId="2" borderId="23" xfId="0" applyFont="1" applyFill="1" applyBorder="1" applyAlignment="1">
      <alignment horizontal="center" vertical="center"/>
    </xf>
    <xf numFmtId="0" fontId="7" fillId="2" borderId="35" xfId="0" applyFont="1" applyFill="1" applyBorder="1" applyAlignment="1">
      <alignment horizontal="center" vertical="center"/>
    </xf>
    <xf numFmtId="0" fontId="7" fillId="2" borderId="28" xfId="0" applyFont="1" applyFill="1" applyBorder="1" applyAlignment="1">
      <alignment horizontal="center" vertical="center"/>
    </xf>
    <xf numFmtId="0" fontId="20" fillId="0" borderId="22" xfId="0" applyFont="1" applyFill="1" applyBorder="1" applyAlignment="1">
      <alignment horizontal="left" vertical="center" wrapText="1"/>
    </xf>
    <xf numFmtId="0" fontId="20" fillId="0" borderId="26"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23" xfId="0" applyFont="1" applyFill="1" applyBorder="1" applyAlignment="1">
      <alignment horizontal="left" vertical="center" wrapText="1"/>
    </xf>
    <xf numFmtId="0" fontId="20" fillId="0" borderId="30" xfId="0" applyFont="1" applyFill="1" applyBorder="1" applyAlignment="1">
      <alignment horizontal="left" vertical="center" wrapText="1"/>
    </xf>
    <xf numFmtId="0" fontId="20" fillId="0" borderId="27" xfId="0" applyFont="1" applyFill="1" applyBorder="1" applyAlignment="1">
      <alignment horizontal="left" vertical="center" wrapText="1"/>
    </xf>
    <xf numFmtId="0" fontId="7" fillId="2" borderId="21"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4" fillId="0" borderId="22" xfId="0" applyFont="1" applyBorder="1" applyAlignment="1">
      <alignment horizontal="left" vertical="center"/>
    </xf>
    <xf numFmtId="0" fontId="4" fillId="0" borderId="12" xfId="0" applyFont="1" applyBorder="1" applyAlignment="1">
      <alignment horizontal="left" vertical="center"/>
    </xf>
    <xf numFmtId="43" fontId="4" fillId="0" borderId="22" xfId="4" applyFont="1" applyFill="1" applyBorder="1" applyAlignment="1">
      <alignment horizontal="center" vertical="top"/>
    </xf>
    <xf numFmtId="43" fontId="4" fillId="0" borderId="26" xfId="4" applyFont="1" applyFill="1" applyBorder="1" applyAlignment="1">
      <alignment horizontal="center" vertical="top"/>
    </xf>
    <xf numFmtId="43" fontId="4" fillId="0" borderId="12" xfId="4" applyFont="1" applyFill="1" applyBorder="1" applyAlignment="1">
      <alignment horizontal="center" vertical="top"/>
    </xf>
    <xf numFmtId="0" fontId="4" fillId="9" borderId="22" xfId="0" applyFont="1" applyFill="1" applyBorder="1" applyAlignment="1">
      <alignment horizontal="center" vertical="center"/>
    </xf>
    <xf numFmtId="0" fontId="4" fillId="9" borderId="26" xfId="0" applyFont="1" applyFill="1" applyBorder="1" applyAlignment="1">
      <alignment horizontal="center" vertical="center"/>
    </xf>
    <xf numFmtId="0" fontId="4" fillId="9" borderId="12" xfId="0" applyFont="1" applyFill="1" applyBorder="1" applyAlignment="1">
      <alignment horizontal="center" vertical="center"/>
    </xf>
    <xf numFmtId="0" fontId="4" fillId="0" borderId="22"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12" xfId="0" applyFont="1" applyFill="1" applyBorder="1" applyAlignment="1">
      <alignment horizontal="center" vertical="center"/>
    </xf>
    <xf numFmtId="43" fontId="4" fillId="0" borderId="22" xfId="4" applyFont="1" applyBorder="1" applyAlignment="1">
      <alignment horizontal="center" vertical="top"/>
    </xf>
    <xf numFmtId="43" fontId="4" fillId="0" borderId="26" xfId="4" applyFont="1" applyBorder="1" applyAlignment="1">
      <alignment horizontal="center" vertical="top"/>
    </xf>
    <xf numFmtId="43" fontId="4" fillId="0" borderId="12" xfId="4" applyFont="1" applyBorder="1" applyAlignment="1">
      <alignment horizontal="center" vertical="top"/>
    </xf>
    <xf numFmtId="0" fontId="58" fillId="0" borderId="0" xfId="0" applyFont="1" applyAlignment="1">
      <alignment horizontal="justify" vertical="center"/>
    </xf>
    <xf numFmtId="0" fontId="56" fillId="0" borderId="0" xfId="0" applyFont="1" applyAlignment="1">
      <alignment horizontal="justify" vertical="center"/>
    </xf>
    <xf numFmtId="0" fontId="0" fillId="17" borderId="5" xfId="0" applyFill="1" applyBorder="1" applyAlignment="1">
      <alignment horizontal="center" vertical="center"/>
    </xf>
    <xf numFmtId="0" fontId="0" fillId="12" borderId="5" xfId="0" applyFill="1" applyBorder="1" applyAlignment="1">
      <alignment horizontal="center" vertical="center"/>
    </xf>
    <xf numFmtId="0" fontId="4" fillId="6" borderId="5" xfId="0" applyFont="1" applyFill="1" applyBorder="1" applyAlignment="1">
      <alignment horizontal="center" vertical="center"/>
    </xf>
    <xf numFmtId="0" fontId="4" fillId="0" borderId="5" xfId="0" applyFont="1" applyFill="1" applyBorder="1" applyAlignment="1">
      <alignment horizontal="right" vertical="center"/>
    </xf>
    <xf numFmtId="0" fontId="4" fillId="9" borderId="21" xfId="0" applyFont="1" applyFill="1" applyBorder="1" applyAlignment="1">
      <alignment horizontal="center" vertical="center"/>
    </xf>
    <xf numFmtId="181" fontId="4" fillId="0" borderId="5" xfId="0" applyNumberFormat="1" applyFont="1" applyFill="1" applyBorder="1" applyAlignment="1">
      <alignment horizontal="right" vertical="center"/>
    </xf>
    <xf numFmtId="0" fontId="4" fillId="0" borderId="22" xfId="0" applyFont="1" applyBorder="1" applyAlignment="1">
      <alignment horizontal="center" vertical="center"/>
    </xf>
    <xf numFmtId="0" fontId="4" fillId="0" borderId="26" xfId="0" applyFont="1" applyBorder="1" applyAlignment="1">
      <alignment horizontal="center" vertical="center"/>
    </xf>
    <xf numFmtId="0" fontId="4" fillId="0" borderId="12" xfId="0" applyFont="1" applyBorder="1" applyAlignment="1">
      <alignment horizontal="center" vertical="center"/>
    </xf>
    <xf numFmtId="0" fontId="4" fillId="0" borderId="5" xfId="0" applyFont="1" applyFill="1" applyBorder="1" applyAlignment="1">
      <alignment horizontal="left" vertical="center" wrapText="1"/>
    </xf>
    <xf numFmtId="0" fontId="4" fillId="0" borderId="5" xfId="0" applyFont="1" applyFill="1" applyBorder="1" applyAlignment="1">
      <alignment horizontal="left" vertical="center"/>
    </xf>
    <xf numFmtId="0" fontId="4" fillId="0" borderId="22" xfId="0" applyFont="1" applyBorder="1" applyAlignment="1">
      <alignment horizontal="left" vertical="center" wrapText="1"/>
    </xf>
    <xf numFmtId="0" fontId="4" fillId="0" borderId="12" xfId="0" applyFont="1" applyBorder="1" applyAlignment="1">
      <alignment horizontal="left" vertical="center" wrapText="1"/>
    </xf>
    <xf numFmtId="43" fontId="52" fillId="0" borderId="22" xfId="4" applyFont="1" applyBorder="1" applyAlignment="1">
      <alignment horizontal="center" vertical="center"/>
    </xf>
    <xf numFmtId="43" fontId="52" fillId="0" borderId="12" xfId="4" applyFont="1" applyBorder="1" applyAlignment="1">
      <alignment horizontal="center" vertical="center"/>
    </xf>
    <xf numFmtId="0" fontId="70" fillId="2" borderId="5" xfId="0" applyFont="1" applyFill="1" applyBorder="1" applyAlignment="1">
      <alignment horizontal="center" vertical="center"/>
    </xf>
    <xf numFmtId="0" fontId="4" fillId="0" borderId="5" xfId="0" applyFont="1" applyBorder="1" applyAlignment="1">
      <alignment horizontal="left" vertical="center" wrapText="1"/>
    </xf>
    <xf numFmtId="43" fontId="4" fillId="0" borderId="22" xfId="4" applyFont="1" applyBorder="1" applyAlignment="1">
      <alignment horizontal="center" vertical="center"/>
    </xf>
    <xf numFmtId="43" fontId="4" fillId="0" borderId="12" xfId="4" applyFont="1" applyBorder="1" applyAlignment="1">
      <alignment horizontal="center" vertical="center"/>
    </xf>
    <xf numFmtId="43" fontId="4" fillId="0" borderId="26" xfId="4" applyFont="1" applyBorder="1" applyAlignment="1">
      <alignment horizontal="center" vertical="center"/>
    </xf>
    <xf numFmtId="0" fontId="4" fillId="0" borderId="26" xfId="0" applyFont="1" applyBorder="1" applyAlignment="1">
      <alignment horizontal="left" vertical="center"/>
    </xf>
    <xf numFmtId="43" fontId="46" fillId="0" borderId="22" xfId="4" applyFont="1" applyBorder="1" applyAlignment="1">
      <alignment horizontal="center" vertical="center"/>
    </xf>
    <xf numFmtId="43" fontId="46" fillId="0" borderId="12" xfId="4" applyFont="1" applyBorder="1" applyAlignment="1">
      <alignment horizontal="center" vertical="center"/>
    </xf>
    <xf numFmtId="0" fontId="20" fillId="0" borderId="28" xfId="0" applyFont="1" applyFill="1" applyBorder="1" applyAlignment="1">
      <alignment horizontal="left" vertical="center" wrapText="1"/>
    </xf>
    <xf numFmtId="0" fontId="20" fillId="0" borderId="29" xfId="0" applyFont="1" applyFill="1" applyBorder="1" applyAlignment="1">
      <alignment horizontal="left" vertical="center" wrapText="1"/>
    </xf>
    <xf numFmtId="10" fontId="4" fillId="3" borderId="5" xfId="0" applyNumberFormat="1" applyFont="1" applyFill="1" applyBorder="1" applyAlignment="1">
      <alignment horizontal="right" vertical="center"/>
    </xf>
    <xf numFmtId="0" fontId="20" fillId="0" borderId="5" xfId="0" applyFont="1" applyFill="1" applyBorder="1" applyAlignment="1">
      <alignment horizontal="left" vertical="center" wrapText="1"/>
    </xf>
    <xf numFmtId="176" fontId="4" fillId="0" borderId="22" xfId="0" applyNumberFormat="1" applyFont="1" applyFill="1" applyBorder="1" applyAlignment="1">
      <alignment horizontal="center" vertical="center"/>
    </xf>
    <xf numFmtId="176" fontId="4" fillId="0" borderId="12" xfId="0" applyNumberFormat="1" applyFont="1" applyFill="1" applyBorder="1" applyAlignment="1">
      <alignment horizontal="center" vertical="center"/>
    </xf>
    <xf numFmtId="176" fontId="4" fillId="0" borderId="5" xfId="0" applyNumberFormat="1" applyFont="1" applyFill="1" applyBorder="1" applyAlignment="1">
      <alignment horizontal="center" vertical="center"/>
    </xf>
    <xf numFmtId="181" fontId="4" fillId="19" borderId="22" xfId="4" applyNumberFormat="1" applyFont="1" applyFill="1" applyBorder="1" applyAlignment="1">
      <alignment horizontal="center" vertical="center"/>
    </xf>
    <xf numFmtId="181" fontId="4" fillId="19" borderId="12" xfId="4" applyNumberFormat="1" applyFont="1" applyFill="1" applyBorder="1" applyAlignment="1">
      <alignment horizontal="center" vertical="center"/>
    </xf>
    <xf numFmtId="0" fontId="20" fillId="0" borderId="22" xfId="0" applyFont="1" applyFill="1" applyBorder="1" applyAlignment="1">
      <alignment horizontal="center" vertical="center" wrapText="1"/>
    </xf>
    <xf numFmtId="0" fontId="20" fillId="0" borderId="26"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23"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0" borderId="27" xfId="0" applyFont="1" applyFill="1" applyBorder="1" applyAlignment="1">
      <alignment horizontal="center" vertical="center" wrapText="1"/>
    </xf>
    <xf numFmtId="181" fontId="4" fillId="0" borderId="5" xfId="0" quotePrefix="1" applyNumberFormat="1" applyFont="1" applyFill="1" applyBorder="1" applyAlignment="1">
      <alignment horizontal="center" vertical="center"/>
    </xf>
    <xf numFmtId="181" fontId="4" fillId="56" borderId="5" xfId="0" quotePrefix="1" applyNumberFormat="1" applyFont="1" applyFill="1" applyBorder="1" applyAlignment="1">
      <alignment horizontal="center" vertical="center"/>
    </xf>
    <xf numFmtId="0" fontId="20" fillId="0" borderId="22" xfId="0" applyFont="1" applyBorder="1" applyAlignment="1">
      <alignment horizontal="left" vertical="top" wrapText="1"/>
    </xf>
    <xf numFmtId="0" fontId="20" fillId="0" borderId="26" xfId="0" applyFont="1" applyBorder="1" applyAlignment="1">
      <alignment horizontal="left" vertical="top" wrapText="1"/>
    </xf>
    <xf numFmtId="0" fontId="20" fillId="0" borderId="12" xfId="0" applyFont="1" applyBorder="1" applyAlignment="1">
      <alignment horizontal="left" vertical="top" wrapText="1"/>
    </xf>
    <xf numFmtId="0" fontId="20" fillId="0" borderId="22"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5" xfId="0" applyNumberFormat="1" applyFont="1" applyBorder="1" applyAlignment="1">
      <alignment horizontal="left" vertical="center" wrapText="1"/>
    </xf>
    <xf numFmtId="0" fontId="20" fillId="0" borderId="5" xfId="0" applyFont="1" applyBorder="1" applyAlignment="1">
      <alignment horizontal="left" vertical="center" wrapText="1"/>
    </xf>
    <xf numFmtId="0" fontId="20" fillId="0" borderId="21" xfId="0" applyFont="1" applyBorder="1" applyAlignment="1">
      <alignment horizontal="left"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center" vertical="center" wrapText="1"/>
    </xf>
    <xf numFmtId="0" fontId="36" fillId="0" borderId="5" xfId="0" applyFont="1" applyFill="1" applyBorder="1" applyAlignment="1">
      <alignment horizontal="left" vertical="center" wrapText="1"/>
    </xf>
    <xf numFmtId="0" fontId="36" fillId="0" borderId="21" xfId="0" applyFont="1" applyBorder="1" applyAlignment="1">
      <alignment horizontal="left" vertical="center" wrapText="1"/>
    </xf>
    <xf numFmtId="0" fontId="36" fillId="0" borderId="19" xfId="0" applyFont="1" applyBorder="1" applyAlignment="1">
      <alignment horizontal="left" vertical="center" wrapText="1"/>
    </xf>
    <xf numFmtId="0" fontId="36" fillId="0" borderId="31" xfId="0" applyFont="1" applyBorder="1" applyAlignment="1">
      <alignment horizontal="left" vertical="center" wrapText="1"/>
    </xf>
    <xf numFmtId="0" fontId="20" fillId="0" borderId="21" xfId="0" applyFont="1" applyFill="1" applyBorder="1" applyAlignment="1">
      <alignment horizontal="left" vertical="center" wrapText="1"/>
    </xf>
    <xf numFmtId="0" fontId="20" fillId="0" borderId="19" xfId="0" applyFont="1" applyFill="1" applyBorder="1" applyAlignment="1">
      <alignment horizontal="left" vertical="center" wrapText="1"/>
    </xf>
    <xf numFmtId="0" fontId="20" fillId="0" borderId="31" xfId="0" applyFont="1" applyFill="1" applyBorder="1" applyAlignment="1">
      <alignment horizontal="left" vertical="center" wrapText="1"/>
    </xf>
    <xf numFmtId="0" fontId="26" fillId="0" borderId="21" xfId="0" applyFont="1" applyFill="1" applyBorder="1" applyAlignment="1">
      <alignment horizontal="center" vertical="center" wrapText="1"/>
    </xf>
    <xf numFmtId="0" fontId="26" fillId="0" borderId="19" xfId="0" applyFont="1" applyFill="1" applyBorder="1" applyAlignment="1">
      <alignment horizontal="center" vertical="center" wrapText="1"/>
    </xf>
    <xf numFmtId="0" fontId="26" fillId="0" borderId="31"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26"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0" fillId="0" borderId="19" xfId="0" applyFont="1" applyBorder="1" applyAlignment="1">
      <alignment horizontal="left" vertical="center" wrapText="1"/>
    </xf>
    <xf numFmtId="0" fontId="20" fillId="0" borderId="31" xfId="0" applyFont="1" applyBorder="1" applyAlignment="1">
      <alignment horizontal="left" vertical="center" wrapText="1"/>
    </xf>
    <xf numFmtId="0" fontId="20" fillId="0" borderId="35" xfId="0" applyFont="1" applyBorder="1" applyAlignment="1">
      <alignment horizontal="left" vertical="center" wrapText="1"/>
    </xf>
    <xf numFmtId="0" fontId="20" fillId="0" borderId="28" xfId="0" applyFont="1" applyBorder="1" applyAlignment="1">
      <alignment horizontal="left" vertical="center" wrapText="1"/>
    </xf>
    <xf numFmtId="0" fontId="20" fillId="0" borderId="7" xfId="0" applyFont="1" applyBorder="1" applyAlignment="1">
      <alignment horizontal="left" vertical="center" wrapText="1"/>
    </xf>
    <xf numFmtId="0" fontId="20" fillId="0" borderId="29" xfId="0" applyFont="1" applyBorder="1" applyAlignment="1">
      <alignment horizontal="left" vertical="center" wrapText="1"/>
    </xf>
    <xf numFmtId="0" fontId="20" fillId="0" borderId="21" xfId="0" applyFont="1" applyBorder="1" applyAlignment="1">
      <alignment vertical="center" wrapText="1"/>
    </xf>
    <xf numFmtId="0" fontId="20" fillId="0" borderId="19" xfId="0" applyFont="1" applyBorder="1" applyAlignment="1">
      <alignment vertical="center" wrapText="1"/>
    </xf>
    <xf numFmtId="0" fontId="20" fillId="0" borderId="31" xfId="0" applyFont="1" applyBorder="1" applyAlignment="1">
      <alignment vertical="center" wrapText="1"/>
    </xf>
    <xf numFmtId="0" fontId="20" fillId="0" borderId="23" xfId="0" applyFont="1" applyBorder="1" applyAlignment="1">
      <alignment vertical="center" wrapText="1"/>
    </xf>
    <xf numFmtId="0" fontId="20" fillId="0" borderId="35" xfId="0" applyFont="1" applyBorder="1" applyAlignment="1">
      <alignment vertical="center" wrapText="1"/>
    </xf>
    <xf numFmtId="0" fontId="20" fillId="0" borderId="28" xfId="0" applyFont="1" applyBorder="1" applyAlignment="1">
      <alignment vertical="center" wrapText="1"/>
    </xf>
    <xf numFmtId="0" fontId="20" fillId="0" borderId="27" xfId="0" applyFont="1" applyBorder="1" applyAlignment="1">
      <alignment vertical="center" wrapText="1"/>
    </xf>
    <xf numFmtId="0" fontId="20" fillId="0" borderId="7" xfId="0" applyFont="1" applyBorder="1" applyAlignment="1">
      <alignment vertical="center" wrapText="1"/>
    </xf>
    <xf numFmtId="0" fontId="20" fillId="0" borderId="29" xfId="0" applyFont="1" applyBorder="1" applyAlignment="1">
      <alignment vertical="center" wrapText="1"/>
    </xf>
    <xf numFmtId="181" fontId="20" fillId="0" borderId="5" xfId="0" applyNumberFormat="1" applyFont="1" applyFill="1" applyBorder="1" applyAlignment="1">
      <alignment horizontal="center" vertical="center" wrapText="1"/>
    </xf>
    <xf numFmtId="181" fontId="20" fillId="11" borderId="22" xfId="0" applyNumberFormat="1" applyFont="1" applyFill="1" applyBorder="1" applyAlignment="1">
      <alignment horizontal="center" vertical="center" wrapText="1"/>
    </xf>
    <xf numFmtId="181" fontId="20" fillId="11" borderId="12" xfId="0" applyNumberFormat="1" applyFont="1" applyFill="1" applyBorder="1" applyAlignment="1">
      <alignment horizontal="center" vertical="center" wrapText="1"/>
    </xf>
    <xf numFmtId="0" fontId="20" fillId="0" borderId="5" xfId="0" applyFont="1" applyBorder="1">
      <alignment vertical="center"/>
    </xf>
    <xf numFmtId="0" fontId="20" fillId="0" borderId="22" xfId="0" applyFont="1" applyBorder="1" applyAlignment="1">
      <alignment horizontal="center" vertical="center" wrapText="1"/>
    </xf>
    <xf numFmtId="0" fontId="20" fillId="0" borderId="12" xfId="0" applyFont="1" applyBorder="1" applyAlignment="1">
      <alignment horizontal="center" vertical="center" wrapText="1"/>
    </xf>
    <xf numFmtId="0" fontId="26" fillId="0" borderId="22" xfId="0" applyFont="1" applyBorder="1" applyAlignment="1">
      <alignment vertical="center" wrapText="1"/>
    </xf>
    <xf numFmtId="0" fontId="26" fillId="0" borderId="12" xfId="0" applyFont="1" applyBorder="1" applyAlignment="1">
      <alignment vertical="center" wrapText="1"/>
    </xf>
    <xf numFmtId="0" fontId="11" fillId="0" borderId="22"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12" xfId="0" applyFont="1" applyBorder="1" applyAlignment="1">
      <alignment horizontal="center" vertical="center" wrapText="1"/>
    </xf>
    <xf numFmtId="0" fontId="24" fillId="0" borderId="22" xfId="6" applyFont="1" applyBorder="1" applyAlignment="1">
      <alignment horizontal="left" vertical="center" wrapText="1"/>
    </xf>
    <xf numFmtId="0" fontId="24" fillId="0" borderId="26" xfId="6" applyFont="1" applyBorder="1" applyAlignment="1">
      <alignment horizontal="left" vertical="center" wrapText="1"/>
    </xf>
    <xf numFmtId="0" fontId="24" fillId="0" borderId="12" xfId="6" applyFont="1" applyBorder="1" applyAlignment="1">
      <alignment horizontal="left" vertical="center" wrapText="1"/>
    </xf>
    <xf numFmtId="0" fontId="22" fillId="0" borderId="21" xfId="6" applyFont="1" applyBorder="1" applyAlignment="1">
      <alignment horizontal="center" vertical="center" wrapText="1"/>
    </xf>
    <xf numFmtId="0" fontId="22" fillId="0" borderId="31" xfId="6" applyFont="1" applyBorder="1" applyAlignment="1">
      <alignment horizontal="center" vertical="center" wrapText="1"/>
    </xf>
    <xf numFmtId="0" fontId="22" fillId="3" borderId="22" xfId="6" applyFont="1" applyFill="1" applyBorder="1" applyAlignment="1">
      <alignment horizontal="center" vertical="center" wrapText="1"/>
    </xf>
    <xf numFmtId="0" fontId="22" fillId="3" borderId="12" xfId="6" applyFont="1" applyFill="1" applyBorder="1" applyAlignment="1">
      <alignment horizontal="center" vertical="center" wrapText="1"/>
    </xf>
    <xf numFmtId="0" fontId="22" fillId="0" borderId="22" xfId="6" applyFont="1" applyBorder="1" applyAlignment="1">
      <alignment horizontal="center" vertical="center" wrapText="1"/>
    </xf>
    <xf numFmtId="0" fontId="22" fillId="0" borderId="26" xfId="6" applyFont="1" applyBorder="1" applyAlignment="1">
      <alignment horizontal="center" vertical="center" wrapText="1"/>
    </xf>
    <xf numFmtId="0" fontId="22" fillId="0" borderId="12" xfId="6" applyFont="1" applyBorder="1" applyAlignment="1">
      <alignment horizontal="center" vertical="center" wrapText="1"/>
    </xf>
    <xf numFmtId="0" fontId="21" fillId="0" borderId="7" xfId="6" applyFont="1" applyBorder="1" applyAlignment="1">
      <alignment horizontal="center" vertical="center"/>
    </xf>
    <xf numFmtId="0" fontId="22" fillId="7" borderId="5" xfId="6" applyFont="1" applyFill="1" applyBorder="1" applyAlignment="1">
      <alignment horizontal="center" vertical="center" wrapText="1"/>
    </xf>
    <xf numFmtId="0" fontId="24" fillId="0" borderId="22" xfId="6" applyFont="1" applyFill="1" applyBorder="1" applyAlignment="1">
      <alignment horizontal="left" vertical="center" wrapText="1"/>
    </xf>
    <xf numFmtId="0" fontId="24" fillId="0" borderId="26" xfId="6" applyFont="1" applyFill="1" applyBorder="1" applyAlignment="1">
      <alignment horizontal="left" vertical="center" wrapText="1"/>
    </xf>
    <xf numFmtId="0" fontId="24" fillId="0" borderId="12" xfId="6" applyFont="1" applyFill="1" applyBorder="1" applyAlignment="1">
      <alignment horizontal="left" vertical="center" wrapText="1"/>
    </xf>
    <xf numFmtId="0" fontId="28" fillId="0" borderId="5" xfId="0" applyFont="1" applyBorder="1" applyAlignment="1">
      <alignment horizontal="center" vertical="center"/>
    </xf>
    <xf numFmtId="0" fontId="31" fillId="0" borderId="5" xfId="0" applyFont="1" applyBorder="1" applyAlignment="1">
      <alignment vertical="center" wrapText="1"/>
    </xf>
    <xf numFmtId="0" fontId="33" fillId="0" borderId="5" xfId="0" applyFont="1" applyBorder="1" applyAlignment="1">
      <alignment horizontal="left" vertical="center" wrapText="1"/>
    </xf>
    <xf numFmtId="0" fontId="31" fillId="0" borderId="5" xfId="0" applyFont="1" applyBorder="1" applyAlignment="1">
      <alignment horizontal="left" vertical="center"/>
    </xf>
    <xf numFmtId="0" fontId="31" fillId="0" borderId="5" xfId="0" applyFont="1" applyBorder="1" applyAlignment="1">
      <alignment horizontal="center" vertical="center" wrapText="1"/>
    </xf>
    <xf numFmtId="0" fontId="31" fillId="0" borderId="5" xfId="0" applyFont="1" applyBorder="1" applyAlignment="1">
      <alignment horizontal="left" vertical="center" wrapText="1"/>
    </xf>
    <xf numFmtId="0" fontId="32" fillId="0" borderId="5" xfId="0" applyFont="1" applyBorder="1" applyAlignment="1">
      <alignment horizontal="center" vertical="center" wrapText="1"/>
    </xf>
    <xf numFmtId="0" fontId="32" fillId="0" borderId="5" xfId="0" applyFont="1" applyBorder="1" applyAlignment="1">
      <alignment horizontal="left" vertical="center" wrapText="1"/>
    </xf>
    <xf numFmtId="0" fontId="20" fillId="0" borderId="5" xfId="0" applyFont="1" applyBorder="1" applyAlignment="1">
      <alignment horizontal="center" vertical="center" wrapText="1"/>
    </xf>
    <xf numFmtId="0" fontId="41" fillId="0" borderId="7" xfId="0" applyFont="1" applyBorder="1" applyAlignment="1">
      <alignment horizontal="center" vertical="center"/>
    </xf>
    <xf numFmtId="0" fontId="20" fillId="0" borderId="5" xfId="0" applyFont="1" applyBorder="1" applyAlignment="1">
      <alignment horizontal="center" vertical="center"/>
    </xf>
  </cellXfs>
  <cellStyles count="13">
    <cellStyle name="百分比" xfId="3" builtinId="5"/>
    <cellStyle name="百分比 2" xfId="7"/>
    <cellStyle name="百分比 2 2" xfId="8"/>
    <cellStyle name="常规" xfId="0" builtinId="0"/>
    <cellStyle name="常规 2" xfId="6"/>
    <cellStyle name="常规 2 2" xfId="9"/>
    <cellStyle name="常规 2 3" xfId="10"/>
    <cellStyle name="常规 2 3 2" xfId="5"/>
    <cellStyle name="常规 2 4" xfId="11"/>
    <cellStyle name="常规 3" xfId="12"/>
    <cellStyle name="常规 4" xfId="1"/>
    <cellStyle name="超链接" xfId="2" builtinId="8"/>
    <cellStyle name="千位分隔" xfId="4" builtinId="3"/>
  </cellStyles>
  <dxfs count="432">
    <dxf>
      <font>
        <color auto="1"/>
      </font>
      <fill>
        <patternFill>
          <bgColor theme="9"/>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dxf>
      <fill>
        <patternFill>
          <bgColor theme="5" tint="0.59996337778862885"/>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5"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dxf>
      <fill>
        <patternFill>
          <bgColor theme="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theme="9"/>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patternFill>
      </fill>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C00000"/>
      </font>
      <fill>
        <patternFill>
          <fgColor auto="1"/>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lor rgb="FFC00000"/>
      </font>
      <fill>
        <patternFill>
          <fgColor auto="1"/>
          <bgColor theme="5" tint="0.79998168889431442"/>
        </patternFill>
      </fill>
    </dxf>
    <dxf>
      <font>
        <condense val="0"/>
        <extend val="0"/>
        <color rgb="FF9C0006"/>
      </font>
      <fill>
        <patternFill>
          <bgColor rgb="FFFFC7CE"/>
        </patternFill>
      </fill>
    </dxf>
    <dxf>
      <font>
        <color theme="5" tint="-0.499984740745262"/>
      </font>
      <fill>
        <patternFill>
          <bgColor theme="5" tint="0.79998168889431442"/>
        </patternFill>
      </fill>
    </dxf>
    <dxf>
      <font>
        <color rgb="FFC00000"/>
      </font>
      <fill>
        <patternFill>
          <fgColor auto="1"/>
          <bgColor theme="5" tint="0.79998168889431442"/>
        </patternFill>
      </fill>
    </dxf>
    <dxf>
      <font>
        <color rgb="FFC00000"/>
      </font>
      <fill>
        <patternFill>
          <bgColor theme="5" tint="0.59996337778862885"/>
        </patternFill>
      </fill>
    </dxf>
    <dxf>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numFmt numFmtId="14" formatCode="0.00%"/>
    </dxf>
    <dxf>
      <numFmt numFmtId="176" formatCode="0.00_ "/>
    </dxf>
    <dxf>
      <numFmt numFmtId="0" formatCode="General"/>
    </dxf>
    <dxf>
      <fill>
        <patternFill patternType="darkGray"/>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numFmt numFmtId="176" formatCode="0.00_ "/>
    </dxf>
    <dxf>
      <numFmt numFmtId="176" formatCode="0.00_ "/>
    </dxf>
    <dxf>
      <numFmt numFmtId="14" formatCode="0.00%"/>
    </dxf>
    <dxf>
      <numFmt numFmtId="0" formatCode="Genera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76" formatCode="0.00_ "/>
    </dxf>
    <dxf>
      <numFmt numFmtId="14" formatCode="0.00%"/>
    </dxf>
    <dxf>
      <numFmt numFmtId="0" formatCode="General"/>
    </dxf>
    <dxf>
      <border>
        <left style="thin">
          <color indexed="64"/>
        </left>
        <right style="thin">
          <color indexed="64"/>
        </right>
        <vertical style="thin">
          <color indexed="64"/>
        </vertical>
        <horizontal style="thin">
          <color indexed="64"/>
        </horizontal>
      </border>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4" formatCode="0.00%"/>
    </dxf>
    <dxf>
      <numFmt numFmtId="176" formatCode="0.00_ "/>
    </dxf>
    <dxf>
      <numFmt numFmtId="0" formatCode="General"/>
    </dxf>
    <dxf>
      <font>
        <color rgb="FFC00000"/>
      </font>
      <fill>
        <patternFill>
          <bgColor theme="5" tint="0.79998168889431442"/>
        </patternFill>
      </fill>
    </dxf>
    <dxf>
      <numFmt numFmtId="14" formatCode="0.00%"/>
    </dxf>
    <dxf>
      <numFmt numFmtId="0" formatCode="General"/>
    </dxf>
    <dxf>
      <border>
        <bottom style="thin">
          <color indexed="64"/>
        </bottom>
      </border>
    </dxf>
    <dxf>
      <border>
        <left style="thin">
          <color indexed="64"/>
        </left>
        <right style="thin">
          <color indexed="64"/>
        </right>
        <vertical style="thin">
          <color indexed="64"/>
        </vertical>
        <horizontal style="thin">
          <color indexed="64"/>
        </horizontal>
      </border>
    </dxf>
    <dxf>
      <font>
        <color rgb="FFC00000"/>
      </font>
      <fill>
        <patternFill>
          <bgColor theme="5" tint="0.79998168889431442"/>
        </patternFill>
      </fill>
    </dxf>
    <dxf>
      <font>
        <color rgb="FFC00000"/>
      </font>
      <fill>
        <patternFill>
          <bgColor theme="5" tint="0.79998168889431442"/>
        </patternFill>
      </fill>
    </dxf>
    <dxf>
      <numFmt numFmtId="176" formatCode="0.00_ "/>
    </dxf>
    <dxf>
      <numFmt numFmtId="14" formatCode="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2.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1.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pivotCacheDefinition" Target="pivotCache/pivotCacheDefinition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2019Q2-2019Q3</a:t>
            </a:r>
            <a:r>
              <a:rPr lang="zh-CN" altLang="en-US"/>
              <a:t>变动情况</a:t>
            </a:r>
            <a:endParaRPr lang="en-US" altLang="zh-CN"/>
          </a:p>
        </c:rich>
      </c:tx>
      <c:overlay val="0"/>
    </c:title>
    <c:autoTitleDeleted val="0"/>
    <c:plotArea>
      <c:layout/>
      <c:barChart>
        <c:barDir val="col"/>
        <c:grouping val="stacked"/>
        <c:varyColors val="0"/>
        <c:ser>
          <c:idx val="0"/>
          <c:order val="0"/>
          <c:spPr>
            <a:solidFill>
              <a:srgbClr val="002060"/>
            </a:solidFill>
          </c:spPr>
          <c:invertIfNegative val="0"/>
          <c:dPt>
            <c:idx val="1"/>
            <c:invertIfNegative val="0"/>
            <c:bubble3D val="0"/>
            <c:spPr>
              <a:noFill/>
            </c:spPr>
          </c:dPt>
          <c:dPt>
            <c:idx val="2"/>
            <c:invertIfNegative val="0"/>
            <c:bubble3D val="0"/>
            <c:spPr>
              <a:noFill/>
            </c:spPr>
          </c:dPt>
          <c:dPt>
            <c:idx val="3"/>
            <c:invertIfNegative val="0"/>
            <c:bubble3D val="0"/>
            <c:spPr>
              <a:noFill/>
            </c:spPr>
          </c:dPt>
          <c:dPt>
            <c:idx val="4"/>
            <c:invertIfNegative val="0"/>
            <c:bubble3D val="0"/>
            <c:spPr>
              <a:noFill/>
            </c:spPr>
          </c:dPt>
          <c:dPt>
            <c:idx val="5"/>
            <c:invertIfNegative val="0"/>
            <c:bubble3D val="0"/>
            <c:spPr>
              <a:noFill/>
            </c:spPr>
          </c:dPt>
          <c:dLbls>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tx>
                <c:rich>
                  <a:bodyPr/>
                  <a:lstStyle/>
                  <a:p>
                    <a:r>
                      <a:rPr lang="en-US" altLang="zh-CN"/>
                      <a:t>92.09</a:t>
                    </a:r>
                  </a:p>
                </c:rich>
              </c:tx>
              <c:showLegendKey val="0"/>
              <c:showVal val="1"/>
              <c:showCatName val="0"/>
              <c:showSerName val="0"/>
              <c:showPercent val="0"/>
              <c:showBubbleSize val="0"/>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numFmt formatCode="#,##0.00_);[Red]\(#,##0.00\)" sourceLinked="0"/>
            <c:spPr>
              <a:noFill/>
            </c:spPr>
            <c:txPr>
              <a:bodyPr/>
              <a:lstStyle/>
              <a:p>
                <a:pPr>
                  <a:defRPr b="1">
                    <a:solidFill>
                      <a:schemeClr val="bg1"/>
                    </a:solidFill>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权重!$P$4:$P$10</c:f>
              <c:strCache>
                <c:ptCount val="7"/>
                <c:pt idx="0">
                  <c:v>Q2得分</c:v>
                </c:pt>
                <c:pt idx="1">
                  <c:v>销售、承保、保全业务线</c:v>
                </c:pt>
                <c:pt idx="2">
                  <c:v>理赔业务线</c:v>
                </c:pt>
                <c:pt idx="3">
                  <c:v>财务管理</c:v>
                </c:pt>
                <c:pt idx="4">
                  <c:v>信息系统</c:v>
                </c:pt>
                <c:pt idx="5">
                  <c:v>流动性风险</c:v>
                </c:pt>
                <c:pt idx="6">
                  <c:v>Q3得分</c:v>
                </c:pt>
              </c:strCache>
            </c:strRef>
          </c:cat>
          <c:val>
            <c:numRef>
              <c:f>权重!$Q$4:$Q$10</c:f>
              <c:numCache>
                <c:formatCode>General</c:formatCode>
                <c:ptCount val="7"/>
                <c:pt idx="0">
                  <c:v>92.410784143025452</c:v>
                </c:pt>
                <c:pt idx="1">
                  <c:v>92.410784143025452</c:v>
                </c:pt>
                <c:pt idx="2">
                  <c:v>92.401359580854617</c:v>
                </c:pt>
                <c:pt idx="3">
                  <c:v>92.358026247521281</c:v>
                </c:pt>
                <c:pt idx="4" formatCode="#,##0.0000_);\(#,##0.0000\)">
                  <c:v>92.358026247521281</c:v>
                </c:pt>
                <c:pt idx="5" formatCode="#,##0.0000_);\(#,##0.0000\)">
                  <c:v>92.085804025299069</c:v>
                </c:pt>
                <c:pt idx="6" formatCode="#,##0.0000_);\(#,##0.0000\)">
                  <c:v>92.085804025299069</c:v>
                </c:pt>
              </c:numCache>
            </c:numRef>
          </c:val>
        </c:ser>
        <c:ser>
          <c:idx val="1"/>
          <c:order val="1"/>
          <c:spPr>
            <a:solidFill>
              <a:srgbClr val="92D050"/>
            </a:solidFill>
          </c:spPr>
          <c:invertIfNegative val="0"/>
          <c:dLbls>
            <c:dLbl>
              <c:idx val="0"/>
              <c:delete val="1"/>
              <c:extLst>
                <c:ext xmlns:c15="http://schemas.microsoft.com/office/drawing/2012/chart" uri="{CE6537A1-D6FC-4f65-9D91-7224C49458BB}"/>
              </c:extLst>
            </c:dLbl>
            <c:dLbl>
              <c:idx val="1"/>
              <c:layout>
                <c:manualLayout>
                  <c:x val="2.9433911567678544E-3"/>
                  <c:y val="-2.4858878941502191E-3"/>
                </c:manualLayout>
              </c:layout>
              <c:tx>
                <c:rich>
                  <a:bodyPr/>
                  <a:lstStyle/>
                  <a:p>
                    <a:r>
                      <a:rPr lang="en-US" altLang="zh-CN"/>
                      <a:t>+0.74</a:t>
                    </a:r>
                    <a:endParaRPr lang="en-US" altLang="en-US"/>
                  </a:p>
                </c:rich>
              </c:tx>
              <c:showLegendKey val="0"/>
              <c:showVal val="1"/>
              <c:showCatName val="0"/>
              <c:showSerName val="0"/>
              <c:showPercent val="0"/>
              <c:showBubbleSize val="0"/>
              <c:extLst>
                <c:ext xmlns:c15="http://schemas.microsoft.com/office/drawing/2012/chart" uri="{CE6537A1-D6FC-4f65-9D91-7224C49458BB}"/>
              </c:extLst>
            </c:dLbl>
            <c:dLbl>
              <c:idx val="2"/>
              <c:layout>
                <c:manualLayout>
                  <c:x val="2.9433911567678544E-3"/>
                  <c:y val="-2.0803221515118889E-3"/>
                </c:manualLayout>
              </c:layout>
              <c:tx>
                <c:rich>
                  <a:bodyPr/>
                  <a:lstStyle/>
                  <a:p>
                    <a:r>
                      <a:rPr lang="en-US" altLang="en-US"/>
                      <a:t>-1.08</a:t>
                    </a:r>
                  </a:p>
                </c:rich>
              </c:tx>
              <c:showLegendKey val="0"/>
              <c:showVal val="1"/>
              <c:showCatName val="0"/>
              <c:showSerName val="0"/>
              <c:showPercent val="0"/>
              <c:showBubbleSize val="0"/>
              <c:extLst>
                <c:ext xmlns:c15="http://schemas.microsoft.com/office/drawing/2012/chart" uri="{CE6537A1-D6FC-4f65-9D91-7224C49458BB}"/>
              </c:extLst>
            </c:dLbl>
            <c:dLbl>
              <c:idx val="3"/>
              <c:layout>
                <c:manualLayout>
                  <c:x val="7.8916328492976813E-5"/>
                  <c:y val="-4.2109804767554646E-3"/>
                </c:manualLayout>
              </c:layout>
              <c:tx>
                <c:rich>
                  <a:bodyPr/>
                  <a:lstStyle/>
                  <a:p>
                    <a:r>
                      <a:rPr lang="en-US" altLang="zh-CN"/>
                      <a:t>-1.56</a:t>
                    </a:r>
                    <a:endParaRPr lang="en-US" altLang="en-US"/>
                  </a:p>
                </c:rich>
              </c:tx>
              <c:showLegendKey val="0"/>
              <c:showVal val="1"/>
              <c:showCatName val="0"/>
              <c:showSerName val="0"/>
              <c:showPercent val="0"/>
              <c:showBubbleSize val="0"/>
              <c:extLst>
                <c:ext xmlns:c15="http://schemas.microsoft.com/office/drawing/2012/chart" uri="{CE6537A1-D6FC-4f65-9D91-7224C49458BB}"/>
              </c:extLst>
            </c:dLbl>
            <c:dLbl>
              <c:idx val="4"/>
              <c:layout>
                <c:manualLayout>
                  <c:x val="0.1311659840560831"/>
                  <c:y val="9.208535576888506E-2"/>
                </c:manualLayout>
              </c:layout>
              <c:tx>
                <c:rich>
                  <a:bodyPr/>
                  <a:lstStyle/>
                  <a:p>
                    <a:r>
                      <a:rPr lang="en-US" altLang="en-US"/>
                      <a:t>-2.22</a:t>
                    </a:r>
                  </a:p>
                </c:rich>
              </c:tx>
              <c:showLegendKey val="0"/>
              <c:showVal val="1"/>
              <c:showCatName val="0"/>
              <c:showSerName val="0"/>
              <c:showPercent val="0"/>
              <c:showBubbleSize val="0"/>
              <c:extLst>
                <c:ext xmlns:c15="http://schemas.microsoft.com/office/drawing/2012/chart" uri="{CE6537A1-D6FC-4f65-9D91-7224C49458BB}"/>
              </c:extLst>
            </c:dLbl>
            <c:dLbl>
              <c:idx val="5"/>
              <c:layout>
                <c:manualLayout>
                  <c:x val="-0.13124537012462673"/>
                  <c:y val="-0.19178082191780826"/>
                </c:manualLayout>
              </c:layout>
              <c:tx>
                <c:rich>
                  <a:bodyPr/>
                  <a:lstStyle/>
                  <a:p>
                    <a:r>
                      <a:rPr lang="en-US" altLang="zh-CN"/>
                      <a:t>+0.0056</a:t>
                    </a:r>
                  </a:p>
                </c:rich>
              </c:tx>
              <c:showLegendKey val="0"/>
              <c:showVal val="1"/>
              <c:showCatName val="0"/>
              <c:showSerName val="0"/>
              <c:showPercent val="0"/>
              <c:showBubbleSize val="0"/>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权重!$P$4:$P$10</c:f>
              <c:strCache>
                <c:ptCount val="7"/>
                <c:pt idx="0">
                  <c:v>Q2得分</c:v>
                </c:pt>
                <c:pt idx="1">
                  <c:v>销售、承保、保全业务线</c:v>
                </c:pt>
                <c:pt idx="2">
                  <c:v>理赔业务线</c:v>
                </c:pt>
                <c:pt idx="3">
                  <c:v>财务管理</c:v>
                </c:pt>
                <c:pt idx="4">
                  <c:v>信息系统</c:v>
                </c:pt>
                <c:pt idx="5">
                  <c:v>流动性风险</c:v>
                </c:pt>
                <c:pt idx="6">
                  <c:v>Q3得分</c:v>
                </c:pt>
              </c:strCache>
            </c:strRef>
          </c:cat>
          <c:val>
            <c:numRef>
              <c:f>权重!$R$4:$R$10</c:f>
              <c:numCache>
                <c:formatCode>#,##0.0000_);\(#,##0.0000\)</c:formatCode>
                <c:ptCount val="7"/>
                <c:pt idx="0">
                  <c:v>0</c:v>
                </c:pt>
                <c:pt idx="1">
                  <c:v>2.0575437829162664E-2</c:v>
                </c:pt>
                <c:pt idx="2">
                  <c:v>0</c:v>
                </c:pt>
                <c:pt idx="3">
                  <c:v>0</c:v>
                </c:pt>
                <c:pt idx="4">
                  <c:v>5.5555555555556347E-3</c:v>
                </c:pt>
                <c:pt idx="5">
                  <c:v>0</c:v>
                </c:pt>
                <c:pt idx="6">
                  <c:v>0</c:v>
                </c:pt>
              </c:numCache>
            </c:numRef>
          </c:val>
        </c:ser>
        <c:ser>
          <c:idx val="2"/>
          <c:order val="2"/>
          <c:spPr>
            <a:solidFill>
              <a:schemeClr val="accent6">
                <a:lumMod val="75000"/>
              </a:schemeClr>
            </a:solidFill>
          </c:spPr>
          <c:invertIfNegative val="0"/>
          <c:dLbls>
            <c:dLbl>
              <c:idx val="7"/>
              <c:layout>
                <c:manualLayout>
                  <c:x val="0"/>
                  <c:y val="9.1324200913242767E-3"/>
                </c:manualLayout>
              </c:layout>
              <c:tx>
                <c:rich>
                  <a:bodyPr/>
                  <a:lstStyle/>
                  <a:p>
                    <a:r>
                      <a:rPr lang="en-US" altLang="zh-CN"/>
                      <a:t>+0.150</a:t>
                    </a:r>
                    <a:endParaRPr lang="en-US" altLang="en-US"/>
                  </a:p>
                </c:rich>
              </c:tx>
              <c:showLegendKey val="0"/>
              <c:showVal val="0"/>
              <c:showCatName val="0"/>
              <c:showSerName val="0"/>
              <c:showPercent val="0"/>
              <c:showBubbleSize val="0"/>
              <c:extLst>
                <c:ext xmlns:c15="http://schemas.microsoft.com/office/drawing/2012/chart" uri="{CE6537A1-D6FC-4f65-9D91-7224C49458BB}"/>
              </c:extLst>
            </c:dLbl>
            <c:dLbl>
              <c:idx val="8"/>
              <c:tx>
                <c:rich>
                  <a:bodyPr/>
                  <a:lstStyle/>
                  <a:p>
                    <a:r>
                      <a:rPr lang="en-US" altLang="en-US"/>
                      <a:t>-1.111 </a:t>
                    </a:r>
                  </a:p>
                </c:rich>
              </c:tx>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权重!$P$4:$P$10</c:f>
              <c:strCache>
                <c:ptCount val="7"/>
                <c:pt idx="0">
                  <c:v>Q2得分</c:v>
                </c:pt>
                <c:pt idx="1">
                  <c:v>销售、承保、保全业务线</c:v>
                </c:pt>
                <c:pt idx="2">
                  <c:v>理赔业务线</c:v>
                </c:pt>
                <c:pt idx="3">
                  <c:v>财务管理</c:v>
                </c:pt>
                <c:pt idx="4">
                  <c:v>信息系统</c:v>
                </c:pt>
                <c:pt idx="5">
                  <c:v>流动性风险</c:v>
                </c:pt>
                <c:pt idx="6">
                  <c:v>Q3得分</c:v>
                </c:pt>
              </c:strCache>
            </c:strRef>
          </c:cat>
          <c:val>
            <c:numRef>
              <c:f>权重!$S$4:$S$10</c:f>
              <c:numCache>
                <c:formatCode>#,##0.0000_);\(#,##0.0000\)</c:formatCode>
                <c:ptCount val="7"/>
                <c:pt idx="0">
                  <c:v>0</c:v>
                </c:pt>
                <c:pt idx="1">
                  <c:v>0</c:v>
                </c:pt>
                <c:pt idx="2">
                  <c:v>3.0000000000000346E-2</c:v>
                </c:pt>
                <c:pt idx="3">
                  <c:v>4.3333333333333002E-2</c:v>
                </c:pt>
                <c:pt idx="4">
                  <c:v>0</c:v>
                </c:pt>
                <c:pt idx="5">
                  <c:v>0.27777777777777857</c:v>
                </c:pt>
                <c:pt idx="6">
                  <c:v>0</c:v>
                </c:pt>
              </c:numCache>
            </c:numRef>
          </c:val>
        </c:ser>
        <c:dLbls>
          <c:showLegendKey val="0"/>
          <c:showVal val="0"/>
          <c:showCatName val="0"/>
          <c:showSerName val="0"/>
          <c:showPercent val="0"/>
          <c:showBubbleSize val="0"/>
        </c:dLbls>
        <c:gapWidth val="0"/>
        <c:overlap val="100"/>
        <c:axId val="429830912"/>
        <c:axId val="429831304"/>
      </c:barChart>
      <c:catAx>
        <c:axId val="429830912"/>
        <c:scaling>
          <c:orientation val="minMax"/>
        </c:scaling>
        <c:delete val="0"/>
        <c:axPos val="b"/>
        <c:numFmt formatCode="General" sourceLinked="0"/>
        <c:majorTickMark val="out"/>
        <c:minorTickMark val="none"/>
        <c:tickLblPos val="nextTo"/>
        <c:crossAx val="429831304"/>
        <c:crosses val="autoZero"/>
        <c:auto val="1"/>
        <c:lblAlgn val="ctr"/>
        <c:lblOffset val="100"/>
        <c:noMultiLvlLbl val="0"/>
      </c:catAx>
      <c:valAx>
        <c:axId val="429831304"/>
        <c:scaling>
          <c:orientation val="minMax"/>
        </c:scaling>
        <c:delete val="1"/>
        <c:axPos val="l"/>
        <c:numFmt formatCode="General" sourceLinked="1"/>
        <c:majorTickMark val="out"/>
        <c:minorTickMark val="none"/>
        <c:tickLblPos val="nextTo"/>
        <c:crossAx val="429830912"/>
        <c:crosses val="autoZero"/>
        <c:crossBetween val="between"/>
      </c:valAx>
      <c:spPr>
        <a:noFill/>
        <a:ln w="25400">
          <a:noFill/>
        </a:ln>
      </c:spPr>
    </c:plotArea>
    <c:plotVisOnly val="1"/>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pPr>
              <a:noFill/>
              <a:ln>
                <a:noFill/>
              </a:ln>
              <a:effectLst/>
            </c:sp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权重!$A$143:$B$148</c:f>
              <c:strCache>
                <c:ptCount val="5"/>
                <c:pt idx="0">
                  <c:v>行业无法确定</c:v>
                </c:pt>
                <c:pt idx="1">
                  <c:v>监管评分</c:v>
                </c:pt>
                <c:pt idx="2">
                  <c:v>操作风险  直接扣分</c:v>
                </c:pt>
                <c:pt idx="3">
                  <c:v>战略风险  直接扣分</c:v>
                </c:pt>
                <c:pt idx="4">
                  <c:v>流动性风险  直接扣分</c:v>
                </c:pt>
              </c:strCache>
            </c:strRef>
          </c:cat>
          <c:val>
            <c:numRef>
              <c:f>权重!$C$143:$C$147</c:f>
              <c:numCache>
                <c:formatCode>_(* #,##0.00_);_(* \(#,##0.00\);_(* "-"??_);_(@_)</c:formatCode>
                <c:ptCount val="5"/>
                <c:pt idx="0">
                  <c:v>3.1944444444444446</c:v>
                </c:pt>
                <c:pt idx="1">
                  <c:v>1.7472222222222222</c:v>
                </c:pt>
                <c:pt idx="2">
                  <c:v>1.1336404191453897</c:v>
                </c:pt>
                <c:pt idx="3">
                  <c:v>0.44999999999999996</c:v>
                </c:pt>
                <c:pt idx="4">
                  <c:v>1.3888888888888893</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57984635347552216"/>
          <c:y val="8.9948823286721269E-2"/>
          <c:w val="0.3801421383931593"/>
          <c:h val="0.83793963254597537"/>
        </c:manualLayout>
      </c:layout>
      <c:overlay val="0"/>
    </c:legend>
    <c:plotVisOnly val="1"/>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47626</xdr:colOff>
      <xdr:row>0</xdr:row>
      <xdr:rowOff>38100</xdr:rowOff>
    </xdr:from>
    <xdr:to>
      <xdr:col>13</xdr:col>
      <xdr:colOff>571500</xdr:colOff>
      <xdr:row>14</xdr:row>
      <xdr:rowOff>180975</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581026</xdr:colOff>
      <xdr:row>148</xdr:row>
      <xdr:rowOff>142875</xdr:rowOff>
    </xdr:from>
    <xdr:to>
      <xdr:col>9</xdr:col>
      <xdr:colOff>295276</xdr:colOff>
      <xdr:row>166</xdr:row>
      <xdr:rowOff>66674</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Users\Cora%20Y%20Shen\Desktop\&#20108;&#25903;&#26609;\&#20803;&#32032;&#28165;&#21333;\IRR&#20803;&#32032;&#28165;&#21333;-06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Users\Cora%20Y%20Shen\Desktop\YUE-IRR&#20803;&#32032;&#28165;&#21333;-062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徐梦薇/Mengwei Xu" refreshedDate="43777.574636921294" createdVersion="3" refreshedVersion="5" minRefreshableVersion="3" recordCount="60">
  <cacheSource type="worksheet">
    <worksheetSource ref="A1:G61" sheet="员工流失率√"/>
  </cacheSource>
  <cacheFields count="7">
    <cacheField name="渠道" numFmtId="0">
      <sharedItems count="6">
        <s v="客服"/>
        <s v="个险"/>
        <s v="团险"/>
        <s v="银保"/>
        <s v="多元"/>
        <s v="续期"/>
      </sharedItems>
    </cacheField>
    <cacheField name="分公司" numFmtId="0">
      <sharedItems/>
    </cacheField>
    <cacheField name="最近4个季度省级分公司及以下分支机构销售、承保、保全部门离职员工人数" numFmtId="0">
      <sharedItems containsSemiMixedTypes="0" containsString="0" containsNumber="1" containsInteger="1" minValue="0" maxValue="34"/>
    </cacheField>
    <cacheField name="前4个季度初省级分公司及以下分支机构销售、承保、保全部门员工人数" numFmtId="0">
      <sharedItems containsSemiMixedTypes="0" containsString="0" containsNumber="1" containsInteger="1" minValue="0" maxValue="103"/>
    </cacheField>
    <cacheField name="最近4个季度省级分公司及以下分支机构销售、承保、保全部门增加员工人数" numFmtId="0">
      <sharedItems containsSemiMixedTypes="0" containsString="0" containsNumber="1" containsInteger="1" minValue="0" maxValue="31"/>
    </cacheField>
    <cacheField name="离职率" numFmtId="10">
      <sharedItems containsString="0" containsBlank="1" containsNumber="1" minValue="0" maxValue="1"/>
    </cacheField>
    <cacheField name="得分" numFmtId="43">
      <sharedItems containsString="0" containsBlank="1" containsNumber="1" minValue="0" maxValue="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徐梦薇/Mengwei Xu" refreshedDate="43777.663166087965" createdVersion="3" refreshedVersion="5" minRefreshableVersion="3" recordCount="121">
  <cacheSource type="worksheet">
    <worksheetSource ref="C1:G1048576" sheet="续期收费率√"/>
  </cacheSource>
  <cacheFields count="5">
    <cacheField name="业务渠道" numFmtId="0">
      <sharedItems containsBlank="1" count="6">
        <s v="续期"/>
        <s v="个险"/>
        <s v="银保"/>
        <s v="多元"/>
        <m/>
        <s v="收展" u="1"/>
      </sharedItems>
    </cacheField>
    <cacheField name="实收保费" numFmtId="0">
      <sharedItems containsString="0" containsBlank="1" containsNumber="1" containsInteger="1" minValue="0" maxValue="39648899"/>
    </cacheField>
    <cacheField name="应收保费" numFmtId="0">
      <sharedItems containsString="0" containsBlank="1" containsNumber="1" containsInteger="1" minValue="0" maxValue="42647005"/>
    </cacheField>
    <cacheField name="保费继续率" numFmtId="10">
      <sharedItems containsString="0" containsBlank="1" containsNumber="1" minValue="0.47305389221556887" maxValue="1.0232839144129466"/>
    </cacheField>
    <cacheField name="得分" numFmtId="0">
      <sharedItems containsString="0" containsBlank="1" containsNumber="1" minValue="0"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徐梦薇/Mengwei Xu" refreshedDate="43777.678084722225" createdVersion="3" refreshedVersion="5" minRefreshableVersion="3" recordCount="50">
  <cacheSource type="worksheet">
    <worksheetSource ref="A1:F51" sheet="新契约回访完成率√"/>
  </cacheSource>
  <cacheFields count="6">
    <cacheField name="渠道" numFmtId="0">
      <sharedItems count="5">
        <s v="个险"/>
        <s v="团险"/>
        <s v="银保"/>
        <s v="多元"/>
        <s v="续期"/>
      </sharedItems>
    </cacheField>
    <cacheField name="分公司" numFmtId="0">
      <sharedItems/>
    </cacheField>
    <cacheField name="评估期内承保的保单中完成回访的保单件数" numFmtId="0">
      <sharedItems containsString="0" containsBlank="1" containsNumber="1" containsInteger="1" minValue="0" maxValue="3666"/>
    </cacheField>
    <cacheField name="评估期内承保的保单件数" numFmtId="0">
      <sharedItems containsString="0" containsBlank="1" containsNumber="1" containsInteger="1" minValue="0" maxValue="3669"/>
    </cacheField>
    <cacheField name="新契约回访完成率" numFmtId="10">
      <sharedItems containsString="0" containsBlank="1" containsNumber="1" minValue="0.66666666666666663" maxValue="1"/>
    </cacheField>
    <cacheField name="得分" numFmtId="0">
      <sharedItems containsString="0" containsBlank="1" containsNumber="1" containsInteger="1" minValue="0" maxValue="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徐梦薇/Mengwei Xu" refreshedDate="43777.714751041669" createdVersion="3" refreshedVersion="5" minRefreshableVersion="3" recordCount="50">
  <cacheSource type="worksheet">
    <worksheetSource ref="A1:F51" sheet="犹豫期内电话回访成功率√"/>
  </cacheSource>
  <cacheFields count="6">
    <cacheField name="渠道" numFmtId="0">
      <sharedItems count="5">
        <s v="个险"/>
        <s v="团险"/>
        <s v="银保"/>
        <s v="多元"/>
        <s v="续期"/>
      </sharedItems>
    </cacheField>
    <cacheField name="分公司" numFmtId="0">
      <sharedItems/>
    </cacheField>
    <cacheField name="评估期内通过电话回访方式在犹豫期内完成新契约回访的保单件数" numFmtId="0">
      <sharedItems containsString="0" containsBlank="1" containsNumber="1" containsInteger="1" minValue="0" maxValue="3633"/>
    </cacheField>
    <cacheField name="评估期内承保的保单件数" numFmtId="0">
      <sharedItems containsString="0" containsBlank="1" containsNumber="1" containsInteger="1" minValue="0" maxValue="3669"/>
    </cacheField>
    <cacheField name="犹豫期内电话回访成功率" numFmtId="0">
      <sharedItems containsString="0" containsBlank="1" containsNumber="1" minValue="0.66666666666666663" maxValue="1"/>
    </cacheField>
    <cacheField name="得分" numFmtId="0">
      <sharedItems containsString="0" containsBlank="1" containsNumber="1" containsInteger="1" minValue="0" maxValue="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徐梦薇/Mengwei Xu" refreshedDate="43777.743806134262" createdVersion="3" refreshedVersion="5" minRefreshableVersion="3" recordCount="49">
  <cacheSource type="worksheet">
    <worksheetSource ref="A1:H50" sheet="退撤保率√"/>
  </cacheSource>
  <cacheFields count="8">
    <cacheField name="渠道" numFmtId="49">
      <sharedItems count="6">
        <s v="银保"/>
        <s v="续期"/>
        <s v="团险"/>
        <s v="个险"/>
        <s v="多元"/>
        <s v="网销" u="1"/>
      </sharedItems>
    </cacheField>
    <cacheField name="分公司" numFmtId="49">
      <sharedItems/>
    </cacheField>
    <cacheField name="退保金" numFmtId="2">
      <sharedItems containsSemiMixedTypes="0" containsString="0" containsNumber="1" minValue="0" maxValue="19986818.399999999"/>
    </cacheField>
    <cacheField name="撤保金" numFmtId="2">
      <sharedItems containsSemiMixedTypes="0" containsString="0" containsNumber="1" containsInteger="1" minValue="0" maxValue="9370000"/>
    </cacheField>
    <cacheField name="实收保费" numFmtId="2">
      <sharedItems containsSemiMixedTypes="0" containsString="0" containsNumber="1" minValue="26806.9" maxValue="727331320.60000002"/>
    </cacheField>
    <cacheField name="预收保费" numFmtId="2">
      <sharedItems containsSemiMixedTypes="0" containsString="0" containsNumber="1" containsInteger="1" minValue="0" maxValue="49499542"/>
    </cacheField>
    <cacheField name="退撤保率" numFmtId="10">
      <sharedItems containsSemiMixedTypes="0" containsString="0" containsNumber="1" minValue="0" maxValue="2.639023537722947"/>
    </cacheField>
    <cacheField name="分数" numFmtId="0">
      <sharedItems containsSemiMixedTypes="0" containsString="0" containsNumber="1" minValue="0"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
  <r>
    <x v="0"/>
    <s v="北京"/>
    <n v="3"/>
    <n v="4"/>
    <n v="2"/>
    <n v="0.5"/>
    <n v="0"/>
  </r>
  <r>
    <x v="1"/>
    <s v="北京"/>
    <n v="4"/>
    <n v="14"/>
    <n v="10"/>
    <n v="0.16666666666666666"/>
    <n v="1.5"/>
  </r>
  <r>
    <x v="2"/>
    <s v="北京"/>
    <n v="4"/>
    <n v="10"/>
    <n v="3"/>
    <n v="0.30769230769230771"/>
    <n v="0"/>
  </r>
  <r>
    <x v="3"/>
    <s v="北京"/>
    <n v="8"/>
    <n v="15"/>
    <n v="0"/>
    <n v="0.53333333333333333"/>
    <n v="0"/>
  </r>
  <r>
    <x v="4"/>
    <s v="北京"/>
    <n v="1"/>
    <n v="8"/>
    <n v="1"/>
    <n v="0.1111111111111111"/>
    <n v="3"/>
  </r>
  <r>
    <x v="5"/>
    <s v="北京"/>
    <n v="0"/>
    <n v="4"/>
    <n v="0"/>
    <n v="0"/>
    <n v="3"/>
  </r>
  <r>
    <x v="0"/>
    <s v="天津"/>
    <n v="0"/>
    <n v="7"/>
    <n v="0"/>
    <n v="0"/>
    <n v="3"/>
  </r>
  <r>
    <x v="1"/>
    <s v="天津"/>
    <n v="14"/>
    <n v="70"/>
    <n v="30"/>
    <n v="0.14000000000000001"/>
    <n v="3"/>
  </r>
  <r>
    <x v="2"/>
    <s v="天津"/>
    <n v="4"/>
    <n v="25"/>
    <n v="5"/>
    <n v="0.13333333333333333"/>
    <n v="3"/>
  </r>
  <r>
    <x v="3"/>
    <s v="天津"/>
    <n v="4"/>
    <n v="27"/>
    <n v="12"/>
    <n v="0.10256410256410256"/>
    <n v="3"/>
  </r>
  <r>
    <x v="4"/>
    <s v="天津"/>
    <n v="0"/>
    <n v="0"/>
    <n v="0"/>
    <m/>
    <m/>
  </r>
  <r>
    <x v="5"/>
    <s v="天津"/>
    <n v="2"/>
    <n v="10"/>
    <n v="2"/>
    <n v="0.16666666666666666"/>
    <n v="1.5"/>
  </r>
  <r>
    <x v="0"/>
    <s v="辽宁"/>
    <n v="1"/>
    <n v="8"/>
    <n v="1"/>
    <n v="0.1111111111111111"/>
    <n v="3"/>
  </r>
  <r>
    <x v="1"/>
    <s v="辽宁"/>
    <n v="14"/>
    <n v="64"/>
    <n v="16"/>
    <n v="0.17499999999999999"/>
    <n v="1.5"/>
  </r>
  <r>
    <x v="2"/>
    <s v="辽宁"/>
    <n v="2"/>
    <n v="1"/>
    <n v="1"/>
    <n v="1"/>
    <n v="0"/>
  </r>
  <r>
    <x v="3"/>
    <s v="辽宁"/>
    <n v="0"/>
    <n v="0"/>
    <n v="0"/>
    <m/>
    <m/>
  </r>
  <r>
    <x v="4"/>
    <s v="辽宁"/>
    <n v="2"/>
    <n v="14"/>
    <n v="2"/>
    <n v="0.125"/>
    <n v="3"/>
  </r>
  <r>
    <x v="5"/>
    <s v="辽宁"/>
    <n v="3"/>
    <n v="16"/>
    <n v="5"/>
    <n v="0.14285714285714285"/>
    <n v="3"/>
  </r>
  <r>
    <x v="0"/>
    <s v="大连"/>
    <n v="1"/>
    <n v="4"/>
    <n v="1"/>
    <n v="0.2"/>
    <n v="1.5"/>
  </r>
  <r>
    <x v="1"/>
    <s v="大连"/>
    <n v="3"/>
    <n v="12"/>
    <n v="8"/>
    <n v="0.15"/>
    <n v="3"/>
  </r>
  <r>
    <x v="2"/>
    <s v="大连"/>
    <n v="1"/>
    <n v="1"/>
    <n v="0"/>
    <n v="1"/>
    <n v="0"/>
  </r>
  <r>
    <x v="3"/>
    <s v="大连"/>
    <n v="9"/>
    <n v="23"/>
    <n v="8"/>
    <n v="0.29032258064516131"/>
    <n v="1.5"/>
  </r>
  <r>
    <x v="4"/>
    <s v="大连"/>
    <n v="0"/>
    <n v="0"/>
    <n v="0"/>
    <m/>
    <m/>
  </r>
  <r>
    <x v="5"/>
    <s v="大连"/>
    <n v="2"/>
    <n v="4"/>
    <n v="2"/>
    <n v="0.33333333333333331"/>
    <n v="0"/>
  </r>
  <r>
    <x v="0"/>
    <s v="江苏"/>
    <n v="2"/>
    <n v="5"/>
    <n v="3"/>
    <n v="0.25"/>
    <n v="1.5"/>
  </r>
  <r>
    <x v="1"/>
    <s v="江苏"/>
    <n v="17"/>
    <n v="64"/>
    <n v="26"/>
    <n v="0.18888888888888888"/>
    <n v="1.5"/>
  </r>
  <r>
    <x v="2"/>
    <s v="江苏"/>
    <n v="3"/>
    <n v="19"/>
    <n v="5"/>
    <n v="0.125"/>
    <n v="3"/>
  </r>
  <r>
    <x v="3"/>
    <s v="江苏"/>
    <n v="9"/>
    <n v="10"/>
    <n v="1"/>
    <n v="0.81818181818181823"/>
    <n v="0"/>
  </r>
  <r>
    <x v="4"/>
    <s v="江苏"/>
    <n v="3"/>
    <n v="7"/>
    <n v="2"/>
    <n v="0.33333333333333331"/>
    <n v="0"/>
  </r>
  <r>
    <x v="5"/>
    <s v="江苏"/>
    <n v="8"/>
    <n v="15"/>
    <n v="10"/>
    <n v="0.32"/>
    <n v="0"/>
  </r>
  <r>
    <x v="0"/>
    <s v="山东"/>
    <n v="2"/>
    <n v="5"/>
    <n v="2"/>
    <n v="0.2857142857142857"/>
    <n v="1.5"/>
  </r>
  <r>
    <x v="1"/>
    <s v="山东"/>
    <n v="23"/>
    <n v="103"/>
    <n v="28"/>
    <n v="0.17557251908396945"/>
    <n v="1.5"/>
  </r>
  <r>
    <x v="2"/>
    <s v="山东"/>
    <n v="3"/>
    <n v="19"/>
    <n v="2"/>
    <n v="0.14285714285714285"/>
    <n v="3"/>
  </r>
  <r>
    <x v="3"/>
    <s v="山东"/>
    <n v="32"/>
    <n v="28"/>
    <n v="31"/>
    <n v="0.5423728813559322"/>
    <n v="0"/>
  </r>
  <r>
    <x v="4"/>
    <s v="山东"/>
    <n v="2"/>
    <n v="12"/>
    <n v="3"/>
    <n v="0.13333333333333333"/>
    <n v="3"/>
  </r>
  <r>
    <x v="5"/>
    <s v="山东"/>
    <n v="2"/>
    <n v="18"/>
    <n v="4"/>
    <n v="9.0909090909090912E-2"/>
    <n v="3"/>
  </r>
  <r>
    <x v="0"/>
    <s v="青岛"/>
    <n v="2"/>
    <n v="4"/>
    <n v="1"/>
    <n v="0.4"/>
    <n v="0"/>
  </r>
  <r>
    <x v="1"/>
    <s v="青岛"/>
    <n v="6"/>
    <n v="19"/>
    <n v="17"/>
    <n v="0.16666666666666666"/>
    <n v="1.5"/>
  </r>
  <r>
    <x v="2"/>
    <s v="青岛"/>
    <n v="2"/>
    <n v="5"/>
    <n v="2"/>
    <n v="0.2857142857142857"/>
    <n v="1.5"/>
  </r>
  <r>
    <x v="3"/>
    <s v="青岛"/>
    <n v="0"/>
    <n v="0"/>
    <n v="0"/>
    <m/>
    <m/>
  </r>
  <r>
    <x v="4"/>
    <s v="青岛"/>
    <n v="0"/>
    <n v="0"/>
    <n v="2"/>
    <n v="0"/>
    <n v="3"/>
  </r>
  <r>
    <x v="5"/>
    <s v="青岛"/>
    <n v="5"/>
    <n v="5"/>
    <n v="5"/>
    <n v="0.5"/>
    <n v="0"/>
  </r>
  <r>
    <x v="0"/>
    <s v="河南"/>
    <n v="1"/>
    <n v="7"/>
    <n v="2"/>
    <n v="0.1111111111111111"/>
    <n v="3"/>
  </r>
  <r>
    <x v="1"/>
    <s v="河南"/>
    <n v="18"/>
    <n v="66"/>
    <n v="29"/>
    <n v="0.18947368421052632"/>
    <n v="1.5"/>
  </r>
  <r>
    <x v="2"/>
    <s v="河南"/>
    <n v="5"/>
    <n v="6"/>
    <n v="2"/>
    <n v="0.625"/>
    <n v="0"/>
  </r>
  <r>
    <x v="3"/>
    <s v="河南"/>
    <n v="34"/>
    <n v="48"/>
    <n v="28"/>
    <n v="0.44736842105263158"/>
    <n v="0"/>
  </r>
  <r>
    <x v="4"/>
    <s v="河南"/>
    <n v="3"/>
    <n v="7"/>
    <n v="2"/>
    <n v="0.33333333333333331"/>
    <n v="0"/>
  </r>
  <r>
    <x v="5"/>
    <s v="河南"/>
    <n v="2"/>
    <n v="9"/>
    <n v="6"/>
    <n v="0.13333333333333333"/>
    <n v="3"/>
  </r>
  <r>
    <x v="0"/>
    <s v="广东"/>
    <n v="4"/>
    <n v="3"/>
    <n v="3"/>
    <n v="0.66666666666666663"/>
    <n v="0"/>
  </r>
  <r>
    <x v="1"/>
    <s v="广东"/>
    <n v="11"/>
    <n v="29"/>
    <n v="14"/>
    <n v="0.2558139534883721"/>
    <n v="1.5"/>
  </r>
  <r>
    <x v="2"/>
    <s v="广东"/>
    <n v="3"/>
    <n v="1"/>
    <n v="8"/>
    <n v="0.33333333333333331"/>
    <n v="0"/>
  </r>
  <r>
    <x v="3"/>
    <s v="广东"/>
    <n v="1"/>
    <n v="1"/>
    <n v="0"/>
    <n v="1"/>
    <n v="0"/>
  </r>
  <r>
    <x v="4"/>
    <s v="广东"/>
    <n v="2"/>
    <n v="2"/>
    <n v="6"/>
    <n v="0.25"/>
    <n v="1.5"/>
  </r>
  <r>
    <x v="5"/>
    <s v="广东"/>
    <n v="1"/>
    <n v="3"/>
    <n v="4"/>
    <n v="0.14285714285714285"/>
    <n v="3"/>
  </r>
  <r>
    <x v="0"/>
    <s v="四川"/>
    <n v="0"/>
    <n v="4"/>
    <n v="0"/>
    <n v="0"/>
    <n v="3"/>
  </r>
  <r>
    <x v="1"/>
    <s v="四川"/>
    <n v="6"/>
    <n v="36"/>
    <n v="18"/>
    <n v="0.1111111111111111"/>
    <n v="3"/>
  </r>
  <r>
    <x v="2"/>
    <s v="四川"/>
    <n v="3"/>
    <n v="9"/>
    <n v="3"/>
    <n v="0.25"/>
    <n v="1.5"/>
  </r>
  <r>
    <x v="3"/>
    <s v="四川"/>
    <n v="5"/>
    <n v="6"/>
    <n v="10"/>
    <n v="0.3125"/>
    <n v="0"/>
  </r>
  <r>
    <x v="4"/>
    <s v="四川"/>
    <n v="1"/>
    <n v="5"/>
    <n v="2"/>
    <n v="0.14285714285714285"/>
    <n v="3"/>
  </r>
  <r>
    <x v="5"/>
    <s v="四川"/>
    <n v="4"/>
    <n v="6"/>
    <n v="4"/>
    <n v="0.4"/>
    <n v="0"/>
  </r>
</pivotCacheRecords>
</file>

<file path=xl/pivotCache/pivotCacheRecords2.xml><?xml version="1.0" encoding="utf-8"?>
<pivotCacheRecords xmlns="http://schemas.openxmlformats.org/spreadsheetml/2006/main" xmlns:r="http://schemas.openxmlformats.org/officeDocument/2006/relationships" count="121">
  <r>
    <x v="0"/>
    <n v="56343"/>
    <n v="67397"/>
    <n v="0.83598676498953961"/>
    <n v="1.5"/>
  </r>
  <r>
    <x v="1"/>
    <n v="5504231"/>
    <n v="5617321"/>
    <n v="0.97986762729066046"/>
    <n v="3"/>
  </r>
  <r>
    <x v="2"/>
    <n v="796846"/>
    <n v="796846"/>
    <n v="1"/>
    <n v="3"/>
  </r>
  <r>
    <x v="3"/>
    <n v="3196630"/>
    <n v="3268679"/>
    <n v="0.97795776214183161"/>
    <n v="3"/>
  </r>
  <r>
    <x v="0"/>
    <n v="25960"/>
    <n v="25956"/>
    <n v="1.0001541069502236"/>
    <n v="3"/>
  </r>
  <r>
    <x v="3"/>
    <n v="509270"/>
    <n v="514770"/>
    <n v="0.98931561668317891"/>
    <n v="3"/>
  </r>
  <r>
    <x v="2"/>
    <n v="21161354"/>
    <n v="21645921"/>
    <n v="0.97761393474548852"/>
    <n v="3"/>
  </r>
  <r>
    <x v="1"/>
    <n v="18738551"/>
    <n v="19721330"/>
    <n v="0.95016669768215434"/>
    <n v="3"/>
  </r>
  <r>
    <x v="0"/>
    <n v="63258"/>
    <n v="63273"/>
    <n v="0.99976293205632738"/>
    <n v="3"/>
  </r>
  <r>
    <x v="1"/>
    <n v="4380490"/>
    <n v="4702742"/>
    <n v="0.93147572203620776"/>
    <n v="3"/>
  </r>
  <r>
    <x v="2"/>
    <n v="477496"/>
    <n v="487384"/>
    <n v="0.9797120955960803"/>
    <n v="3"/>
  </r>
  <r>
    <x v="3"/>
    <n v="0"/>
    <n v="0"/>
    <m/>
    <m/>
  </r>
  <r>
    <x v="3"/>
    <n v="4689129"/>
    <n v="4950427"/>
    <n v="0.94721707844596037"/>
    <n v="3"/>
  </r>
  <r>
    <x v="2"/>
    <n v="5060444"/>
    <n v="5366116"/>
    <n v="0.94303663953593253"/>
    <n v="3"/>
  </r>
  <r>
    <x v="1"/>
    <n v="16793215"/>
    <n v="17672597"/>
    <n v="0.95024036365453246"/>
    <n v="3"/>
  </r>
  <r>
    <x v="0"/>
    <n v="350409"/>
    <n v="354828"/>
    <n v="0.98754607866346511"/>
    <n v="3"/>
  </r>
  <r>
    <x v="3"/>
    <n v="5829496"/>
    <n v="6105499"/>
    <n v="0.95479435833172688"/>
    <n v="3"/>
  </r>
  <r>
    <x v="1"/>
    <n v="19343397"/>
    <n v="20138846"/>
    <n v="0.96050175864098664"/>
    <n v="3"/>
  </r>
  <r>
    <x v="0"/>
    <n v="245274"/>
    <n v="246406"/>
    <n v="0.99540595602379811"/>
    <n v="3"/>
  </r>
  <r>
    <x v="2"/>
    <n v="1783603"/>
    <n v="1808770"/>
    <n v="0.98608612482515745"/>
    <n v="3"/>
  </r>
  <r>
    <x v="3"/>
    <n v="8798848"/>
    <n v="9702731"/>
    <n v="0.90684241374928354"/>
    <n v="3"/>
  </r>
  <r>
    <x v="2"/>
    <n v="533391"/>
    <n v="547167"/>
    <n v="0.97482304305632472"/>
    <n v="3"/>
  </r>
  <r>
    <x v="1"/>
    <n v="16572152"/>
    <n v="17463958"/>
    <n v="0.94893448552727855"/>
    <n v="3"/>
  </r>
  <r>
    <x v="0"/>
    <n v="152149"/>
    <n v="155735"/>
    <n v="0.97697370533277683"/>
    <n v="3"/>
  </r>
  <r>
    <x v="0"/>
    <n v="20463"/>
    <n v="22616"/>
    <n v="0.90480191015210465"/>
    <n v="3"/>
  </r>
  <r>
    <x v="1"/>
    <n v="3936473"/>
    <n v="4323170"/>
    <n v="0.91055244184244433"/>
    <n v="3"/>
  </r>
  <r>
    <x v="2"/>
    <n v="1048469"/>
    <n v="1052904"/>
    <n v="0.99578784010698029"/>
    <n v="3"/>
  </r>
  <r>
    <x v="3"/>
    <n v="1627499"/>
    <n v="1706046"/>
    <n v="0.95395962359748798"/>
    <n v="3"/>
  </r>
  <r>
    <x v="0"/>
    <n v="53675"/>
    <n v="62666"/>
    <n v="0.85652506941563211"/>
    <n v="1.5"/>
  </r>
  <r>
    <x v="3"/>
    <n v="2340586"/>
    <n v="2525096"/>
    <n v="0.92692951079879737"/>
    <n v="3"/>
  </r>
  <r>
    <x v="2"/>
    <n v="6271983"/>
    <n v="6477699"/>
    <n v="0.9682424268247104"/>
    <n v="3"/>
  </r>
  <r>
    <x v="1"/>
    <n v="10802075"/>
    <n v="11552664"/>
    <n v="0.93502892493021528"/>
    <n v="3"/>
  </r>
  <r>
    <x v="0"/>
    <n v="39017"/>
    <n v="39665"/>
    <n v="0.98366317912517331"/>
    <n v="3"/>
  </r>
  <r>
    <x v="1"/>
    <n v="2757837"/>
    <n v="2922834"/>
    <n v="0.94354896651674369"/>
    <n v="3"/>
  </r>
  <r>
    <x v="2"/>
    <n v="14295958"/>
    <n v="14481680"/>
    <n v="0.98717538296661711"/>
    <n v="3"/>
  </r>
  <r>
    <x v="3"/>
    <n v="0"/>
    <n v="0"/>
    <m/>
    <m/>
  </r>
  <r>
    <x v="3"/>
    <n v="1059354"/>
    <n v="1080626"/>
    <n v="0.98031511364708979"/>
    <n v="3"/>
  </r>
  <r>
    <x v="2"/>
    <n v="224182"/>
    <n v="225970"/>
    <n v="0.99208744523609327"/>
    <n v="3"/>
  </r>
  <r>
    <x v="1"/>
    <n v="2707185"/>
    <n v="3035881"/>
    <n v="0.89172961654294092"/>
    <n v="1.5"/>
  </r>
  <r>
    <x v="0"/>
    <n v="11879"/>
    <n v="13657"/>
    <n v="0.86981035366478732"/>
    <n v="1.5"/>
  </r>
  <r>
    <x v="1"/>
    <n v="7862066"/>
    <n v="8327835"/>
    <n v="0.94407081792566738"/>
    <n v="3"/>
  </r>
  <r>
    <x v="2"/>
    <n v="555456"/>
    <n v="560056"/>
    <n v="0.99178653563215102"/>
    <n v="3"/>
  </r>
  <r>
    <x v="3"/>
    <n v="3119732"/>
    <n v="3193652"/>
    <n v="0.97685408428970966"/>
    <n v="3"/>
  </r>
  <r>
    <x v="0"/>
    <n v="174009"/>
    <n v="176264"/>
    <n v="0.98720668996505245"/>
    <n v="3"/>
  </r>
  <r>
    <x v="3"/>
    <n v="625562"/>
    <n v="643273"/>
    <n v="0.97246736611050055"/>
    <n v="3"/>
  </r>
  <r>
    <x v="2"/>
    <n v="21865093"/>
    <n v="23855846"/>
    <n v="0.91655072723054964"/>
    <n v="3"/>
  </r>
  <r>
    <x v="1"/>
    <n v="34048964"/>
    <n v="36757572"/>
    <n v="0.926311563777934"/>
    <n v="3"/>
  </r>
  <r>
    <x v="0"/>
    <n v="367129"/>
    <n v="372350"/>
    <n v="0.98597824627366726"/>
    <n v="3"/>
  </r>
  <r>
    <x v="3"/>
    <n v="0"/>
    <n v="0"/>
    <m/>
    <m/>
  </r>
  <r>
    <x v="2"/>
    <n v="434133"/>
    <n v="448797"/>
    <n v="0.9673259847993636"/>
    <n v="3"/>
  </r>
  <r>
    <x v="0"/>
    <n v="75448"/>
    <n v="78476"/>
    <n v="0.96141495489066719"/>
    <n v="3"/>
  </r>
  <r>
    <x v="1"/>
    <n v="8049180"/>
    <n v="8622099"/>
    <n v="0.93355225914246631"/>
    <n v="3"/>
  </r>
  <r>
    <x v="3"/>
    <n v="9513903"/>
    <n v="9998712"/>
    <n v="0.95151285485570547"/>
    <n v="3"/>
  </r>
  <r>
    <x v="2"/>
    <n v="5509889"/>
    <n v="5975224"/>
    <n v="0.92212258486041698"/>
    <n v="3"/>
  </r>
  <r>
    <x v="1"/>
    <n v="34329100"/>
    <n v="36534951"/>
    <n v="0.93962354020948324"/>
    <n v="3"/>
  </r>
  <r>
    <x v="0"/>
    <n v="579309"/>
    <n v="593221"/>
    <n v="0.97654836898896025"/>
    <n v="3"/>
  </r>
  <r>
    <x v="3"/>
    <n v="9018248"/>
    <n v="9519411"/>
    <n v="0.94735357050977209"/>
    <n v="3"/>
  </r>
  <r>
    <x v="0"/>
    <n v="237253"/>
    <n v="242936"/>
    <n v="0.97660700760694175"/>
    <n v="3"/>
  </r>
  <r>
    <x v="1"/>
    <n v="39648899"/>
    <n v="42647005"/>
    <n v="0.92969949472418989"/>
    <n v="3"/>
  </r>
  <r>
    <x v="2"/>
    <n v="1299140"/>
    <n v="1301128"/>
    <n v="0.99847209498220002"/>
    <n v="3"/>
  </r>
  <r>
    <x v="3"/>
    <n v="13452417"/>
    <n v="14727902"/>
    <n v="0.91339669424742231"/>
    <n v="3"/>
  </r>
  <r>
    <x v="2"/>
    <n v="427913"/>
    <n v="437467"/>
    <n v="0.9781606384024395"/>
    <n v="3"/>
  </r>
  <r>
    <x v="1"/>
    <n v="38176796"/>
    <n v="40927433"/>
    <n v="0.93279234004243561"/>
    <n v="3"/>
  </r>
  <r>
    <x v="0"/>
    <n v="579388"/>
    <n v="604522"/>
    <n v="0.95842334935701268"/>
    <n v="3"/>
  </r>
  <r>
    <x v="1"/>
    <n v="10217231"/>
    <n v="11088383"/>
    <n v="0.9214356141918979"/>
    <n v="3"/>
  </r>
  <r>
    <x v="2"/>
    <n v="1198839"/>
    <n v="1217327"/>
    <n v="0.98481262635265632"/>
    <n v="3"/>
  </r>
  <r>
    <x v="3"/>
    <n v="1743087"/>
    <n v="1791971"/>
    <n v="0.97272054067839264"/>
    <n v="3"/>
  </r>
  <r>
    <x v="0"/>
    <n v="134606"/>
    <n v="138369"/>
    <n v="0.97280460218690601"/>
    <n v="3"/>
  </r>
  <r>
    <x v="3"/>
    <n v="3537513"/>
    <n v="3794442"/>
    <n v="0.93228806765263506"/>
    <n v="3"/>
  </r>
  <r>
    <x v="2"/>
    <n v="7458317"/>
    <n v="7632325"/>
    <n v="0.97720118050528504"/>
    <n v="3"/>
  </r>
  <r>
    <x v="1"/>
    <n v="27259751"/>
    <n v="30251538"/>
    <n v="0.9011029786320286"/>
    <n v="3"/>
  </r>
  <r>
    <x v="0"/>
    <n v="231134"/>
    <n v="235771"/>
    <n v="0.98033261088089718"/>
    <n v="3"/>
  </r>
  <r>
    <x v="3"/>
    <n v="0"/>
    <n v="0"/>
    <m/>
    <m/>
  </r>
  <r>
    <x v="2"/>
    <n v="19395149"/>
    <n v="19821367"/>
    <n v="0.9784970431151393"/>
    <n v="3"/>
  </r>
  <r>
    <x v="0"/>
    <n v="106014"/>
    <n v="109047"/>
    <n v="0.9721863049877576"/>
    <n v="3"/>
  </r>
  <r>
    <x v="1"/>
    <n v="5281106"/>
    <n v="5957695"/>
    <n v="0.88643443479399331"/>
    <n v="1.5"/>
  </r>
  <r>
    <x v="3"/>
    <n v="1024109"/>
    <n v="1049652"/>
    <n v="0.97566526810790621"/>
    <n v="3"/>
  </r>
  <r>
    <x v="2"/>
    <n v="231125"/>
    <n v="240345"/>
    <n v="0.96163847802117786"/>
    <n v="3"/>
  </r>
  <r>
    <x v="1"/>
    <n v="7941481"/>
    <n v="8603109"/>
    <n v="0.92309431392767427"/>
    <n v="3"/>
  </r>
  <r>
    <x v="0"/>
    <n v="49898"/>
    <n v="50445"/>
    <n v="0.98915650708692637"/>
    <n v="3"/>
  </r>
  <r>
    <x v="3"/>
    <n v="3792016"/>
    <n v="3891773"/>
    <n v="0.97436721000942239"/>
    <n v="3"/>
  </r>
  <r>
    <x v="2"/>
    <n v="737338"/>
    <n v="768865"/>
    <n v="0.9589954023138002"/>
    <n v="3"/>
  </r>
  <r>
    <x v="1"/>
    <n v="5798098"/>
    <n v="6005042"/>
    <n v="0.96553829265473912"/>
    <n v="3"/>
  </r>
  <r>
    <x v="0"/>
    <n v="75371"/>
    <n v="73656"/>
    <n v="1.0232839144129466"/>
    <n v="3"/>
  </r>
  <r>
    <x v="3"/>
    <n v="396170"/>
    <n v="430111"/>
    <n v="0.9210878122159164"/>
    <n v="3"/>
  </r>
  <r>
    <x v="2"/>
    <n v="7770932"/>
    <n v="8574708"/>
    <n v="0.90626199749309244"/>
    <n v="3"/>
  </r>
  <r>
    <x v="1"/>
    <n v="16047114"/>
    <n v="16873764"/>
    <n v="0.95100974506932778"/>
    <n v="3"/>
  </r>
  <r>
    <x v="0"/>
    <n v="53993"/>
    <n v="56355"/>
    <n v="0.95808712625321624"/>
    <n v="3"/>
  </r>
  <r>
    <x v="0"/>
    <n v="34478"/>
    <n v="34484"/>
    <n v="0.99982600626377449"/>
    <n v="3"/>
  </r>
  <r>
    <x v="1"/>
    <n v="3487069"/>
    <n v="3679747"/>
    <n v="0.94763824795563389"/>
    <n v="3"/>
  </r>
  <r>
    <x v="2"/>
    <n v="862484"/>
    <n v="862484"/>
    <n v="1"/>
    <n v="3"/>
  </r>
  <r>
    <x v="3"/>
    <n v="0"/>
    <n v="0"/>
    <m/>
    <m/>
  </r>
  <r>
    <x v="2"/>
    <n v="3388669"/>
    <n v="3543000"/>
    <n v="0.95644058707310187"/>
    <n v="3"/>
  </r>
  <r>
    <x v="1"/>
    <n v="15447574"/>
    <n v="16199084"/>
    <n v="0.95360787066725505"/>
    <n v="3"/>
  </r>
  <r>
    <x v="3"/>
    <n v="5951994"/>
    <n v="6244307"/>
    <n v="0.95318727922890401"/>
    <n v="3"/>
  </r>
  <r>
    <x v="0"/>
    <n v="165613"/>
    <n v="168976"/>
    <n v="0.98009776536312854"/>
    <n v="3"/>
  </r>
  <r>
    <x v="0"/>
    <n v="123050"/>
    <n v="126397"/>
    <n v="0.97351994113784346"/>
    <n v="3"/>
  </r>
  <r>
    <x v="2"/>
    <n v="364095"/>
    <n v="374253"/>
    <n v="0.97285793300254109"/>
    <n v="3"/>
  </r>
  <r>
    <x v="3"/>
    <n v="6147748"/>
    <n v="6383441"/>
    <n v="0.96307743738839291"/>
    <n v="3"/>
  </r>
  <r>
    <x v="1"/>
    <n v="17787185"/>
    <n v="18726691"/>
    <n v="0.94983064546747742"/>
    <n v="3"/>
  </r>
  <r>
    <x v="3"/>
    <n v="10742307"/>
    <n v="11684008"/>
    <n v="0.9194025714463735"/>
    <n v="3"/>
  </r>
  <r>
    <x v="2"/>
    <n v="412173"/>
    <n v="418839"/>
    <n v="0.98408457665117144"/>
    <n v="3"/>
  </r>
  <r>
    <x v="1"/>
    <n v="15883917"/>
    <n v="16862006"/>
    <n v="0.94199450528009543"/>
    <n v="3"/>
  </r>
  <r>
    <x v="0"/>
    <n v="126639"/>
    <n v="130782"/>
    <n v="0.96832132862320508"/>
    <n v="3"/>
  </r>
  <r>
    <x v="3"/>
    <n v="901069"/>
    <n v="929468"/>
    <n v="0.96944596263669114"/>
    <n v="3"/>
  </r>
  <r>
    <x v="2"/>
    <n v="860515"/>
    <n v="867291"/>
    <n v="0.99218716670644569"/>
    <n v="3"/>
  </r>
  <r>
    <x v="1"/>
    <n v="4020726"/>
    <n v="4338139"/>
    <n v="0.92683198947751555"/>
    <n v="3"/>
  </r>
  <r>
    <x v="0"/>
    <n v="32634"/>
    <n v="32472"/>
    <n v="1.0049889135254988"/>
    <n v="3"/>
  </r>
  <r>
    <x v="3"/>
    <n v="2672978"/>
    <n v="2913552"/>
    <n v="0.91742930965364611"/>
    <n v="3"/>
  </r>
  <r>
    <x v="2"/>
    <n v="6065689"/>
    <n v="6185140"/>
    <n v="0.98068742178835078"/>
    <n v="3"/>
  </r>
  <r>
    <x v="1"/>
    <n v="9949848"/>
    <n v="10720690"/>
    <n v="0.92809772505314492"/>
    <n v="3"/>
  </r>
  <r>
    <x v="0"/>
    <n v="19640"/>
    <n v="27273"/>
    <n v="0.72012613207201259"/>
    <n v="0"/>
  </r>
  <r>
    <x v="0"/>
    <n v="55730"/>
    <n v="56311"/>
    <n v="0.98968230008346503"/>
    <n v="3"/>
  </r>
  <r>
    <x v="1"/>
    <n v="2625732"/>
    <n v="2850831"/>
    <n v="0.92104091754299011"/>
    <n v="3"/>
  </r>
  <r>
    <x v="2"/>
    <n v="5343326"/>
    <n v="5436790"/>
    <n v="0.98280897367748243"/>
    <n v="3"/>
  </r>
  <r>
    <x v="3"/>
    <n v="0"/>
    <n v="0"/>
    <m/>
    <m/>
  </r>
  <r>
    <x v="2"/>
    <n v="347095"/>
    <n v="350871"/>
    <n v="0.98923821005440749"/>
    <n v="3"/>
  </r>
  <r>
    <x v="1"/>
    <n v="2677110"/>
    <n v="2914979"/>
    <n v="0.91839769686162409"/>
    <n v="3"/>
  </r>
  <r>
    <x v="3"/>
    <n v="417816"/>
    <n v="471491"/>
    <n v="0.88615901470017455"/>
    <n v="1.5"/>
  </r>
  <r>
    <x v="0"/>
    <n v="2133"/>
    <n v="4509"/>
    <n v="0.47305389221556887"/>
    <n v="0"/>
  </r>
  <r>
    <x v="4"/>
    <m/>
    <m/>
    <m/>
    <m/>
  </r>
</pivotCacheRecords>
</file>

<file path=xl/pivotCache/pivotCacheRecords3.xml><?xml version="1.0" encoding="utf-8"?>
<pivotCacheRecords xmlns="http://schemas.openxmlformats.org/spreadsheetml/2006/main" xmlns:r="http://schemas.openxmlformats.org/officeDocument/2006/relationships" count="50">
  <r>
    <x v="0"/>
    <s v="北京"/>
    <n v="401"/>
    <n v="401"/>
    <n v="1"/>
    <n v="2"/>
  </r>
  <r>
    <x v="1"/>
    <s v="北京"/>
    <n v="0"/>
    <n v="0"/>
    <m/>
    <m/>
  </r>
  <r>
    <x v="2"/>
    <s v="北京"/>
    <n v="8"/>
    <n v="8"/>
    <n v="1"/>
    <n v="2"/>
  </r>
  <r>
    <x v="3"/>
    <s v="北京"/>
    <n v="244"/>
    <n v="244"/>
    <n v="1"/>
    <n v="2"/>
  </r>
  <r>
    <x v="4"/>
    <s v="北京"/>
    <n v="14"/>
    <n v="14"/>
    <n v="1"/>
    <n v="2"/>
  </r>
  <r>
    <x v="0"/>
    <s v="天津"/>
    <n v="1813"/>
    <n v="1814"/>
    <n v="0.9994487320837927"/>
    <n v="2"/>
  </r>
  <r>
    <x v="1"/>
    <s v="天津"/>
    <n v="7"/>
    <n v="7"/>
    <n v="1"/>
    <n v="2"/>
  </r>
  <r>
    <x v="2"/>
    <s v="天津"/>
    <n v="357"/>
    <n v="362"/>
    <n v="0.98618784530386738"/>
    <n v="2"/>
  </r>
  <r>
    <x v="3"/>
    <s v="天津"/>
    <m/>
    <m/>
    <m/>
    <m/>
  </r>
  <r>
    <x v="4"/>
    <s v="天津"/>
    <n v="29"/>
    <n v="29"/>
    <n v="1"/>
    <n v="2"/>
  </r>
  <r>
    <x v="0"/>
    <s v="辽宁"/>
    <n v="2539"/>
    <n v="2539"/>
    <n v="1"/>
    <n v="2"/>
  </r>
  <r>
    <x v="1"/>
    <s v="辽宁"/>
    <m/>
    <m/>
    <m/>
    <m/>
  </r>
  <r>
    <x v="2"/>
    <s v="辽宁"/>
    <m/>
    <m/>
    <m/>
    <m/>
  </r>
  <r>
    <x v="3"/>
    <s v="辽宁"/>
    <n v="506"/>
    <n v="506"/>
    <n v="1"/>
    <n v="2"/>
  </r>
  <r>
    <x v="4"/>
    <s v="辽宁"/>
    <n v="72"/>
    <n v="72"/>
    <n v="1"/>
    <n v="2"/>
  </r>
  <r>
    <x v="0"/>
    <s v="大连"/>
    <n v="358"/>
    <n v="358"/>
    <n v="1"/>
    <n v="2"/>
  </r>
  <r>
    <x v="1"/>
    <s v="大连"/>
    <m/>
    <m/>
    <m/>
    <m/>
  </r>
  <r>
    <x v="2"/>
    <s v="大连"/>
    <n v="370"/>
    <n v="373"/>
    <n v="0.99195710455764075"/>
    <n v="2"/>
  </r>
  <r>
    <x v="3"/>
    <s v="大连"/>
    <m/>
    <m/>
    <m/>
    <m/>
  </r>
  <r>
    <x v="4"/>
    <s v="大连"/>
    <n v="8"/>
    <n v="8"/>
    <n v="1"/>
    <n v="2"/>
  </r>
  <r>
    <x v="0"/>
    <s v="江苏"/>
    <n v="3666"/>
    <n v="3669"/>
    <n v="0.99918233851185612"/>
    <n v="2"/>
  </r>
  <r>
    <x v="1"/>
    <s v="江苏"/>
    <n v="9"/>
    <n v="9"/>
    <n v="1"/>
    <n v="2"/>
  </r>
  <r>
    <x v="2"/>
    <s v="江苏"/>
    <m/>
    <m/>
    <m/>
    <m/>
  </r>
  <r>
    <x v="3"/>
    <s v="江苏"/>
    <n v="897"/>
    <n v="903"/>
    <n v="0.99335548172757471"/>
    <n v="2"/>
  </r>
  <r>
    <x v="4"/>
    <s v="江苏"/>
    <n v="68"/>
    <n v="68"/>
    <n v="1"/>
    <n v="2"/>
  </r>
  <r>
    <x v="0"/>
    <s v="山东"/>
    <n v="1969"/>
    <n v="1969"/>
    <n v="1"/>
    <n v="2"/>
  </r>
  <r>
    <x v="1"/>
    <s v="山东"/>
    <n v="13"/>
    <n v="13"/>
    <n v="1"/>
    <n v="2"/>
  </r>
  <r>
    <x v="2"/>
    <s v="山东"/>
    <n v="488"/>
    <n v="488"/>
    <n v="1"/>
    <n v="2"/>
  </r>
  <r>
    <x v="3"/>
    <s v="山东"/>
    <n v="1030"/>
    <n v="1030"/>
    <n v="1"/>
    <n v="2"/>
  </r>
  <r>
    <x v="4"/>
    <s v="山东"/>
    <n v="74"/>
    <n v="74"/>
    <n v="1"/>
    <n v="2"/>
  </r>
  <r>
    <x v="0"/>
    <s v="青岛"/>
    <n v="604"/>
    <n v="604"/>
    <n v="1"/>
    <n v="2"/>
  </r>
  <r>
    <x v="1"/>
    <s v="青岛"/>
    <m/>
    <m/>
    <m/>
    <m/>
  </r>
  <r>
    <x v="2"/>
    <s v="青岛"/>
    <m/>
    <m/>
    <m/>
    <m/>
  </r>
  <r>
    <x v="3"/>
    <s v="青岛"/>
    <n v="69"/>
    <n v="69"/>
    <m/>
    <m/>
  </r>
  <r>
    <x v="4"/>
    <s v="青岛"/>
    <n v="12"/>
    <n v="12"/>
    <n v="1"/>
    <n v="2"/>
  </r>
  <r>
    <x v="0"/>
    <s v="河南"/>
    <n v="1612"/>
    <n v="1612"/>
    <n v="1"/>
    <n v="2"/>
  </r>
  <r>
    <x v="1"/>
    <s v="河南"/>
    <m/>
    <m/>
    <m/>
    <m/>
  </r>
  <r>
    <x v="2"/>
    <s v="河南"/>
    <n v="316"/>
    <n v="316"/>
    <n v="1"/>
    <n v="2"/>
  </r>
  <r>
    <x v="3"/>
    <s v="河南"/>
    <n v="204"/>
    <n v="204"/>
    <n v="1"/>
    <n v="2"/>
  </r>
  <r>
    <x v="4"/>
    <s v="河南"/>
    <n v="46"/>
    <n v="46"/>
    <n v="1"/>
    <n v="2"/>
  </r>
  <r>
    <x v="0"/>
    <s v="广东"/>
    <n v="572"/>
    <n v="573"/>
    <n v="0.99825479930191974"/>
    <n v="2"/>
  </r>
  <r>
    <x v="1"/>
    <s v="广东"/>
    <m/>
    <m/>
    <m/>
    <m/>
  </r>
  <r>
    <x v="2"/>
    <s v="广东"/>
    <m/>
    <m/>
    <m/>
    <m/>
  </r>
  <r>
    <x v="3"/>
    <s v="广东"/>
    <n v="210"/>
    <n v="216"/>
    <n v="0.97222222222222221"/>
    <n v="2"/>
  </r>
  <r>
    <x v="4"/>
    <s v="广东"/>
    <n v="17"/>
    <n v="17"/>
    <n v="1"/>
    <n v="2"/>
  </r>
  <r>
    <x v="0"/>
    <s v="四川"/>
    <n v="755"/>
    <n v="757"/>
    <n v="0.99735799207397624"/>
    <n v="2"/>
  </r>
  <r>
    <x v="1"/>
    <s v="四川"/>
    <n v="2"/>
    <n v="3"/>
    <n v="0.66666666666666663"/>
    <n v="0"/>
  </r>
  <r>
    <x v="2"/>
    <s v="四川"/>
    <n v="1"/>
    <n v="1"/>
    <n v="1"/>
    <n v="2"/>
  </r>
  <r>
    <x v="3"/>
    <s v="四川"/>
    <n v="429"/>
    <n v="429"/>
    <n v="1"/>
    <n v="2"/>
  </r>
  <r>
    <x v="4"/>
    <s v="四川"/>
    <n v="22"/>
    <n v="22"/>
    <n v="1"/>
    <n v="2"/>
  </r>
</pivotCacheRecords>
</file>

<file path=xl/pivotCache/pivotCacheRecords4.xml><?xml version="1.0" encoding="utf-8"?>
<pivotCacheRecords xmlns="http://schemas.openxmlformats.org/spreadsheetml/2006/main" xmlns:r="http://schemas.openxmlformats.org/officeDocument/2006/relationships" count="50">
  <r>
    <x v="0"/>
    <s v="北京"/>
    <n v="399"/>
    <n v="401"/>
    <n v="0.99501246882793015"/>
    <n v="2"/>
  </r>
  <r>
    <x v="1"/>
    <s v="北京"/>
    <n v="0"/>
    <n v="0"/>
    <m/>
    <m/>
  </r>
  <r>
    <x v="2"/>
    <s v="北京"/>
    <n v="8"/>
    <n v="8"/>
    <n v="1"/>
    <n v="2"/>
  </r>
  <r>
    <x v="3"/>
    <s v="北京"/>
    <n v="235"/>
    <n v="244"/>
    <n v="0.96311475409836067"/>
    <n v="2"/>
  </r>
  <r>
    <x v="4"/>
    <s v="北京"/>
    <n v="14"/>
    <n v="14"/>
    <n v="1"/>
    <n v="2"/>
  </r>
  <r>
    <x v="0"/>
    <s v="天津"/>
    <n v="1808"/>
    <n v="1814"/>
    <n v="0.99669239250275632"/>
    <n v="2"/>
  </r>
  <r>
    <x v="1"/>
    <s v="天津"/>
    <n v="7"/>
    <n v="7"/>
    <n v="1"/>
    <n v="2"/>
  </r>
  <r>
    <x v="2"/>
    <s v="天津"/>
    <n v="359"/>
    <n v="362"/>
    <n v="0.99171270718232041"/>
    <n v="2"/>
  </r>
  <r>
    <x v="3"/>
    <s v="天津"/>
    <m/>
    <m/>
    <m/>
    <m/>
  </r>
  <r>
    <x v="4"/>
    <s v="天津"/>
    <n v="29"/>
    <n v="29"/>
    <n v="1"/>
    <n v="2"/>
  </r>
  <r>
    <x v="0"/>
    <s v="辽宁"/>
    <n v="2535"/>
    <n v="2539"/>
    <n v="0.99842457660496253"/>
    <n v="2"/>
  </r>
  <r>
    <x v="1"/>
    <s v="辽宁"/>
    <m/>
    <m/>
    <m/>
    <m/>
  </r>
  <r>
    <x v="2"/>
    <s v="辽宁"/>
    <m/>
    <m/>
    <m/>
    <m/>
  </r>
  <r>
    <x v="3"/>
    <s v="辽宁"/>
    <n v="500"/>
    <n v="506"/>
    <n v="0.98814229249011853"/>
    <n v="2"/>
  </r>
  <r>
    <x v="4"/>
    <s v="辽宁"/>
    <n v="71"/>
    <n v="72"/>
    <n v="0.98611111111111116"/>
    <n v="2"/>
  </r>
  <r>
    <x v="0"/>
    <s v="大连"/>
    <n v="351"/>
    <n v="358"/>
    <n v="0.98044692737430172"/>
    <n v="2"/>
  </r>
  <r>
    <x v="1"/>
    <s v="大连"/>
    <m/>
    <m/>
    <m/>
    <m/>
  </r>
  <r>
    <x v="2"/>
    <s v="大连"/>
    <n v="368"/>
    <n v="373"/>
    <n v="0.98659517426273458"/>
    <n v="2"/>
  </r>
  <r>
    <x v="3"/>
    <s v="大连"/>
    <m/>
    <m/>
    <m/>
    <m/>
  </r>
  <r>
    <x v="4"/>
    <s v="大连"/>
    <n v="8"/>
    <n v="8"/>
    <n v="1"/>
    <n v="2"/>
  </r>
  <r>
    <x v="0"/>
    <s v="江苏"/>
    <n v="3633"/>
    <n v="3669"/>
    <n v="0.99018806214227306"/>
    <n v="2"/>
  </r>
  <r>
    <x v="1"/>
    <s v="江苏"/>
    <n v="9"/>
    <n v="9"/>
    <n v="1"/>
    <n v="2"/>
  </r>
  <r>
    <x v="2"/>
    <s v="江苏"/>
    <m/>
    <m/>
    <m/>
    <m/>
  </r>
  <r>
    <x v="3"/>
    <s v="江苏"/>
    <n v="879"/>
    <n v="903"/>
    <n v="0.97342192691029905"/>
    <n v="2"/>
  </r>
  <r>
    <x v="4"/>
    <s v="江苏"/>
    <n v="67"/>
    <n v="68"/>
    <n v="0.98529411764705888"/>
    <n v="2"/>
  </r>
  <r>
    <x v="0"/>
    <s v="山东"/>
    <n v="1969"/>
    <n v="1969"/>
    <n v="1"/>
    <n v="2"/>
  </r>
  <r>
    <x v="1"/>
    <s v="山东"/>
    <n v="13"/>
    <n v="13"/>
    <n v="1"/>
    <n v="2"/>
  </r>
  <r>
    <x v="2"/>
    <s v="山东"/>
    <n v="488"/>
    <n v="488"/>
    <n v="1"/>
    <n v="2"/>
  </r>
  <r>
    <x v="3"/>
    <s v="山东"/>
    <n v="1030"/>
    <n v="1030"/>
    <n v="1"/>
    <n v="2"/>
  </r>
  <r>
    <x v="4"/>
    <s v="山东"/>
    <n v="74"/>
    <n v="74"/>
    <n v="1"/>
    <n v="2"/>
  </r>
  <r>
    <x v="0"/>
    <s v="青岛"/>
    <n v="603"/>
    <n v="604"/>
    <n v="0.9983443708609272"/>
    <n v="2"/>
  </r>
  <r>
    <x v="1"/>
    <s v="青岛"/>
    <m/>
    <m/>
    <m/>
    <m/>
  </r>
  <r>
    <x v="2"/>
    <s v="青岛"/>
    <m/>
    <m/>
    <m/>
    <m/>
  </r>
  <r>
    <x v="3"/>
    <s v="青岛"/>
    <n v="69"/>
    <n v="69"/>
    <n v="1"/>
    <n v="2"/>
  </r>
  <r>
    <x v="4"/>
    <s v="青岛"/>
    <n v="12"/>
    <n v="12"/>
    <n v="1"/>
    <n v="2"/>
  </r>
  <r>
    <x v="0"/>
    <s v="河南"/>
    <n v="1611"/>
    <n v="1612"/>
    <n v="0.99937965260545902"/>
    <n v="2"/>
  </r>
  <r>
    <x v="1"/>
    <s v="河南"/>
    <n v="1"/>
    <n v="1"/>
    <n v="1"/>
    <n v="2"/>
  </r>
  <r>
    <x v="2"/>
    <s v="河南"/>
    <n v="315"/>
    <n v="316"/>
    <n v="0.99683544303797467"/>
    <n v="2"/>
  </r>
  <r>
    <x v="3"/>
    <s v="河南"/>
    <n v="204"/>
    <n v="204"/>
    <n v="1"/>
    <n v="2"/>
  </r>
  <r>
    <x v="4"/>
    <s v="河南"/>
    <n v="46"/>
    <n v="46"/>
    <n v="1"/>
    <n v="2"/>
  </r>
  <r>
    <x v="0"/>
    <s v="广东"/>
    <n v="570"/>
    <n v="573"/>
    <n v="0.99476439790575921"/>
    <n v="2"/>
  </r>
  <r>
    <x v="1"/>
    <s v="广东"/>
    <m/>
    <m/>
    <m/>
    <m/>
  </r>
  <r>
    <x v="2"/>
    <s v="广东"/>
    <m/>
    <m/>
    <m/>
    <m/>
  </r>
  <r>
    <x v="3"/>
    <s v="广东"/>
    <n v="188"/>
    <n v="216"/>
    <n v="0.87037037037037035"/>
    <n v="1"/>
  </r>
  <r>
    <x v="4"/>
    <s v="广东"/>
    <n v="17"/>
    <n v="17"/>
    <n v="1"/>
    <n v="2"/>
  </r>
  <r>
    <x v="0"/>
    <s v="四川"/>
    <n v="746"/>
    <n v="757"/>
    <n v="0.98546895640686927"/>
    <n v="2"/>
  </r>
  <r>
    <x v="1"/>
    <s v="四川"/>
    <n v="2"/>
    <n v="3"/>
    <n v="0.66666666666666663"/>
    <n v="0"/>
  </r>
  <r>
    <x v="2"/>
    <s v="四川"/>
    <n v="1"/>
    <n v="1"/>
    <n v="1"/>
    <n v="2"/>
  </r>
  <r>
    <x v="3"/>
    <s v="四川"/>
    <n v="412"/>
    <n v="429"/>
    <n v="0.96037296037296038"/>
    <n v="2"/>
  </r>
  <r>
    <x v="4"/>
    <s v="四川"/>
    <n v="22"/>
    <n v="22"/>
    <n v="1"/>
    <n v="2"/>
  </r>
</pivotCacheRecords>
</file>

<file path=xl/pivotCache/pivotCacheRecords5.xml><?xml version="1.0" encoding="utf-8"?>
<pivotCacheRecords xmlns="http://schemas.openxmlformats.org/spreadsheetml/2006/main" xmlns:r="http://schemas.openxmlformats.org/officeDocument/2006/relationships" count="49">
  <r>
    <x v="0"/>
    <s v="北京分公司"/>
    <n v="690404.44"/>
    <n v="630000"/>
    <n v="4000862"/>
    <n v="1205038"/>
    <n v="0.25363615128988265"/>
    <n v="0"/>
  </r>
  <r>
    <x v="0"/>
    <s v="天津分公司"/>
    <n v="2371711.9"/>
    <n v="9320000"/>
    <n v="99589632.760000005"/>
    <n v="43450000"/>
    <n v="8.1737569332389279E-2"/>
    <n v="1.5"/>
  </r>
  <r>
    <x v="0"/>
    <s v="青岛分公司"/>
    <n v="596836.52"/>
    <n v="0"/>
    <n v="1568046"/>
    <n v="0"/>
    <n v="0.38062436943814149"/>
    <n v="0"/>
  </r>
  <r>
    <x v="0"/>
    <s v="山东分公司"/>
    <n v="16655229.25"/>
    <n v="6941905"/>
    <n v="351605694"/>
    <n v="34462491"/>
    <n v="6.1121675307174043E-2"/>
    <n v="1.5"/>
  </r>
  <r>
    <x v="0"/>
    <s v="江苏分公司"/>
    <n v="7569724.5999999996"/>
    <n v="20000"/>
    <n v="6624435.7000000002"/>
    <n v="20000"/>
    <n v="1.1422677474326375"/>
    <n v="0"/>
  </r>
  <r>
    <x v="0"/>
    <s v="辽宁分公司"/>
    <n v="15726917.699999999"/>
    <n v="0"/>
    <n v="5959370"/>
    <n v="0"/>
    <n v="2.639023537722947"/>
    <n v="0"/>
  </r>
  <r>
    <x v="0"/>
    <s v="四川分公司"/>
    <n v="1298423.3500000001"/>
    <n v="20000"/>
    <n v="11612475"/>
    <n v="70000"/>
    <n v="0.11285479746372237"/>
    <n v="0"/>
  </r>
  <r>
    <x v="0"/>
    <s v="河南分公司"/>
    <n v="13412594.08"/>
    <n v="3055182"/>
    <n v="131689344"/>
    <n v="10705809"/>
    <n v="0.11564843137603145"/>
    <n v="0"/>
  </r>
  <r>
    <x v="0"/>
    <s v="大连分公司"/>
    <n v="2380478.3199999998"/>
    <n v="9370000"/>
    <n v="93538094"/>
    <n v="49499542"/>
    <n v="8.2149556218896122E-2"/>
    <n v="1.5"/>
  </r>
  <r>
    <x v="0"/>
    <s v="广东分公司"/>
    <n v="535838.1"/>
    <n v="0"/>
    <n v="2166595"/>
    <n v="0"/>
    <n v="0.24731807282856277"/>
    <n v="0"/>
  </r>
  <r>
    <x v="1"/>
    <s v="北京分公司"/>
    <n v="16233.6"/>
    <n v="0"/>
    <n v="444227.34"/>
    <n v="87929"/>
    <n v="3.0505321049073657E-2"/>
    <n v="3"/>
  </r>
  <r>
    <x v="1"/>
    <s v="天津分公司"/>
    <n v="34400"/>
    <n v="3010"/>
    <n v="807499.14"/>
    <n v="289762"/>
    <n v="3.4093980581504958E-2"/>
    <n v="3"/>
  </r>
  <r>
    <x v="1"/>
    <s v="青岛分公司"/>
    <n v="0"/>
    <n v="0"/>
    <n v="129774.86"/>
    <n v="47011"/>
    <n v="0"/>
    <n v="3"/>
  </r>
  <r>
    <x v="1"/>
    <s v="山东分公司"/>
    <n v="42687.040000000001"/>
    <n v="14558"/>
    <n v="7721507.3099999996"/>
    <n v="373705"/>
    <n v="7.0714686419385588E-3"/>
    <n v="3"/>
  </r>
  <r>
    <x v="1"/>
    <s v="江苏分公司"/>
    <n v="48621.8"/>
    <n v="1463"/>
    <n v="6858874.4000000004"/>
    <n v="406798"/>
    <n v="6.8933468566515603E-3"/>
    <n v="3"/>
  </r>
  <r>
    <x v="1"/>
    <s v="辽宁分公司"/>
    <n v="691029.9"/>
    <n v="27589"/>
    <n v="12233092.300000001"/>
    <n v="602991"/>
    <n v="5.5984281435755408E-2"/>
    <n v="1.5"/>
  </r>
  <r>
    <x v="1"/>
    <s v="四川分公司"/>
    <n v="0"/>
    <n v="0"/>
    <n v="963362.05"/>
    <n v="84972"/>
    <n v="0"/>
    <n v="3"/>
  </r>
  <r>
    <x v="1"/>
    <s v="河南分公司"/>
    <n v="319.52"/>
    <n v="0"/>
    <n v="2367867.2000000002"/>
    <n v="285724"/>
    <n v="1.2041040835528847E-4"/>
    <n v="3"/>
  </r>
  <r>
    <x v="1"/>
    <s v="大连分公司"/>
    <n v="0"/>
    <n v="0"/>
    <n v="203594.76"/>
    <n v="53854"/>
    <n v="0"/>
    <n v="3"/>
  </r>
  <r>
    <x v="1"/>
    <s v="广东分公司"/>
    <n v="0"/>
    <n v="0"/>
    <n v="1780961.85"/>
    <n v="358574"/>
    <n v="0"/>
    <n v="3"/>
  </r>
  <r>
    <x v="2"/>
    <s v="北京分公司"/>
    <n v="0"/>
    <n v="0"/>
    <n v="13607239.18"/>
    <n v="0"/>
    <n v="0"/>
    <n v="3"/>
  </r>
  <r>
    <x v="2"/>
    <s v="天津分公司"/>
    <n v="0"/>
    <n v="532350"/>
    <n v="65907537.840000004"/>
    <n v="776677"/>
    <n v="7.9831486548548828E-3"/>
    <n v="3"/>
  </r>
  <r>
    <x v="2"/>
    <s v="青岛分公司"/>
    <n v="0"/>
    <n v="0"/>
    <n v="1211779.5"/>
    <n v="0"/>
    <n v="0"/>
    <n v="3"/>
  </r>
  <r>
    <x v="2"/>
    <s v="山东分公司"/>
    <n v="0"/>
    <n v="0"/>
    <n v="6781875.4299999997"/>
    <n v="34725"/>
    <n v="0"/>
    <n v="3"/>
  </r>
  <r>
    <x v="2"/>
    <s v="江苏分公司"/>
    <n v="0"/>
    <n v="0"/>
    <n v="24723569.600000001"/>
    <n v="46757"/>
    <n v="0"/>
    <n v="3"/>
  </r>
  <r>
    <x v="2"/>
    <s v="辽宁分公司"/>
    <n v="0"/>
    <n v="0"/>
    <n v="2898279.9"/>
    <n v="0"/>
    <n v="0"/>
    <n v="3"/>
  </r>
  <r>
    <x v="2"/>
    <s v="四川分公司"/>
    <n v="0"/>
    <n v="0"/>
    <n v="5384278.6200000001"/>
    <n v="2929"/>
    <n v="0"/>
    <n v="3"/>
  </r>
  <r>
    <x v="2"/>
    <s v="河南分公司"/>
    <n v="0"/>
    <n v="0"/>
    <n v="4435603.04"/>
    <n v="0"/>
    <n v="0"/>
    <n v="3"/>
  </r>
  <r>
    <x v="2"/>
    <s v="大连分公司"/>
    <n v="0"/>
    <n v="0"/>
    <n v="26806.9"/>
    <n v="0"/>
    <n v="0"/>
    <n v="3"/>
  </r>
  <r>
    <x v="2"/>
    <s v="广东分公司"/>
    <n v="0"/>
    <n v="0"/>
    <n v="402847.2"/>
    <n v="17819"/>
    <n v="0"/>
    <n v="3"/>
  </r>
  <r>
    <x v="3"/>
    <s v="北京分公司"/>
    <n v="657582.19999999995"/>
    <n v="74403"/>
    <n v="30044861.379999999"/>
    <n v="6531590"/>
    <n v="2.0012471751161991E-2"/>
    <n v="3"/>
  </r>
  <r>
    <x v="3"/>
    <s v="天津分公司"/>
    <n v="3688923.18"/>
    <n v="1614345"/>
    <n v="109730065.08"/>
    <n v="26091271"/>
    <n v="3.9045913794253408E-2"/>
    <n v="3"/>
  </r>
  <r>
    <x v="3"/>
    <s v="青岛分公司"/>
    <n v="679701.66"/>
    <n v="172681"/>
    <n v="23660330.16"/>
    <n v="5711921"/>
    <n v="2.9019997662310608E-2"/>
    <n v="3"/>
  </r>
  <r>
    <x v="3"/>
    <s v="山东分公司"/>
    <n v="12493627.08"/>
    <n v="660054"/>
    <n v="562962413.09000003"/>
    <n v="17560941"/>
    <n v="2.2658315100206546E-2"/>
    <n v="3"/>
  </r>
  <r>
    <x v="3"/>
    <s v="江苏分公司"/>
    <n v="13821476.199999999"/>
    <n v="753148"/>
    <n v="727331320.60000002"/>
    <n v="42976913"/>
    <n v="1.8920509432809988E-2"/>
    <n v="3"/>
  </r>
  <r>
    <x v="3"/>
    <s v="辽宁分公司"/>
    <n v="19986818.399999999"/>
    <n v="2020938"/>
    <n v="683446803.20000005"/>
    <n v="36872136"/>
    <n v="3.0552794328082271E-2"/>
    <n v="3"/>
  </r>
  <r>
    <x v="3"/>
    <s v="四川分公司"/>
    <n v="4941411.4400000004"/>
    <n v="438827"/>
    <n v="105565746.72"/>
    <n v="8922701"/>
    <n v="4.6993723359392933E-2"/>
    <n v="3"/>
  </r>
  <r>
    <x v="3"/>
    <s v="河南分公司"/>
    <n v="7175977.6799999997"/>
    <n v="1435864"/>
    <n v="323807753.04000002"/>
    <n v="20937353"/>
    <n v="2.4980315975829361E-2"/>
    <n v="3"/>
  </r>
  <r>
    <x v="3"/>
    <s v="大连分公司"/>
    <n v="1241975.3799999999"/>
    <n v="589312"/>
    <n v="23588971.52"/>
    <n v="5394013"/>
    <n v="6.318491384958308E-2"/>
    <n v="1.5"/>
  </r>
  <r>
    <x v="3"/>
    <s v="广东分公司"/>
    <n v="1618822.9"/>
    <n v="156038"/>
    <n v="73552705.549999997"/>
    <n v="9220458"/>
    <n v="2.1442467870977006E-2"/>
    <n v="3"/>
  </r>
  <r>
    <x v="4"/>
    <s v="北京分公司"/>
    <n v="702509.32"/>
    <n v="199734"/>
    <n v="13890478.199999999"/>
    <n v="3484071"/>
    <n v="5.1929020408771238E-2"/>
    <n v="1.5"/>
  </r>
  <r>
    <x v="4"/>
    <s v="天津分公司"/>
    <n v="381074.54"/>
    <n v="0"/>
    <n v="1523646.58"/>
    <n v="0"/>
    <n v="0.25010691127597318"/>
    <n v="0"/>
  </r>
  <r>
    <x v="4"/>
    <s v="青岛分公司"/>
    <n v="0"/>
    <n v="20964"/>
    <n v="447908"/>
    <n v="403068"/>
    <n v="2.4635242357011245E-2"/>
    <n v="3"/>
  </r>
  <r>
    <x v="4"/>
    <s v="山东分公司"/>
    <n v="1533280.98"/>
    <n v="258808"/>
    <n v="142320091.43000001"/>
    <n v="6209038"/>
    <n v="1.2065572503369381E-2"/>
    <n v="3"/>
  </r>
  <r>
    <x v="4"/>
    <s v="江苏分公司"/>
    <n v="1752831.8"/>
    <n v="252417"/>
    <n v="122294902.40000001"/>
    <n v="6067288"/>
    <n v="1.5621802602084608E-2"/>
    <n v="3"/>
  </r>
  <r>
    <x v="4"/>
    <s v="辽宁分公司"/>
    <n v="14518583.199999999"/>
    <n v="266967"/>
    <n v="214798893.90000001"/>
    <n v="3978739"/>
    <n v="6.7582549477341922E-2"/>
    <n v="1.5"/>
  </r>
  <r>
    <x v="4"/>
    <s v="四川分公司"/>
    <n v="691792.01"/>
    <n v="339048"/>
    <n v="33614065.729999997"/>
    <n v="4195447"/>
    <n v="2.7264038480508609E-2"/>
    <n v="3"/>
  </r>
  <r>
    <x v="4"/>
    <s v="河南分公司"/>
    <n v="638724.24"/>
    <n v="148749"/>
    <n v="52090446.799999997"/>
    <n v="1081576"/>
    <n v="1.4809916917435762E-2"/>
    <n v="3"/>
  </r>
  <r>
    <x v="4"/>
    <s v="广东分公司"/>
    <n v="544723.35"/>
    <n v="151788"/>
    <n v="13642113.300000001"/>
    <n v="2307493"/>
    <n v="4.3669501108626108E-2"/>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数据透视表9" cacheId="0" applyNumberFormats="0" applyBorderFormats="0" applyFontFormats="0" applyPatternFormats="0" applyAlignmentFormats="0" applyWidthHeightFormats="1" dataCaption="值" updatedVersion="5" minRefreshableVersion="3" showCalcMbrs="0" useAutoFormatting="1" rowGrandTotals="0" itemPrintTitles="1" createdVersion="3" indent="0" showHeaders="0" outline="1" outlineData="1" multipleFieldFilters="0">
  <location ref="K2:M8" firstHeaderRow="0" firstDataRow="1" firstDataCol="1"/>
  <pivotFields count="7">
    <pivotField axis="axisRow" showAll="0" defaultSubtotal="0">
      <items count="6">
        <item x="4"/>
        <item x="1"/>
        <item x="0"/>
        <item x="2"/>
        <item x="5"/>
        <item x="3"/>
      </items>
    </pivotField>
    <pivotField showAll="0" defaultSubtotal="0"/>
    <pivotField showAll="0" defaultSubtotal="0"/>
    <pivotField showAll="0" defaultSubtotal="0"/>
    <pivotField showAll="0" defaultSubtotal="0"/>
    <pivotField name="离职率2" dataField="1" showAll="0" defaultSubtotal="0"/>
    <pivotField dataField="1" showAll="0" defaultSubtotal="0"/>
  </pivotFields>
  <rowFields count="1">
    <field x="0"/>
  </rowFields>
  <rowItems count="6">
    <i>
      <x/>
    </i>
    <i>
      <x v="1"/>
    </i>
    <i>
      <x v="2"/>
    </i>
    <i>
      <x v="3"/>
    </i>
    <i>
      <x v="4"/>
    </i>
    <i>
      <x v="5"/>
    </i>
  </rowItems>
  <colFields count="1">
    <field x="-2"/>
  </colFields>
  <colItems count="2">
    <i>
      <x/>
    </i>
    <i i="1">
      <x v="1"/>
    </i>
  </colItems>
  <dataFields count="2">
    <dataField name="平均值项:得分" fld="6" subtotal="average" baseField="0" baseItem="0" numFmtId="176"/>
    <dataField name="平均值项:离职率" fld="5" subtotal="average" baseField="0" baseItem="0" numFmtId="10"/>
  </dataFields>
  <formats count="7">
    <format dxfId="431">
      <pivotArea outline="0" collapsedLevelsAreSubtotals="1" fieldPosition="0"/>
    </format>
    <format dxfId="430">
      <pivotArea dataOnly="0" labelOnly="1" grandRow="1" outline="0" fieldPosition="0"/>
    </format>
    <format dxfId="429">
      <pivotArea type="all" dataOnly="0" outline="0" fieldPosition="0"/>
    </format>
    <format dxfId="428">
      <pivotArea type="all" dataOnly="0" outline="0" fieldPosition="0"/>
    </format>
    <format dxfId="427">
      <pivotArea type="all" dataOnly="0" outline="0" fieldPosition="0"/>
    </format>
    <format dxfId="426">
      <pivotArea outline="0" collapsedLevelsAreSubtotals="1" fieldPosition="0">
        <references count="1">
          <reference field="4294967294" count="1" selected="0">
            <x v="1"/>
          </reference>
        </references>
      </pivotArea>
    </format>
    <format dxfId="42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数据透视表10" cacheId="3" applyNumberFormats="0" applyBorderFormats="0" applyFontFormats="0" applyPatternFormats="0" applyAlignmentFormats="0" applyWidthHeightFormats="1" dataCaption="0" updatedVersion="5" minRefreshableVersion="3" showCalcMbrs="0" useAutoFormatting="1" rowGrandTotals="0" itemPrintTitles="1" createdVersion="3" indent="0" showHeaders="0" outline="1" outlineData="1" multipleFieldFilters="0">
  <location ref="I2:K7" firstHeaderRow="0" firstDataRow="1" firstDataCol="1"/>
  <pivotFields count="6">
    <pivotField axis="axisRow" showAll="0" defaultSubtotal="0">
      <items count="5">
        <item x="3"/>
        <item x="0"/>
        <item x="1"/>
        <item x="4"/>
        <item x="2"/>
      </items>
    </pivotField>
    <pivotField showAll="0" defaultSubtotal="0"/>
    <pivotField showAll="0" defaultSubtotal="0"/>
    <pivotField showAll="0" defaultSubtotal="0"/>
    <pivotField dataField="1" showAll="0" defaultSubtotal="0"/>
    <pivotField dataField="1" showAll="0" defaultSubtotal="0"/>
  </pivotFields>
  <rowFields count="1">
    <field x="0"/>
  </rowFields>
  <rowItems count="5">
    <i>
      <x/>
    </i>
    <i>
      <x v="1"/>
    </i>
    <i>
      <x v="2"/>
    </i>
    <i>
      <x v="3"/>
    </i>
    <i>
      <x v="4"/>
    </i>
  </rowItems>
  <colFields count="1">
    <field x="-2"/>
  </colFields>
  <colItems count="2">
    <i>
      <x/>
    </i>
    <i i="1">
      <x v="1"/>
    </i>
  </colItems>
  <dataFields count="2">
    <dataField name="平均值项:得分" fld="5" subtotal="average" baseField="0" baseItem="0"/>
    <dataField name="平均值项:犹豫期内电话回访成功率" fld="4" subtotal="average" baseField="0" baseItem="0" numFmtId="10"/>
  </dataFields>
  <formats count="4">
    <format dxfId="422">
      <pivotArea type="all" dataOnly="0" outline="0" fieldPosition="0"/>
    </format>
    <format dxfId="421">
      <pivotArea dataOnly="0" fieldPosition="0">
        <references count="1">
          <reference field="0" count="0"/>
        </references>
      </pivotArea>
    </format>
    <format dxfId="420">
      <pivotArea type="all" dataOnly="0" outline="0" fieldPosition="0"/>
    </format>
    <format dxfId="41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数据透视表11" cacheId="2" applyNumberFormats="0" applyBorderFormats="0" applyFontFormats="0" applyPatternFormats="0" applyAlignmentFormats="0" applyWidthHeightFormats="1" dataCaption="值" updatedVersion="5" minRefreshableVersion="3" showCalcMbrs="0" useAutoFormatting="1" rowGrandTotals="0" itemPrintTitles="1" createdVersion="3" indent="0" showHeaders="0" outline="1" outlineData="1" multipleFieldFilters="0">
  <location ref="I2:K7" firstHeaderRow="0" firstDataRow="1" firstDataCol="1"/>
  <pivotFields count="6">
    <pivotField axis="axisRow" showAll="0">
      <items count="6">
        <item x="3"/>
        <item x="0"/>
        <item x="1"/>
        <item x="4"/>
        <item x="2"/>
        <item t="default"/>
      </items>
    </pivotField>
    <pivotField showAll="0"/>
    <pivotField showAll="0"/>
    <pivotField showAll="0"/>
    <pivotField dataField="1" showAll="0"/>
    <pivotField dataField="1" showAll="0"/>
  </pivotFields>
  <rowFields count="1">
    <field x="0"/>
  </rowFields>
  <rowItems count="5">
    <i>
      <x/>
    </i>
    <i>
      <x v="1"/>
    </i>
    <i>
      <x v="2"/>
    </i>
    <i>
      <x v="3"/>
    </i>
    <i>
      <x v="4"/>
    </i>
  </rowItems>
  <colFields count="1">
    <field x="-2"/>
  </colFields>
  <colItems count="2">
    <i>
      <x/>
    </i>
    <i i="1">
      <x v="1"/>
    </i>
  </colItems>
  <dataFields count="2">
    <dataField name="平均值项:得分" fld="5" subtotal="average" baseField="0" baseItem="0" numFmtId="176"/>
    <dataField name="平均值项:新契约回访完成率" fld="4" subtotal="average" baseField="0" baseItem="0" numFmtId="10"/>
  </dataFields>
  <formats count="12">
    <format dxfId="417">
      <pivotArea outline="0" collapsedLevelsAreSubtotals="1" fieldPosition="0">
        <references count="1">
          <reference field="4294967294" count="1" selected="0">
            <x v="0"/>
          </reference>
        </references>
      </pivotArea>
    </format>
    <format dxfId="416">
      <pivotArea collapsedLevelsAreSubtotals="1" fieldPosition="0">
        <references count="2">
          <reference field="4294967294" count="1" selected="0">
            <x v="0"/>
          </reference>
          <reference field="0" count="4">
            <x v="0"/>
            <x v="1"/>
            <x v="2"/>
            <x v="3"/>
          </reference>
        </references>
      </pivotArea>
    </format>
    <format dxfId="415">
      <pivotArea outline="0" collapsedLevelsAreSubtotals="1" fieldPosition="0">
        <references count="1">
          <reference field="4294967294" count="1" selected="0">
            <x v="1"/>
          </reference>
        </references>
      </pivotArea>
    </format>
    <format dxfId="414">
      <pivotArea outline="0" collapsedLevelsAreSubtotals="1" fieldPosition="0">
        <references count="1">
          <reference field="4294967294" count="1" selected="0">
            <x v="1"/>
          </reference>
        </references>
      </pivotArea>
    </format>
    <format dxfId="413">
      <pivotArea outline="0" collapsedLevelsAreSubtotals="1" fieldPosition="0"/>
    </format>
    <format dxfId="412">
      <pivotArea dataOnly="0" labelOnly="1" fieldPosition="0">
        <references count="1">
          <reference field="0" count="0"/>
        </references>
      </pivotArea>
    </format>
    <format dxfId="411">
      <pivotArea collapsedLevelsAreSubtotals="1" fieldPosition="0">
        <references count="1">
          <reference field="0" count="1">
            <x v="4"/>
          </reference>
        </references>
      </pivotArea>
    </format>
    <format dxfId="410">
      <pivotArea outline="0" collapsedLevelsAreSubtotals="1" fieldPosition="0">
        <references count="1">
          <reference field="4294967294" count="1" selected="0">
            <x v="0"/>
          </reference>
        </references>
      </pivotArea>
    </format>
    <format dxfId="409">
      <pivotArea type="all" dataOnly="0" outline="0" fieldPosition="0"/>
    </format>
    <format dxfId="408">
      <pivotArea type="all" dataOnly="0" outline="0" fieldPosition="0"/>
    </format>
    <format dxfId="407">
      <pivotArea outline="0" collapsedLevelsAreSubtotals="1" fieldPosition="0">
        <references count="1">
          <reference field="4294967294" count="1" selected="0">
            <x v="1"/>
          </reference>
        </references>
      </pivotArea>
    </format>
    <format dxfId="40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数据透视表12" cacheId="1" applyNumberFormats="0" applyBorderFormats="0" applyFontFormats="0" applyPatternFormats="0" applyAlignmentFormats="0" applyWidthHeightFormats="1" dataCaption="值" updatedVersion="5" minRefreshableVersion="3" showCalcMbrs="0" useAutoFormatting="1" rowGrandTotals="0" itemPrintTitles="1" createdVersion="3" indent="0" outline="1" outlineData="1" multipleFieldFilters="0">
  <location ref="H5:J10" firstHeaderRow="1" firstDataRow="2" firstDataCol="1"/>
  <pivotFields count="5">
    <pivotField axis="axisRow" showAll="0" defaultSubtotal="0">
      <items count="6">
        <item x="3"/>
        <item x="1"/>
        <item h="1" m="1" x="5"/>
        <item x="2"/>
        <item h="1" x="4"/>
        <item x="0"/>
      </items>
    </pivotField>
    <pivotField showAll="0"/>
    <pivotField showAll="0"/>
    <pivotField dataField="1" showAll="0"/>
    <pivotField dataField="1" showAll="0"/>
  </pivotFields>
  <rowFields count="1">
    <field x="0"/>
  </rowFields>
  <rowItems count="4">
    <i>
      <x/>
    </i>
    <i>
      <x v="1"/>
    </i>
    <i>
      <x v="3"/>
    </i>
    <i>
      <x v="5"/>
    </i>
  </rowItems>
  <colFields count="1">
    <field x="-2"/>
  </colFields>
  <colItems count="2">
    <i>
      <x/>
    </i>
    <i i="1">
      <x v="1"/>
    </i>
  </colItems>
  <dataFields count="2">
    <dataField name="平均值项:保费继续率" fld="3" subtotal="average" baseField="0" baseItem="0" numFmtId="10"/>
    <dataField name="平均值项:得分" fld="4" subtotal="average" baseField="0" baseItem="0" numFmtId="176"/>
  </dataFields>
  <formats count="5">
    <format dxfId="405">
      <pivotArea outline="0" collapsedLevelsAreSubtotals="1" fieldPosition="0"/>
    </format>
    <format dxfId="404">
      <pivotArea dataOnly="0" labelOnly="1" fieldPosition="0">
        <references count="1">
          <reference field="0" count="0"/>
        </references>
      </pivotArea>
    </format>
    <format dxfId="403">
      <pivotArea type="all" dataOnly="0" outline="0" fieldPosition="0"/>
    </format>
    <format dxfId="402">
      <pivotArea outline="0" collapsedLevelsAreSubtotals="1" fieldPosition="0">
        <references count="1">
          <reference field="4294967294" count="1" selected="0">
            <x v="0"/>
          </reference>
        </references>
      </pivotArea>
    </format>
    <format dxfId="40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数据透视表4" cacheId="4" applyNumberFormats="0" applyBorderFormats="0" applyFontFormats="0" applyPatternFormats="0" applyAlignmentFormats="0" applyWidthHeightFormats="1" dataCaption="值" updatedVersion="5" minRefreshableVersion="3" showCalcMbrs="0" useAutoFormatting="1" rowGrandTotals="0" itemPrintTitles="1" createdVersion="3" indent="0" outline="1" outlineData="1" multipleFieldFilters="0">
  <location ref="L15:N21" firstHeaderRow="1" firstDataRow="2" firstDataCol="1"/>
  <pivotFields count="8">
    <pivotField axis="axisRow" showAll="0">
      <items count="7">
        <item x="4"/>
        <item x="3"/>
        <item x="2"/>
        <item h="1" m="1" x="5"/>
        <item x="1"/>
        <item x="0"/>
        <item t="default"/>
      </items>
    </pivotField>
    <pivotField showAll="0"/>
    <pivotField showAll="0"/>
    <pivotField showAll="0"/>
    <pivotField showAll="0"/>
    <pivotField showAll="0"/>
    <pivotField dataField="1" numFmtId="10" showAll="0"/>
    <pivotField dataField="1" showAll="0"/>
  </pivotFields>
  <rowFields count="1">
    <field x="0"/>
  </rowFields>
  <rowItems count="5">
    <i>
      <x/>
    </i>
    <i>
      <x v="1"/>
    </i>
    <i>
      <x v="2"/>
    </i>
    <i>
      <x v="4"/>
    </i>
    <i>
      <x v="5"/>
    </i>
  </rowItems>
  <colFields count="1">
    <field x="-2"/>
  </colFields>
  <colItems count="2">
    <i>
      <x/>
    </i>
    <i i="1">
      <x v="1"/>
    </i>
  </colItems>
  <dataFields count="2">
    <dataField name="平均值项:退撤保率" fld="6" subtotal="average" baseField="0" baseItem="0" numFmtId="10"/>
    <dataField name="平均值项:分数" fld="7" subtotal="average" baseField="0" baseItem="0" numFmtId="176"/>
  </dataFields>
  <formats count="9">
    <format dxfId="400">
      <pivotArea collapsedLevelsAreSubtotals="1" fieldPosition="0">
        <references count="2">
          <reference field="4294967294" count="1" selected="0">
            <x v="1"/>
          </reference>
          <reference field="0" count="0"/>
        </references>
      </pivotArea>
    </format>
    <format dxfId="399">
      <pivotArea collapsedLevelsAreSubtotals="1" fieldPosition="0">
        <references count="2">
          <reference field="4294967294" count="1" selected="0">
            <x v="0"/>
          </reference>
          <reference field="0" count="0"/>
        </references>
      </pivotArea>
    </format>
    <format dxfId="398">
      <pivotArea field="0" grandRow="1" outline="0" collapsedLevelsAreSubtotals="1" axis="axisRow" fieldPosition="0">
        <references count="1">
          <reference field="4294967294" count="1" selected="0">
            <x v="0"/>
          </reference>
        </references>
      </pivotArea>
    </format>
    <format dxfId="397">
      <pivotArea outline="0" collapsedLevelsAreSubtotals="1" fieldPosition="0"/>
    </format>
    <format dxfId="396">
      <pivotArea dataOnly="0" labelOnly="1" fieldPosition="0">
        <references count="1">
          <reference field="0" count="0"/>
        </references>
      </pivotArea>
    </format>
    <format dxfId="395">
      <pivotArea dataOnly="0" fieldPosition="0">
        <references count="1">
          <reference field="0" count="1">
            <x v="3"/>
          </reference>
        </references>
      </pivotArea>
    </format>
    <format dxfId="394">
      <pivotArea type="all" dataOnly="0" outline="0" fieldPosition="0"/>
    </format>
    <format dxfId="393">
      <pivotArea outline="0" collapsedLevelsAreSubtotals="1" fieldPosition="0">
        <references count="1">
          <reference field="4294967294" count="1" selected="0">
            <x v="1"/>
          </reference>
        </references>
      </pivotArea>
    </format>
    <format dxfId="39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JN.LuBao_Guo@hengansl.com" TargetMode="External"/><Relationship Id="rId2" Type="http://schemas.openxmlformats.org/officeDocument/2006/relationships/hyperlink" Target="mailto:dl.shuai_liang@hengansl.com" TargetMode="External"/><Relationship Id="rId1" Type="http://schemas.openxmlformats.org/officeDocument/2006/relationships/hyperlink" Target="mailto:TJ.Alisa_Yu@hengansl.com" TargetMode="External"/><Relationship Id="rId4" Type="http://schemas.openxmlformats.org/officeDocument/2006/relationships/hyperlink" Target="mailto:qd.haisheng_sui@hengansl.com"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O88"/>
  <sheetViews>
    <sheetView workbookViewId="0">
      <selection activeCell="C63" sqref="C63"/>
    </sheetView>
  </sheetViews>
  <sheetFormatPr defaultRowHeight="13.5"/>
  <cols>
    <col min="1" max="2" width="9" style="316"/>
    <col min="3" max="3" width="21.875" style="316" customWidth="1"/>
    <col min="4" max="4" width="20.875" style="316" customWidth="1"/>
    <col min="5" max="5" width="13.625" style="316" customWidth="1"/>
    <col min="6" max="6" width="13.625" style="312" customWidth="1"/>
    <col min="7" max="10" width="13.625" style="316" customWidth="1"/>
    <col min="11" max="11" width="5.25" style="316" customWidth="1"/>
    <col min="12" max="12" width="15.375" style="316" customWidth="1"/>
    <col min="13" max="13" width="17.625" style="316" customWidth="1"/>
    <col min="14" max="16384" width="9" style="316"/>
  </cols>
  <sheetData>
    <row r="1" spans="1:13" ht="60.75">
      <c r="A1" s="1500" t="s">
        <v>2039</v>
      </c>
      <c r="B1" s="1500" t="s">
        <v>2040</v>
      </c>
      <c r="C1" s="1501" t="s">
        <v>2052</v>
      </c>
      <c r="D1" s="1501" t="s">
        <v>2053</v>
      </c>
      <c r="E1" s="1501" t="s">
        <v>2407</v>
      </c>
      <c r="F1" s="1502" t="s">
        <v>1888</v>
      </c>
      <c r="G1" s="1500" t="s">
        <v>1889</v>
      </c>
      <c r="K1" s="1517"/>
      <c r="L1" s="1517"/>
      <c r="M1" s="1517"/>
    </row>
    <row r="2" spans="1:13" ht="14.25">
      <c r="A2" s="1499" t="s">
        <v>1890</v>
      </c>
      <c r="B2" s="1499" t="s">
        <v>1891</v>
      </c>
      <c r="C2" s="653">
        <v>3</v>
      </c>
      <c r="D2" s="653">
        <v>4</v>
      </c>
      <c r="E2" s="653">
        <v>2</v>
      </c>
      <c r="F2" s="1503">
        <f>C2/SUM(D2:E2)</f>
        <v>0.5</v>
      </c>
      <c r="G2" s="1504">
        <f>IF(F2&lt;=0.15,3,IF(F2&lt;=0.3,1.5,0))</f>
        <v>0</v>
      </c>
      <c r="K2" s="1092"/>
      <c r="L2" s="1092" t="s">
        <v>1927</v>
      </c>
      <c r="M2" s="1092" t="s">
        <v>1929</v>
      </c>
    </row>
    <row r="3" spans="1:13" ht="14.25">
      <c r="A3" s="1499" t="s">
        <v>1892</v>
      </c>
      <c r="B3" s="1499" t="s">
        <v>1891</v>
      </c>
      <c r="C3" s="653">
        <v>4</v>
      </c>
      <c r="D3" s="653">
        <v>14</v>
      </c>
      <c r="E3" s="653">
        <v>10</v>
      </c>
      <c r="F3" s="1503">
        <f t="shared" ref="F3:F61" si="0">C3/SUM(D3:E3)</f>
        <v>0.16666666666666666</v>
      </c>
      <c r="G3" s="1504">
        <f t="shared" ref="G3:G61" si="1">IF(F3&lt;=0.15,3,IF(F3&lt;=0.3,1.5,0))</f>
        <v>1.5</v>
      </c>
      <c r="K3" s="1093" t="s">
        <v>1843</v>
      </c>
      <c r="L3" s="1090">
        <v>2.0625</v>
      </c>
      <c r="M3" s="1091">
        <v>0.17862103174603172</v>
      </c>
    </row>
    <row r="4" spans="1:13" ht="14.25">
      <c r="A4" s="1499" t="s">
        <v>1893</v>
      </c>
      <c r="B4" s="1499" t="s">
        <v>1891</v>
      </c>
      <c r="C4" s="653">
        <v>4</v>
      </c>
      <c r="D4" s="653">
        <v>10</v>
      </c>
      <c r="E4" s="653">
        <v>3</v>
      </c>
      <c r="F4" s="1503">
        <f t="shared" si="0"/>
        <v>0.30769230769230771</v>
      </c>
      <c r="G4" s="1504">
        <f t="shared" si="1"/>
        <v>0</v>
      </c>
      <c r="K4" s="1093" t="s">
        <v>1840</v>
      </c>
      <c r="L4" s="1090">
        <v>1.95</v>
      </c>
      <c r="M4" s="1091">
        <v>0.17191934901162012</v>
      </c>
    </row>
    <row r="5" spans="1:13" ht="14.25">
      <c r="A5" s="1499" t="s">
        <v>1894</v>
      </c>
      <c r="B5" s="1499" t="s">
        <v>1891</v>
      </c>
      <c r="C5" s="653">
        <v>8</v>
      </c>
      <c r="D5" s="653">
        <v>15</v>
      </c>
      <c r="E5" s="653">
        <v>0</v>
      </c>
      <c r="F5" s="1503">
        <f t="shared" si="0"/>
        <v>0.53333333333333333</v>
      </c>
      <c r="G5" s="1504">
        <f t="shared" si="1"/>
        <v>0</v>
      </c>
      <c r="K5" s="1093" t="s">
        <v>1838</v>
      </c>
      <c r="L5" s="1090">
        <v>1.65</v>
      </c>
      <c r="M5" s="1091">
        <v>0.25246031746031744</v>
      </c>
    </row>
    <row r="6" spans="1:13" ht="14.25">
      <c r="A6" s="1499" t="s">
        <v>1895</v>
      </c>
      <c r="B6" s="1499" t="s">
        <v>1891</v>
      </c>
      <c r="C6" s="653">
        <v>1</v>
      </c>
      <c r="D6" s="653">
        <v>8</v>
      </c>
      <c r="E6" s="653">
        <v>1</v>
      </c>
      <c r="F6" s="1503">
        <f t="shared" si="0"/>
        <v>0.1111111111111111</v>
      </c>
      <c r="G6" s="1504">
        <f t="shared" si="1"/>
        <v>3</v>
      </c>
      <c r="K6" s="1093" t="s">
        <v>1841</v>
      </c>
      <c r="L6" s="1090">
        <v>1.2</v>
      </c>
      <c r="M6" s="1091">
        <v>0.42029304029304032</v>
      </c>
    </row>
    <row r="7" spans="1:13" ht="14.25">
      <c r="A7" s="1499" t="s">
        <v>1896</v>
      </c>
      <c r="B7" s="1499" t="s">
        <v>1891</v>
      </c>
      <c r="C7" s="653">
        <v>0</v>
      </c>
      <c r="D7" s="653">
        <v>4</v>
      </c>
      <c r="E7" s="653">
        <v>0</v>
      </c>
      <c r="F7" s="1503">
        <f t="shared" si="0"/>
        <v>0</v>
      </c>
      <c r="G7" s="1504">
        <f t="shared" si="1"/>
        <v>3</v>
      </c>
      <c r="K7" s="1093" t="s">
        <v>1839</v>
      </c>
      <c r="L7" s="1090">
        <v>1.65</v>
      </c>
      <c r="M7" s="1091">
        <v>0.222995670995671</v>
      </c>
    </row>
    <row r="8" spans="1:13" ht="14.25">
      <c r="A8" s="1499" t="s">
        <v>1890</v>
      </c>
      <c r="B8" s="1499" t="s">
        <v>1897</v>
      </c>
      <c r="C8" s="653">
        <v>0</v>
      </c>
      <c r="D8" s="653">
        <v>7</v>
      </c>
      <c r="E8" s="653">
        <v>0</v>
      </c>
      <c r="F8" s="1503">
        <f t="shared" si="0"/>
        <v>0</v>
      </c>
      <c r="G8" s="1504">
        <f t="shared" si="1"/>
        <v>3</v>
      </c>
      <c r="K8" s="1093" t="s">
        <v>1842</v>
      </c>
      <c r="L8" s="1090">
        <v>0.5625</v>
      </c>
      <c r="M8" s="1091">
        <v>0.50583039214162229</v>
      </c>
    </row>
    <row r="9" spans="1:13" ht="14.25">
      <c r="A9" s="1499" t="s">
        <v>1898</v>
      </c>
      <c r="B9" s="1499" t="s">
        <v>1897</v>
      </c>
      <c r="C9" s="653">
        <v>14</v>
      </c>
      <c r="D9" s="653">
        <v>70</v>
      </c>
      <c r="E9" s="653">
        <v>30</v>
      </c>
      <c r="F9" s="1503">
        <f t="shared" si="0"/>
        <v>0.14000000000000001</v>
      </c>
      <c r="G9" s="1504">
        <f t="shared" si="1"/>
        <v>3</v>
      </c>
    </row>
    <row r="10" spans="1:13" ht="14.25">
      <c r="A10" s="1499" t="s">
        <v>1899</v>
      </c>
      <c r="B10" s="1499" t="s">
        <v>1897</v>
      </c>
      <c r="C10" s="653">
        <v>4</v>
      </c>
      <c r="D10" s="653">
        <v>25</v>
      </c>
      <c r="E10" s="653">
        <v>5</v>
      </c>
      <c r="F10" s="1503">
        <f t="shared" si="0"/>
        <v>0.13333333333333333</v>
      </c>
      <c r="G10" s="1504">
        <f t="shared" si="1"/>
        <v>3</v>
      </c>
    </row>
    <row r="11" spans="1:13" ht="14.25">
      <c r="A11" s="1499" t="s">
        <v>1900</v>
      </c>
      <c r="B11" s="1499" t="s">
        <v>1897</v>
      </c>
      <c r="C11" s="653">
        <v>4</v>
      </c>
      <c r="D11" s="653">
        <v>27</v>
      </c>
      <c r="E11" s="653">
        <v>12</v>
      </c>
      <c r="F11" s="1503">
        <f t="shared" si="0"/>
        <v>0.10256410256410256</v>
      </c>
      <c r="G11" s="1504">
        <f t="shared" si="1"/>
        <v>3</v>
      </c>
    </row>
    <row r="12" spans="1:13" ht="14.25">
      <c r="A12" s="1499" t="s">
        <v>1901</v>
      </c>
      <c r="B12" s="1499" t="s">
        <v>1897</v>
      </c>
      <c r="C12" s="656">
        <v>0</v>
      </c>
      <c r="D12" s="656">
        <v>0</v>
      </c>
      <c r="E12" s="656">
        <v>0</v>
      </c>
      <c r="F12" s="1505"/>
      <c r="G12" s="1506"/>
      <c r="K12" s="316" t="s">
        <v>1938</v>
      </c>
    </row>
    <row r="13" spans="1:13" ht="14.25">
      <c r="A13" s="1499" t="s">
        <v>1902</v>
      </c>
      <c r="B13" s="1499" t="s">
        <v>1897</v>
      </c>
      <c r="C13" s="653">
        <v>2</v>
      </c>
      <c r="D13" s="653">
        <v>10</v>
      </c>
      <c r="E13" s="653">
        <v>2</v>
      </c>
      <c r="F13" s="1503">
        <f t="shared" si="0"/>
        <v>0.16666666666666666</v>
      </c>
      <c r="G13" s="1504">
        <f t="shared" si="1"/>
        <v>1.5</v>
      </c>
      <c r="K13" s="316" t="s">
        <v>1936</v>
      </c>
    </row>
    <row r="14" spans="1:13" ht="14.25">
      <c r="A14" s="1499" t="s">
        <v>1838</v>
      </c>
      <c r="B14" s="1499" t="s">
        <v>1903</v>
      </c>
      <c r="C14" s="657">
        <v>1</v>
      </c>
      <c r="D14" s="657">
        <v>8</v>
      </c>
      <c r="E14" s="657">
        <v>1</v>
      </c>
      <c r="F14" s="1503">
        <f t="shared" si="0"/>
        <v>0.1111111111111111</v>
      </c>
      <c r="G14" s="1504">
        <f t="shared" si="1"/>
        <v>3</v>
      </c>
      <c r="K14" s="316" t="s">
        <v>1937</v>
      </c>
    </row>
    <row r="15" spans="1:13" ht="14.25">
      <c r="A15" s="1499" t="s">
        <v>1840</v>
      </c>
      <c r="B15" s="1499" t="s">
        <v>1903</v>
      </c>
      <c r="C15" s="657">
        <v>14</v>
      </c>
      <c r="D15" s="657">
        <v>64</v>
      </c>
      <c r="E15" s="657">
        <v>16</v>
      </c>
      <c r="F15" s="1503">
        <f t="shared" si="0"/>
        <v>0.17499999999999999</v>
      </c>
      <c r="G15" s="1504">
        <f t="shared" si="1"/>
        <v>1.5</v>
      </c>
    </row>
    <row r="16" spans="1:13" ht="14.25">
      <c r="A16" s="1499" t="s">
        <v>1841</v>
      </c>
      <c r="B16" s="1499" t="s">
        <v>1903</v>
      </c>
      <c r="C16" s="657">
        <v>2</v>
      </c>
      <c r="D16" s="657">
        <v>1</v>
      </c>
      <c r="E16" s="657">
        <v>1</v>
      </c>
      <c r="F16" s="1503">
        <f t="shared" si="0"/>
        <v>1</v>
      </c>
      <c r="G16" s="1504">
        <f t="shared" si="1"/>
        <v>0</v>
      </c>
    </row>
    <row r="17" spans="1:11" ht="14.25">
      <c r="A17" s="1499" t="s">
        <v>1842</v>
      </c>
      <c r="B17" s="1499" t="s">
        <v>1903</v>
      </c>
      <c r="C17" s="1089">
        <v>0</v>
      </c>
      <c r="D17" s="1089">
        <v>0</v>
      </c>
      <c r="E17" s="1089">
        <v>0</v>
      </c>
      <c r="F17" s="1505"/>
      <c r="G17" s="1506"/>
    </row>
    <row r="18" spans="1:11" ht="14.25">
      <c r="A18" s="1499" t="s">
        <v>1843</v>
      </c>
      <c r="B18" s="1499" t="s">
        <v>1903</v>
      </c>
      <c r="C18" s="657">
        <v>2</v>
      </c>
      <c r="D18" s="657">
        <v>14</v>
      </c>
      <c r="E18" s="657">
        <v>2</v>
      </c>
      <c r="F18" s="1503">
        <f t="shared" si="0"/>
        <v>0.125</v>
      </c>
      <c r="G18" s="1504">
        <f t="shared" si="1"/>
        <v>3</v>
      </c>
      <c r="K18" s="622" t="s">
        <v>1969</v>
      </c>
    </row>
    <row r="19" spans="1:11" ht="14.25">
      <c r="A19" s="1499" t="s">
        <v>1839</v>
      </c>
      <c r="B19" s="1499" t="s">
        <v>1903</v>
      </c>
      <c r="C19" s="657">
        <v>3</v>
      </c>
      <c r="D19" s="657">
        <v>16</v>
      </c>
      <c r="E19" s="657">
        <v>5</v>
      </c>
      <c r="F19" s="1503">
        <f t="shared" si="0"/>
        <v>0.14285714285714285</v>
      </c>
      <c r="G19" s="1504">
        <f t="shared" si="1"/>
        <v>3</v>
      </c>
      <c r="K19" s="622" t="s">
        <v>1970</v>
      </c>
    </row>
    <row r="20" spans="1:11" ht="14.25">
      <c r="A20" s="1499" t="s">
        <v>1904</v>
      </c>
      <c r="B20" s="1499" t="s">
        <v>1905</v>
      </c>
      <c r="C20" s="653">
        <v>1</v>
      </c>
      <c r="D20" s="653">
        <v>4</v>
      </c>
      <c r="E20" s="653">
        <v>1</v>
      </c>
      <c r="F20" s="1503">
        <f t="shared" si="0"/>
        <v>0.2</v>
      </c>
      <c r="G20" s="1504">
        <f t="shared" si="1"/>
        <v>1.5</v>
      </c>
      <c r="K20" s="622" t="s">
        <v>1971</v>
      </c>
    </row>
    <row r="21" spans="1:11" ht="14.25">
      <c r="A21" s="1499" t="s">
        <v>1898</v>
      </c>
      <c r="B21" s="1499" t="s">
        <v>1905</v>
      </c>
      <c r="C21" s="653">
        <v>3</v>
      </c>
      <c r="D21" s="653">
        <v>12</v>
      </c>
      <c r="E21" s="653">
        <v>8</v>
      </c>
      <c r="F21" s="1503">
        <f t="shared" si="0"/>
        <v>0.15</v>
      </c>
      <c r="G21" s="1504">
        <f t="shared" si="1"/>
        <v>3</v>
      </c>
    </row>
    <row r="22" spans="1:11" ht="14.25">
      <c r="A22" s="1499" t="s">
        <v>1899</v>
      </c>
      <c r="B22" s="1499" t="s">
        <v>1905</v>
      </c>
      <c r="C22" s="653">
        <v>1</v>
      </c>
      <c r="D22" s="653">
        <v>1</v>
      </c>
      <c r="E22" s="653">
        <v>0</v>
      </c>
      <c r="F22" s="1503">
        <f t="shared" si="0"/>
        <v>1</v>
      </c>
      <c r="G22" s="1504">
        <f t="shared" si="1"/>
        <v>0</v>
      </c>
    </row>
    <row r="23" spans="1:11" ht="14.25">
      <c r="A23" s="1499" t="s">
        <v>1900</v>
      </c>
      <c r="B23" s="1499" t="s">
        <v>1905</v>
      </c>
      <c r="C23" s="653">
        <v>9</v>
      </c>
      <c r="D23" s="653">
        <v>23</v>
      </c>
      <c r="E23" s="653">
        <v>8</v>
      </c>
      <c r="F23" s="1503">
        <f t="shared" si="0"/>
        <v>0.29032258064516131</v>
      </c>
      <c r="G23" s="1504">
        <f t="shared" si="1"/>
        <v>1.5</v>
      </c>
    </row>
    <row r="24" spans="1:11" ht="14.25">
      <c r="A24" s="1499" t="s">
        <v>1901</v>
      </c>
      <c r="B24" s="1499" t="s">
        <v>1905</v>
      </c>
      <c r="C24" s="656">
        <v>0</v>
      </c>
      <c r="D24" s="656">
        <v>0</v>
      </c>
      <c r="E24" s="656">
        <v>0</v>
      </c>
      <c r="F24" s="1505"/>
      <c r="G24" s="1506"/>
    </row>
    <row r="25" spans="1:11" ht="14.25">
      <c r="A25" s="1499" t="s">
        <v>1902</v>
      </c>
      <c r="B25" s="1499" t="s">
        <v>1905</v>
      </c>
      <c r="C25" s="653">
        <v>2</v>
      </c>
      <c r="D25" s="653">
        <v>4</v>
      </c>
      <c r="E25" s="653">
        <v>2</v>
      </c>
      <c r="F25" s="1503">
        <f t="shared" si="0"/>
        <v>0.33333333333333331</v>
      </c>
      <c r="G25" s="1504">
        <f t="shared" si="1"/>
        <v>0</v>
      </c>
    </row>
    <row r="26" spans="1:11" ht="14.25">
      <c r="A26" s="1499" t="s">
        <v>1904</v>
      </c>
      <c r="B26" s="1499" t="s">
        <v>1906</v>
      </c>
      <c r="C26" s="653">
        <v>2</v>
      </c>
      <c r="D26" s="653">
        <v>5</v>
      </c>
      <c r="E26" s="653">
        <v>3</v>
      </c>
      <c r="F26" s="1503">
        <f t="shared" si="0"/>
        <v>0.25</v>
      </c>
      <c r="G26" s="1504">
        <f t="shared" si="1"/>
        <v>1.5</v>
      </c>
    </row>
    <row r="27" spans="1:11" ht="14.25">
      <c r="A27" s="1499" t="s">
        <v>1898</v>
      </c>
      <c r="B27" s="1499" t="s">
        <v>1906</v>
      </c>
      <c r="C27" s="653">
        <v>17</v>
      </c>
      <c r="D27" s="653">
        <v>64</v>
      </c>
      <c r="E27" s="653">
        <v>26</v>
      </c>
      <c r="F27" s="1503">
        <f t="shared" si="0"/>
        <v>0.18888888888888888</v>
      </c>
      <c r="G27" s="1504">
        <f t="shared" si="1"/>
        <v>1.5</v>
      </c>
    </row>
    <row r="28" spans="1:11" ht="14.25">
      <c r="A28" s="1499" t="s">
        <v>1899</v>
      </c>
      <c r="B28" s="1499" t="s">
        <v>1906</v>
      </c>
      <c r="C28" s="653">
        <v>3</v>
      </c>
      <c r="D28" s="653">
        <v>19</v>
      </c>
      <c r="E28" s="653">
        <v>5</v>
      </c>
      <c r="F28" s="1503">
        <f t="shared" si="0"/>
        <v>0.125</v>
      </c>
      <c r="G28" s="1504">
        <f t="shared" si="1"/>
        <v>3</v>
      </c>
    </row>
    <row r="29" spans="1:11" ht="14.25">
      <c r="A29" s="1499" t="s">
        <v>1900</v>
      </c>
      <c r="B29" s="1499" t="s">
        <v>1906</v>
      </c>
      <c r="C29" s="653">
        <v>9</v>
      </c>
      <c r="D29" s="653">
        <v>10</v>
      </c>
      <c r="E29" s="653">
        <v>1</v>
      </c>
      <c r="F29" s="1503">
        <f t="shared" si="0"/>
        <v>0.81818181818181823</v>
      </c>
      <c r="G29" s="1504">
        <f t="shared" si="1"/>
        <v>0</v>
      </c>
    </row>
    <row r="30" spans="1:11" ht="14.25">
      <c r="A30" s="1499" t="s">
        <v>1901</v>
      </c>
      <c r="B30" s="1499" t="s">
        <v>1906</v>
      </c>
      <c r="C30" s="653">
        <v>3</v>
      </c>
      <c r="D30" s="653">
        <v>7</v>
      </c>
      <c r="E30" s="653">
        <v>2</v>
      </c>
      <c r="F30" s="1503">
        <f t="shared" si="0"/>
        <v>0.33333333333333331</v>
      </c>
      <c r="G30" s="1504">
        <f t="shared" si="1"/>
        <v>0</v>
      </c>
    </row>
    <row r="31" spans="1:11" ht="14.25">
      <c r="A31" s="1499" t="s">
        <v>1902</v>
      </c>
      <c r="B31" s="1499" t="s">
        <v>1906</v>
      </c>
      <c r="C31" s="653">
        <v>8</v>
      </c>
      <c r="D31" s="653">
        <v>15</v>
      </c>
      <c r="E31" s="653">
        <v>10</v>
      </c>
      <c r="F31" s="1503">
        <f t="shared" si="0"/>
        <v>0.32</v>
      </c>
      <c r="G31" s="1504">
        <f t="shared" si="1"/>
        <v>0</v>
      </c>
    </row>
    <row r="32" spans="1:11" ht="14.25">
      <c r="A32" s="1499" t="s">
        <v>1904</v>
      </c>
      <c r="B32" s="1499" t="s">
        <v>1907</v>
      </c>
      <c r="C32" s="653">
        <v>2</v>
      </c>
      <c r="D32" s="653">
        <v>5</v>
      </c>
      <c r="E32" s="653">
        <v>2</v>
      </c>
      <c r="F32" s="1503">
        <f t="shared" si="0"/>
        <v>0.2857142857142857</v>
      </c>
      <c r="G32" s="1504">
        <f t="shared" si="1"/>
        <v>1.5</v>
      </c>
    </row>
    <row r="33" spans="1:15" ht="14.25">
      <c r="A33" s="1499" t="s">
        <v>1898</v>
      </c>
      <c r="B33" s="1499" t="s">
        <v>1907</v>
      </c>
      <c r="C33" s="653">
        <v>23</v>
      </c>
      <c r="D33" s="653">
        <v>103</v>
      </c>
      <c r="E33" s="653">
        <v>28</v>
      </c>
      <c r="F33" s="1503">
        <f t="shared" si="0"/>
        <v>0.17557251908396945</v>
      </c>
      <c r="G33" s="1504">
        <f t="shared" si="1"/>
        <v>1.5</v>
      </c>
    </row>
    <row r="34" spans="1:15" ht="14.25">
      <c r="A34" s="1499" t="s">
        <v>1899</v>
      </c>
      <c r="B34" s="1499" t="s">
        <v>1907</v>
      </c>
      <c r="C34" s="653">
        <v>3</v>
      </c>
      <c r="D34" s="653">
        <v>19</v>
      </c>
      <c r="E34" s="653">
        <v>2</v>
      </c>
      <c r="F34" s="1503">
        <f t="shared" si="0"/>
        <v>0.14285714285714285</v>
      </c>
      <c r="G34" s="1504">
        <f t="shared" si="1"/>
        <v>3</v>
      </c>
    </row>
    <row r="35" spans="1:15" ht="14.25">
      <c r="A35" s="1499" t="s">
        <v>1900</v>
      </c>
      <c r="B35" s="1499" t="s">
        <v>1907</v>
      </c>
      <c r="C35" s="653">
        <v>32</v>
      </c>
      <c r="D35" s="653">
        <v>28</v>
      </c>
      <c r="E35" s="653">
        <v>31</v>
      </c>
      <c r="F35" s="1503">
        <f t="shared" si="0"/>
        <v>0.5423728813559322</v>
      </c>
      <c r="G35" s="1504">
        <f t="shared" si="1"/>
        <v>0</v>
      </c>
    </row>
    <row r="36" spans="1:15" ht="14.25">
      <c r="A36" s="1499" t="s">
        <v>1901</v>
      </c>
      <c r="B36" s="1499" t="s">
        <v>1907</v>
      </c>
      <c r="C36" s="653">
        <v>2</v>
      </c>
      <c r="D36" s="653">
        <v>12</v>
      </c>
      <c r="E36" s="653">
        <v>3</v>
      </c>
      <c r="F36" s="1503">
        <f t="shared" si="0"/>
        <v>0.13333333333333333</v>
      </c>
      <c r="G36" s="1504">
        <f t="shared" si="1"/>
        <v>3</v>
      </c>
      <c r="I36" s="660"/>
      <c r="J36" s="660"/>
      <c r="K36" s="660"/>
      <c r="L36" s="660"/>
      <c r="M36" s="660"/>
      <c r="N36" s="660"/>
      <c r="O36" s="660"/>
    </row>
    <row r="37" spans="1:15" ht="14.25">
      <c r="A37" s="1499" t="s">
        <v>1902</v>
      </c>
      <c r="B37" s="1499" t="s">
        <v>1907</v>
      </c>
      <c r="C37" s="653">
        <v>2</v>
      </c>
      <c r="D37" s="653">
        <v>18</v>
      </c>
      <c r="E37" s="653">
        <v>4</v>
      </c>
      <c r="F37" s="1503">
        <f t="shared" si="0"/>
        <v>9.0909090909090912E-2</v>
      </c>
      <c r="G37" s="1504">
        <f t="shared" si="1"/>
        <v>3</v>
      </c>
      <c r="I37" s="660"/>
      <c r="J37" s="660"/>
      <c r="K37" s="660"/>
      <c r="L37" s="660"/>
      <c r="M37" s="660"/>
      <c r="N37" s="660"/>
      <c r="O37" s="660"/>
    </row>
    <row r="38" spans="1:15" ht="14.25">
      <c r="A38" s="1499" t="s">
        <v>1838</v>
      </c>
      <c r="B38" s="1499" t="s">
        <v>1908</v>
      </c>
      <c r="C38" s="653">
        <v>2</v>
      </c>
      <c r="D38" s="653">
        <v>4</v>
      </c>
      <c r="E38" s="653">
        <v>1</v>
      </c>
      <c r="F38" s="1503">
        <f t="shared" si="0"/>
        <v>0.4</v>
      </c>
      <c r="G38" s="1504">
        <f t="shared" si="1"/>
        <v>0</v>
      </c>
      <c r="I38" s="660"/>
      <c r="J38" s="660"/>
      <c r="K38" s="660"/>
      <c r="L38" s="660"/>
      <c r="M38" s="660"/>
      <c r="N38" s="660"/>
      <c r="O38" s="660"/>
    </row>
    <row r="39" spans="1:15" ht="14.25">
      <c r="A39" s="1499" t="s">
        <v>1840</v>
      </c>
      <c r="B39" s="1499" t="s">
        <v>1908</v>
      </c>
      <c r="C39" s="653">
        <v>6</v>
      </c>
      <c r="D39" s="653">
        <v>19</v>
      </c>
      <c r="E39" s="653">
        <v>17</v>
      </c>
      <c r="F39" s="1503">
        <f t="shared" si="0"/>
        <v>0.16666666666666666</v>
      </c>
      <c r="G39" s="1504">
        <f t="shared" si="1"/>
        <v>1.5</v>
      </c>
      <c r="I39" s="1418"/>
      <c r="J39" s="1418"/>
      <c r="K39" s="1418"/>
      <c r="L39" s="1418"/>
      <c r="M39" s="1418"/>
      <c r="N39" s="1418"/>
      <c r="O39" s="660"/>
    </row>
    <row r="40" spans="1:15" ht="14.25">
      <c r="A40" s="1499" t="s">
        <v>1841</v>
      </c>
      <c r="B40" s="1499" t="s">
        <v>1908</v>
      </c>
      <c r="C40" s="653">
        <v>2</v>
      </c>
      <c r="D40" s="653">
        <v>5</v>
      </c>
      <c r="E40" s="653">
        <v>2</v>
      </c>
      <c r="F40" s="1503">
        <f t="shared" si="0"/>
        <v>0.2857142857142857</v>
      </c>
      <c r="G40" s="1504">
        <f t="shared" si="1"/>
        <v>1.5</v>
      </c>
      <c r="I40" s="1418"/>
      <c r="J40" s="1418"/>
      <c r="K40" s="1418"/>
      <c r="L40" s="1418"/>
      <c r="M40" s="1418"/>
      <c r="N40" s="1418"/>
      <c r="O40" s="660"/>
    </row>
    <row r="41" spans="1:15" ht="14.25">
      <c r="A41" s="1499" t="s">
        <v>1842</v>
      </c>
      <c r="B41" s="1499" t="s">
        <v>1908</v>
      </c>
      <c r="C41" s="656">
        <v>0</v>
      </c>
      <c r="D41" s="656">
        <v>0</v>
      </c>
      <c r="E41" s="656">
        <v>0</v>
      </c>
      <c r="F41" s="1505"/>
      <c r="G41" s="1506"/>
      <c r="I41" s="1418"/>
      <c r="J41" s="1418"/>
      <c r="K41" s="1418"/>
      <c r="L41" s="1418"/>
      <c r="M41" s="1418"/>
      <c r="N41" s="1418"/>
      <c r="O41" s="660"/>
    </row>
    <row r="42" spans="1:15" ht="14.25">
      <c r="A42" s="1499" t="s">
        <v>1843</v>
      </c>
      <c r="B42" s="1499" t="s">
        <v>1908</v>
      </c>
      <c r="C42" s="653">
        <v>0</v>
      </c>
      <c r="D42" s="653">
        <v>0</v>
      </c>
      <c r="E42" s="653">
        <v>2</v>
      </c>
      <c r="F42" s="1503">
        <f t="shared" si="0"/>
        <v>0</v>
      </c>
      <c r="G42" s="1504">
        <f t="shared" si="1"/>
        <v>3</v>
      </c>
      <c r="I42" s="660"/>
      <c r="J42" s="660"/>
      <c r="K42" s="660"/>
      <c r="L42" s="660"/>
      <c r="M42" s="660"/>
      <c r="N42" s="660"/>
      <c r="O42" s="660"/>
    </row>
    <row r="43" spans="1:15" ht="14.25">
      <c r="A43" s="1499" t="s">
        <v>1839</v>
      </c>
      <c r="B43" s="1499" t="s">
        <v>1908</v>
      </c>
      <c r="C43" s="653">
        <v>5</v>
      </c>
      <c r="D43" s="653">
        <v>5</v>
      </c>
      <c r="E43" s="653">
        <v>5</v>
      </c>
      <c r="F43" s="1503">
        <f t="shared" si="0"/>
        <v>0.5</v>
      </c>
      <c r="G43" s="1504">
        <f t="shared" si="1"/>
        <v>0</v>
      </c>
      <c r="I43" s="660"/>
      <c r="J43" s="660"/>
      <c r="K43" s="660"/>
      <c r="L43" s="660"/>
      <c r="M43" s="660"/>
      <c r="N43" s="660"/>
      <c r="O43" s="660"/>
    </row>
    <row r="44" spans="1:15" ht="14.25">
      <c r="A44" s="1499" t="s">
        <v>1838</v>
      </c>
      <c r="B44" s="1499" t="s">
        <v>1909</v>
      </c>
      <c r="C44" s="653">
        <v>1</v>
      </c>
      <c r="D44" s="653">
        <v>7</v>
      </c>
      <c r="E44" s="653">
        <v>2</v>
      </c>
      <c r="F44" s="1503">
        <f t="shared" si="0"/>
        <v>0.1111111111111111</v>
      </c>
      <c r="G44" s="1504">
        <f t="shared" si="1"/>
        <v>3</v>
      </c>
      <c r="I44" s="660"/>
      <c r="J44" s="660"/>
      <c r="K44" s="660"/>
      <c r="L44" s="660"/>
      <c r="M44" s="660"/>
      <c r="N44" s="660"/>
      <c r="O44" s="660"/>
    </row>
    <row r="45" spans="1:15" ht="14.25">
      <c r="A45" s="1499" t="s">
        <v>1898</v>
      </c>
      <c r="B45" s="1499" t="s">
        <v>1909</v>
      </c>
      <c r="C45" s="653">
        <v>18</v>
      </c>
      <c r="D45" s="653">
        <v>66</v>
      </c>
      <c r="E45" s="653">
        <v>29</v>
      </c>
      <c r="F45" s="1503">
        <f t="shared" si="0"/>
        <v>0.18947368421052632</v>
      </c>
      <c r="G45" s="1504">
        <f t="shared" si="1"/>
        <v>1.5</v>
      </c>
    </row>
    <row r="46" spans="1:15" ht="14.25">
      <c r="A46" s="1499" t="s">
        <v>1899</v>
      </c>
      <c r="B46" s="1499" t="s">
        <v>1909</v>
      </c>
      <c r="C46" s="653">
        <v>5</v>
      </c>
      <c r="D46" s="653">
        <v>6</v>
      </c>
      <c r="E46" s="653">
        <v>2</v>
      </c>
      <c r="F46" s="1503">
        <f t="shared" si="0"/>
        <v>0.625</v>
      </c>
      <c r="G46" s="1504">
        <f t="shared" si="1"/>
        <v>0</v>
      </c>
    </row>
    <row r="47" spans="1:15" ht="14.25">
      <c r="A47" s="1499" t="s">
        <v>1900</v>
      </c>
      <c r="B47" s="1499" t="s">
        <v>1909</v>
      </c>
      <c r="C47" s="653">
        <v>34</v>
      </c>
      <c r="D47" s="653">
        <v>48</v>
      </c>
      <c r="E47" s="653">
        <v>28</v>
      </c>
      <c r="F47" s="1503">
        <f t="shared" si="0"/>
        <v>0.44736842105263158</v>
      </c>
      <c r="G47" s="1504">
        <f t="shared" si="1"/>
        <v>0</v>
      </c>
    </row>
    <row r="48" spans="1:15" ht="14.25">
      <c r="A48" s="1499" t="s">
        <v>1901</v>
      </c>
      <c r="B48" s="1499" t="s">
        <v>1909</v>
      </c>
      <c r="C48" s="653">
        <v>3</v>
      </c>
      <c r="D48" s="653">
        <v>7</v>
      </c>
      <c r="E48" s="653">
        <v>2</v>
      </c>
      <c r="F48" s="1503">
        <f t="shared" si="0"/>
        <v>0.33333333333333331</v>
      </c>
      <c r="G48" s="1504">
        <f t="shared" si="1"/>
        <v>0</v>
      </c>
    </row>
    <row r="49" spans="1:7" ht="14.25">
      <c r="A49" s="1499" t="s">
        <v>1902</v>
      </c>
      <c r="B49" s="1499" t="s">
        <v>1909</v>
      </c>
      <c r="C49" s="653">
        <v>2</v>
      </c>
      <c r="D49" s="653">
        <v>9</v>
      </c>
      <c r="E49" s="653">
        <v>6</v>
      </c>
      <c r="F49" s="1503">
        <f t="shared" si="0"/>
        <v>0.13333333333333333</v>
      </c>
      <c r="G49" s="1504">
        <f t="shared" si="1"/>
        <v>3</v>
      </c>
    </row>
    <row r="50" spans="1:7" ht="14.25">
      <c r="A50" s="1499" t="s">
        <v>1904</v>
      </c>
      <c r="B50" s="1499" t="s">
        <v>1910</v>
      </c>
      <c r="C50" s="653">
        <v>4</v>
      </c>
      <c r="D50" s="653">
        <v>3</v>
      </c>
      <c r="E50" s="653">
        <v>3</v>
      </c>
      <c r="F50" s="1503">
        <f t="shared" si="0"/>
        <v>0.66666666666666663</v>
      </c>
      <c r="G50" s="1504">
        <f t="shared" si="1"/>
        <v>0</v>
      </c>
    </row>
    <row r="51" spans="1:7" ht="14.25">
      <c r="A51" s="1499" t="s">
        <v>1898</v>
      </c>
      <c r="B51" s="1499" t="s">
        <v>1910</v>
      </c>
      <c r="C51" s="653">
        <v>11</v>
      </c>
      <c r="D51" s="653">
        <v>29</v>
      </c>
      <c r="E51" s="653">
        <v>14</v>
      </c>
      <c r="F51" s="1503">
        <f t="shared" si="0"/>
        <v>0.2558139534883721</v>
      </c>
      <c r="G51" s="1504">
        <f t="shared" si="1"/>
        <v>1.5</v>
      </c>
    </row>
    <row r="52" spans="1:7" ht="14.25">
      <c r="A52" s="1499" t="s">
        <v>1899</v>
      </c>
      <c r="B52" s="1499" t="s">
        <v>1910</v>
      </c>
      <c r="C52" s="653">
        <v>3</v>
      </c>
      <c r="D52" s="653">
        <v>1</v>
      </c>
      <c r="E52" s="653">
        <v>8</v>
      </c>
      <c r="F52" s="1503">
        <f t="shared" si="0"/>
        <v>0.33333333333333331</v>
      </c>
      <c r="G52" s="1504">
        <f t="shared" si="1"/>
        <v>0</v>
      </c>
    </row>
    <row r="53" spans="1:7" ht="14.25">
      <c r="A53" s="1499" t="s">
        <v>1900</v>
      </c>
      <c r="B53" s="1499" t="s">
        <v>1910</v>
      </c>
      <c r="C53" s="653">
        <v>1</v>
      </c>
      <c r="D53" s="653">
        <v>1</v>
      </c>
      <c r="E53" s="653">
        <v>0</v>
      </c>
      <c r="F53" s="1503">
        <f t="shared" si="0"/>
        <v>1</v>
      </c>
      <c r="G53" s="1504">
        <f t="shared" si="1"/>
        <v>0</v>
      </c>
    </row>
    <row r="54" spans="1:7" ht="14.25">
      <c r="A54" s="1499" t="s">
        <v>1901</v>
      </c>
      <c r="B54" s="1499" t="s">
        <v>1910</v>
      </c>
      <c r="C54" s="653">
        <v>2</v>
      </c>
      <c r="D54" s="653">
        <v>2</v>
      </c>
      <c r="E54" s="653">
        <v>6</v>
      </c>
      <c r="F54" s="1503">
        <f>C54/SUM(D54:E54)</f>
        <v>0.25</v>
      </c>
      <c r="G54" s="1504">
        <f t="shared" si="1"/>
        <v>1.5</v>
      </c>
    </row>
    <row r="55" spans="1:7" ht="14.25">
      <c r="A55" s="1499" t="s">
        <v>1902</v>
      </c>
      <c r="B55" s="1499" t="s">
        <v>1910</v>
      </c>
      <c r="C55" s="653">
        <v>1</v>
      </c>
      <c r="D55" s="653">
        <v>3</v>
      </c>
      <c r="E55" s="653">
        <v>4</v>
      </c>
      <c r="F55" s="1503">
        <f t="shared" si="0"/>
        <v>0.14285714285714285</v>
      </c>
      <c r="G55" s="1504">
        <f t="shared" si="1"/>
        <v>3</v>
      </c>
    </row>
    <row r="56" spans="1:7" ht="14.25">
      <c r="A56" s="1499" t="s">
        <v>1838</v>
      </c>
      <c r="B56" s="1499" t="s">
        <v>1911</v>
      </c>
      <c r="C56" s="653">
        <v>0</v>
      </c>
      <c r="D56" s="653">
        <v>4</v>
      </c>
      <c r="E56" s="653">
        <v>0</v>
      </c>
      <c r="F56" s="1503">
        <f t="shared" si="0"/>
        <v>0</v>
      </c>
      <c r="G56" s="1504">
        <f t="shared" si="1"/>
        <v>3</v>
      </c>
    </row>
    <row r="57" spans="1:7" ht="14.25">
      <c r="A57" s="1499" t="s">
        <v>1840</v>
      </c>
      <c r="B57" s="1499" t="s">
        <v>1911</v>
      </c>
      <c r="C57" s="653">
        <v>6</v>
      </c>
      <c r="D57" s="653">
        <v>36</v>
      </c>
      <c r="E57" s="653">
        <v>18</v>
      </c>
      <c r="F57" s="1503">
        <f t="shared" si="0"/>
        <v>0.1111111111111111</v>
      </c>
      <c r="G57" s="1504">
        <f t="shared" si="1"/>
        <v>3</v>
      </c>
    </row>
    <row r="58" spans="1:7" ht="14.25">
      <c r="A58" s="1499" t="s">
        <v>1841</v>
      </c>
      <c r="B58" s="1499" t="s">
        <v>1911</v>
      </c>
      <c r="C58" s="653">
        <v>3</v>
      </c>
      <c r="D58" s="653">
        <v>9</v>
      </c>
      <c r="E58" s="653">
        <v>3</v>
      </c>
      <c r="F58" s="1503">
        <f t="shared" si="0"/>
        <v>0.25</v>
      </c>
      <c r="G58" s="1504">
        <f t="shared" si="1"/>
        <v>1.5</v>
      </c>
    </row>
    <row r="59" spans="1:7" ht="14.25">
      <c r="A59" s="1499" t="s">
        <v>1842</v>
      </c>
      <c r="B59" s="1499" t="s">
        <v>1911</v>
      </c>
      <c r="C59" s="653">
        <v>5</v>
      </c>
      <c r="D59" s="653">
        <v>6</v>
      </c>
      <c r="E59" s="653">
        <v>10</v>
      </c>
      <c r="F59" s="1503">
        <f t="shared" si="0"/>
        <v>0.3125</v>
      </c>
      <c r="G59" s="1504">
        <f t="shared" si="1"/>
        <v>0</v>
      </c>
    </row>
    <row r="60" spans="1:7" ht="14.25">
      <c r="A60" s="1499" t="s">
        <v>1843</v>
      </c>
      <c r="B60" s="1499" t="s">
        <v>1911</v>
      </c>
      <c r="C60" s="653">
        <v>1</v>
      </c>
      <c r="D60" s="653">
        <v>5</v>
      </c>
      <c r="E60" s="653">
        <v>2</v>
      </c>
      <c r="F60" s="1503">
        <f t="shared" si="0"/>
        <v>0.14285714285714285</v>
      </c>
      <c r="G60" s="1504">
        <f t="shared" si="1"/>
        <v>3</v>
      </c>
    </row>
    <row r="61" spans="1:7" ht="14.25">
      <c r="A61" s="1499" t="s">
        <v>1839</v>
      </c>
      <c r="B61" s="1499" t="s">
        <v>1911</v>
      </c>
      <c r="C61" s="653">
        <v>4</v>
      </c>
      <c r="D61" s="653">
        <v>6</v>
      </c>
      <c r="E61" s="653">
        <v>4</v>
      </c>
      <c r="F61" s="1503">
        <f t="shared" si="0"/>
        <v>0.4</v>
      </c>
      <c r="G61" s="1504">
        <f t="shared" si="1"/>
        <v>0</v>
      </c>
    </row>
    <row r="63" spans="1:7">
      <c r="D63" s="658"/>
    </row>
    <row r="64" spans="1:7">
      <c r="D64" s="658"/>
    </row>
    <row r="65" spans="2:4">
      <c r="D65" s="658"/>
    </row>
    <row r="66" spans="2:4">
      <c r="D66" s="658"/>
    </row>
    <row r="67" spans="2:4">
      <c r="D67" s="658"/>
    </row>
    <row r="68" spans="2:4">
      <c r="D68" s="658"/>
    </row>
    <row r="74" spans="2:4">
      <c r="B74" s="659"/>
    </row>
    <row r="75" spans="2:4">
      <c r="B75" s="659"/>
    </row>
    <row r="76" spans="2:4">
      <c r="B76" s="659"/>
    </row>
    <row r="77" spans="2:4">
      <c r="B77" s="659"/>
    </row>
    <row r="78" spans="2:4">
      <c r="B78" s="659"/>
    </row>
    <row r="79" spans="2:4">
      <c r="B79" s="659"/>
    </row>
    <row r="80" spans="2:4">
      <c r="B80" s="659"/>
    </row>
    <row r="81" spans="2:2">
      <c r="B81" s="659"/>
    </row>
    <row r="82" spans="2:2">
      <c r="B82" s="659"/>
    </row>
    <row r="83" spans="2:2">
      <c r="B83" s="659"/>
    </row>
    <row r="84" spans="2:2">
      <c r="B84" s="659"/>
    </row>
    <row r="85" spans="2:2">
      <c r="B85" s="659"/>
    </row>
    <row r="86" spans="2:2">
      <c r="B86" s="660"/>
    </row>
    <row r="87" spans="2:2">
      <c r="B87" s="660"/>
    </row>
    <row r="88" spans="2:2">
      <c r="B88" s="660"/>
    </row>
  </sheetData>
  <mergeCells count="1">
    <mergeCell ref="K1:M1"/>
  </mergeCells>
  <phoneticPr fontId="3" type="noConversion"/>
  <hyperlinks>
    <hyperlink ref="K18" location="'总公司绩效-II'!A1" display="总公司绩效-II"/>
    <hyperlink ref="K19" location="目录!A1" display="目录"/>
    <hyperlink ref="K20" location="'OR04-分公司销售、承保、保全'!A1" display="OR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36"/>
  <sheetViews>
    <sheetView workbookViewId="0">
      <pane xSplit="1" ySplit="1" topLeftCell="B2" activePane="bottomRight" state="frozen"/>
      <selection pane="topRight" activeCell="B1" sqref="B1"/>
      <selection pane="bottomLeft" activeCell="A2" sqref="A2"/>
      <selection pane="bottomRight" activeCell="H19" sqref="H19"/>
    </sheetView>
  </sheetViews>
  <sheetFormatPr defaultColWidth="8.875" defaultRowHeight="14.25"/>
  <cols>
    <col min="1" max="1" width="20.5" style="130" bestFit="1" customWidth="1"/>
    <col min="2" max="2" width="16.875" style="130" customWidth="1"/>
    <col min="3" max="3" width="17.125" style="127" customWidth="1"/>
    <col min="4" max="5" width="16.25" style="128" customWidth="1"/>
    <col min="6" max="6" width="15.375" style="128" customWidth="1"/>
    <col min="7" max="7" width="17" style="128" customWidth="1"/>
    <col min="8" max="8" width="17.5" style="128" customWidth="1"/>
    <col min="9" max="9" width="18.875" style="128" customWidth="1"/>
    <col min="10" max="10" width="18.25" style="128" customWidth="1"/>
    <col min="11" max="11" width="17.75" style="128" customWidth="1"/>
    <col min="12" max="16384" width="8.875" style="128"/>
  </cols>
  <sheetData>
    <row r="1" spans="1:11" ht="15">
      <c r="A1" s="313" t="s">
        <v>1285</v>
      </c>
      <c r="B1" s="314" t="s">
        <v>1837</v>
      </c>
      <c r="C1" s="128"/>
    </row>
    <row r="2" spans="1:11">
      <c r="A2" s="131" t="s">
        <v>1286</v>
      </c>
      <c r="B2" s="132" t="s">
        <v>2416</v>
      </c>
      <c r="C2" s="132" t="str">
        <f>B2</f>
        <v>2019年第3季度</v>
      </c>
      <c r="D2" s="132" t="str">
        <f>C2</f>
        <v>2019年第3季度</v>
      </c>
      <c r="E2" s="132" t="str">
        <f t="shared" ref="E2:K2" si="0">D2</f>
        <v>2019年第3季度</v>
      </c>
      <c r="F2" s="132" t="str">
        <f t="shared" si="0"/>
        <v>2019年第3季度</v>
      </c>
      <c r="G2" s="132" t="str">
        <f t="shared" si="0"/>
        <v>2019年第3季度</v>
      </c>
      <c r="H2" s="132" t="str">
        <f t="shared" si="0"/>
        <v>2019年第3季度</v>
      </c>
      <c r="I2" s="132" t="str">
        <f t="shared" si="0"/>
        <v>2019年第3季度</v>
      </c>
      <c r="J2" s="132" t="str">
        <f>I2</f>
        <v>2019年第3季度</v>
      </c>
      <c r="K2" s="132" t="str">
        <f t="shared" si="0"/>
        <v>2019年第3季度</v>
      </c>
    </row>
    <row r="3" spans="1:11" ht="28.5">
      <c r="A3" s="131" t="s">
        <v>1287</v>
      </c>
      <c r="B3" s="136" t="s">
        <v>1332</v>
      </c>
      <c r="C3" s="136" t="s">
        <v>1302</v>
      </c>
      <c r="D3" s="132" t="s">
        <v>1307</v>
      </c>
      <c r="E3" s="302" t="s">
        <v>1320</v>
      </c>
      <c r="F3" s="268" t="s">
        <v>1326</v>
      </c>
      <c r="G3" s="268" t="s">
        <v>1337</v>
      </c>
      <c r="H3" s="268" t="s">
        <v>1347</v>
      </c>
      <c r="I3" s="303" t="s">
        <v>1313</v>
      </c>
      <c r="J3" s="268" t="s">
        <v>1335</v>
      </c>
      <c r="K3" s="268" t="s">
        <v>1319</v>
      </c>
    </row>
    <row r="4" spans="1:11" ht="57">
      <c r="A4" s="131" t="s">
        <v>1288</v>
      </c>
      <c r="B4" s="267" t="s">
        <v>2191</v>
      </c>
      <c r="C4" s="267" t="s">
        <v>2197</v>
      </c>
      <c r="D4" s="267" t="s">
        <v>2192</v>
      </c>
      <c r="E4" s="267" t="s">
        <v>2193</v>
      </c>
      <c r="F4" s="267" t="s">
        <v>2194</v>
      </c>
      <c r="G4" s="267" t="s">
        <v>2195</v>
      </c>
      <c r="H4" s="267" t="s">
        <v>2196</v>
      </c>
      <c r="I4" s="267" t="s">
        <v>2203</v>
      </c>
      <c r="J4" s="267" t="s">
        <v>2204</v>
      </c>
      <c r="K4" s="267" t="s">
        <v>2205</v>
      </c>
    </row>
    <row r="5" spans="1:11">
      <c r="A5" s="131" t="s">
        <v>1289</v>
      </c>
      <c r="B5" s="132" t="s">
        <v>1290</v>
      </c>
      <c r="C5" s="132" t="s">
        <v>1290</v>
      </c>
      <c r="D5" s="132" t="s">
        <v>1977</v>
      </c>
      <c r="E5" s="132" t="s">
        <v>1290</v>
      </c>
      <c r="F5" s="132" t="s">
        <v>1290</v>
      </c>
      <c r="G5" s="132" t="s">
        <v>1290</v>
      </c>
      <c r="H5" s="132" t="s">
        <v>1290</v>
      </c>
      <c r="I5" s="132" t="s">
        <v>1290</v>
      </c>
      <c r="J5" s="132" t="s">
        <v>1290</v>
      </c>
      <c r="K5" s="132" t="s">
        <v>1290</v>
      </c>
    </row>
    <row r="6" spans="1:11">
      <c r="A6" s="131" t="s">
        <v>1291</v>
      </c>
      <c r="B6" s="132" t="s">
        <v>1333</v>
      </c>
      <c r="C6" s="267" t="s">
        <v>2198</v>
      </c>
      <c r="D6" s="136" t="s">
        <v>1978</v>
      </c>
      <c r="E6" s="132" t="s">
        <v>1998</v>
      </c>
      <c r="F6" s="132" t="s">
        <v>1327</v>
      </c>
      <c r="G6" s="132" t="s">
        <v>1338</v>
      </c>
      <c r="H6" s="132" t="s">
        <v>1348</v>
      </c>
      <c r="I6" s="132" t="s">
        <v>1314</v>
      </c>
      <c r="J6" s="132" t="s">
        <v>1664</v>
      </c>
      <c r="K6" s="132" t="s">
        <v>1342</v>
      </c>
    </row>
    <row r="7" spans="1:11" ht="71.25">
      <c r="A7" s="131" t="s">
        <v>1292</v>
      </c>
      <c r="B7" s="302" t="s">
        <v>2202</v>
      </c>
      <c r="C7" s="302" t="s">
        <v>1303</v>
      </c>
      <c r="D7" s="268" t="s">
        <v>1308</v>
      </c>
      <c r="E7" s="302" t="s">
        <v>1321</v>
      </c>
      <c r="F7" s="268" t="s">
        <v>1328</v>
      </c>
      <c r="G7" s="268" t="s">
        <v>1339</v>
      </c>
      <c r="H7" s="268" t="s">
        <v>1349</v>
      </c>
      <c r="I7" s="303" t="s">
        <v>1315</v>
      </c>
      <c r="J7" s="303" t="s">
        <v>1668</v>
      </c>
      <c r="K7" s="268" t="s">
        <v>1343</v>
      </c>
    </row>
    <row r="8" spans="1:11" ht="28.5">
      <c r="A8" s="131" t="s">
        <v>1293</v>
      </c>
      <c r="B8" s="304" t="s">
        <v>2161</v>
      </c>
      <c r="C8" s="304" t="s">
        <v>2160</v>
      </c>
      <c r="D8" s="301" t="s">
        <v>1309</v>
      </c>
      <c r="E8" s="134" t="s">
        <v>1354</v>
      </c>
      <c r="F8" s="305" t="s">
        <v>1353</v>
      </c>
      <c r="G8" s="306" t="s">
        <v>1352</v>
      </c>
      <c r="H8" s="307" t="s">
        <v>1350</v>
      </c>
      <c r="I8" s="134" t="s">
        <v>1316</v>
      </c>
      <c r="J8" s="304" t="s">
        <v>1669</v>
      </c>
      <c r="K8" s="308" t="s">
        <v>1344</v>
      </c>
    </row>
    <row r="9" spans="1:11">
      <c r="A9" s="131" t="s">
        <v>1294</v>
      </c>
      <c r="B9" s="1464">
        <v>38768</v>
      </c>
      <c r="C9" s="1464">
        <v>39568</v>
      </c>
      <c r="D9" s="1464">
        <v>39267</v>
      </c>
      <c r="E9" s="1464">
        <v>41170</v>
      </c>
      <c r="F9" s="1464">
        <v>39007</v>
      </c>
      <c r="G9" s="1464">
        <v>39435</v>
      </c>
      <c r="H9" s="1464">
        <v>38497</v>
      </c>
      <c r="I9" s="1465">
        <v>39709</v>
      </c>
      <c r="J9" s="1466" t="s">
        <v>1336</v>
      </c>
      <c r="K9" s="1464">
        <v>39476</v>
      </c>
    </row>
    <row r="10" spans="1:11" ht="142.5">
      <c r="A10" s="269" t="s">
        <v>1295</v>
      </c>
      <c r="B10" s="302" t="s">
        <v>2201</v>
      </c>
      <c r="C10" s="302" t="s">
        <v>2200</v>
      </c>
      <c r="D10" s="268" t="s">
        <v>2199</v>
      </c>
      <c r="E10" s="302" t="s">
        <v>1322</v>
      </c>
      <c r="F10" s="302" t="s">
        <v>2176</v>
      </c>
      <c r="G10" s="268" t="s">
        <v>2175</v>
      </c>
      <c r="H10" s="268" t="s">
        <v>2174</v>
      </c>
      <c r="I10" s="303" t="s">
        <v>1317</v>
      </c>
      <c r="J10" s="268" t="s">
        <v>2172</v>
      </c>
      <c r="K10" s="268" t="s">
        <v>2173</v>
      </c>
    </row>
    <row r="11" spans="1:11">
      <c r="A11" s="131" t="s">
        <v>1296</v>
      </c>
      <c r="B11" s="335" t="s">
        <v>2108</v>
      </c>
      <c r="C11" s="136" t="s">
        <v>2098</v>
      </c>
      <c r="D11" s="132" t="s">
        <v>2163</v>
      </c>
      <c r="E11" s="267" t="s">
        <v>2165</v>
      </c>
      <c r="F11" s="267" t="s">
        <v>2166</v>
      </c>
      <c r="G11" s="132" t="s">
        <v>2167</v>
      </c>
      <c r="H11" s="132" t="s">
        <v>2169</v>
      </c>
      <c r="I11" s="133" t="s">
        <v>2480</v>
      </c>
      <c r="J11" s="133" t="s">
        <v>2170</v>
      </c>
      <c r="K11" s="132" t="s">
        <v>2097</v>
      </c>
    </row>
    <row r="12" spans="1:11">
      <c r="A12" s="131" t="s">
        <v>1297</v>
      </c>
      <c r="B12" s="335" t="s">
        <v>1659</v>
      </c>
      <c r="C12" s="136" t="s">
        <v>1304</v>
      </c>
      <c r="D12" s="132" t="s">
        <v>1979</v>
      </c>
      <c r="E12" s="136" t="s">
        <v>1323</v>
      </c>
      <c r="F12" s="136" t="s">
        <v>1329</v>
      </c>
      <c r="G12" s="132" t="s">
        <v>1340</v>
      </c>
      <c r="H12" s="132" t="s">
        <v>1310</v>
      </c>
      <c r="I12" s="133" t="s">
        <v>2481</v>
      </c>
      <c r="J12" s="132" t="s">
        <v>1665</v>
      </c>
      <c r="K12" s="136" t="s">
        <v>1345</v>
      </c>
    </row>
    <row r="13" spans="1:11">
      <c r="A13" s="131" t="s">
        <v>1298</v>
      </c>
      <c r="B13" s="335">
        <v>13810237844</v>
      </c>
      <c r="C13" s="136">
        <v>13821316199</v>
      </c>
      <c r="D13" s="136">
        <v>18640349623</v>
      </c>
      <c r="E13" s="136">
        <v>14741065816</v>
      </c>
      <c r="F13" s="136">
        <v>18651861196</v>
      </c>
      <c r="G13" s="136">
        <v>18615632891</v>
      </c>
      <c r="H13" s="136">
        <v>15621025971</v>
      </c>
      <c r="I13" s="133">
        <v>18837113255</v>
      </c>
      <c r="J13" s="136">
        <v>18588868174</v>
      </c>
      <c r="K13" s="136">
        <v>18244265821</v>
      </c>
    </row>
    <row r="14" spans="1:11">
      <c r="A14" s="131" t="s">
        <v>1299</v>
      </c>
      <c r="B14" s="335" t="s">
        <v>1334</v>
      </c>
      <c r="C14" s="136" t="s">
        <v>1305</v>
      </c>
      <c r="D14" s="132" t="s">
        <v>1284</v>
      </c>
      <c r="E14" s="136" t="s">
        <v>1324</v>
      </c>
      <c r="F14" s="136" t="s">
        <v>1330</v>
      </c>
      <c r="G14" s="132" t="s">
        <v>1341</v>
      </c>
      <c r="H14" s="132" t="s">
        <v>1311</v>
      </c>
      <c r="I14" s="133" t="s">
        <v>1318</v>
      </c>
      <c r="J14" s="132" t="s">
        <v>1666</v>
      </c>
      <c r="K14" s="136" t="s">
        <v>1346</v>
      </c>
    </row>
    <row r="15" spans="1:11" ht="28.5">
      <c r="A15" s="131" t="s">
        <v>1300</v>
      </c>
      <c r="B15" s="136" t="s">
        <v>2122</v>
      </c>
      <c r="C15" s="136" t="s">
        <v>1306</v>
      </c>
      <c r="D15" s="132" t="s">
        <v>2164</v>
      </c>
      <c r="E15" s="136" t="s">
        <v>1325</v>
      </c>
      <c r="F15" s="136" t="s">
        <v>1331</v>
      </c>
      <c r="G15" s="267" t="s">
        <v>2168</v>
      </c>
      <c r="H15" s="132" t="s">
        <v>1312</v>
      </c>
      <c r="I15" s="133" t="s">
        <v>2482</v>
      </c>
      <c r="J15" s="133" t="s">
        <v>1667</v>
      </c>
      <c r="K15" s="267" t="s">
        <v>2171</v>
      </c>
    </row>
    <row r="16" spans="1:11" ht="15" thickBot="1">
      <c r="A16" s="129" t="s">
        <v>1301</v>
      </c>
      <c r="B16" s="135" t="s">
        <v>2417</v>
      </c>
      <c r="C16" s="137" t="s">
        <v>2426</v>
      </c>
      <c r="D16" s="135" t="s">
        <v>2425</v>
      </c>
      <c r="E16" s="135" t="s">
        <v>2424</v>
      </c>
      <c r="F16" s="135" t="s">
        <v>2423</v>
      </c>
      <c r="G16" s="135" t="s">
        <v>2422</v>
      </c>
      <c r="H16" s="135" t="s">
        <v>2421</v>
      </c>
      <c r="I16" s="135" t="s">
        <v>2420</v>
      </c>
      <c r="J16" s="135" t="s">
        <v>2419</v>
      </c>
      <c r="K16" s="135" t="s">
        <v>2418</v>
      </c>
    </row>
    <row r="17" spans="1:2">
      <c r="A17" s="128"/>
      <c r="B17" s="128"/>
    </row>
    <row r="18" spans="1:2">
      <c r="A18" s="128"/>
      <c r="B18" s="128"/>
    </row>
    <row r="19" spans="1:2">
      <c r="A19" s="128"/>
      <c r="B19" s="128"/>
    </row>
    <row r="20" spans="1:2">
      <c r="A20" s="266"/>
      <c r="B20" s="128"/>
    </row>
    <row r="21" spans="1:2">
      <c r="A21" s="128"/>
      <c r="B21" s="128"/>
    </row>
    <row r="22" spans="1:2">
      <c r="A22" s="128"/>
      <c r="B22" s="128"/>
    </row>
    <row r="23" spans="1:2">
      <c r="A23" s="128"/>
      <c r="B23" s="128"/>
    </row>
    <row r="24" spans="1:2">
      <c r="A24" s="128"/>
    </row>
    <row r="25" spans="1:2">
      <c r="A25" s="128"/>
      <c r="B25" s="128"/>
    </row>
    <row r="26" spans="1:2">
      <c r="A26" s="128"/>
      <c r="B26" s="128"/>
    </row>
    <row r="27" spans="1:2">
      <c r="A27" s="128"/>
      <c r="B27" s="128"/>
    </row>
    <row r="28" spans="1:2">
      <c r="A28" s="128"/>
      <c r="B28" s="128"/>
    </row>
    <row r="29" spans="1:2">
      <c r="A29" s="128"/>
      <c r="B29" s="128"/>
    </row>
    <row r="30" spans="1:2">
      <c r="A30" s="128"/>
      <c r="B30" s="128"/>
    </row>
    <row r="31" spans="1:2">
      <c r="A31" s="128"/>
      <c r="B31" s="128"/>
    </row>
    <row r="32" spans="1:2">
      <c r="A32" s="128"/>
      <c r="B32" s="128"/>
    </row>
    <row r="33" spans="1:2">
      <c r="A33" s="128"/>
      <c r="B33" s="128"/>
    </row>
    <row r="34" spans="1:2">
      <c r="A34" s="128"/>
      <c r="B34" s="128"/>
    </row>
    <row r="35" spans="1:2">
      <c r="A35" s="128"/>
      <c r="B35" s="128"/>
    </row>
    <row r="36" spans="1:2">
      <c r="A36" s="128"/>
      <c r="B36" s="128"/>
    </row>
  </sheetData>
  <phoneticPr fontId="12" type="noConversion"/>
  <dataValidations count="1">
    <dataValidation type="list" allowBlank="1" showInputMessage="1" showErrorMessage="1" sqref="B5:K5">
      <formula1>#REF!</formula1>
    </dataValidation>
  </dataValidations>
  <hyperlinks>
    <hyperlink ref="C15" r:id="rId1"/>
    <hyperlink ref="E15" r:id="rId2"/>
    <hyperlink ref="G15" r:id="rId3" display="JN.LuBao_Guo@hengansl.com"/>
    <hyperlink ref="H15" r:id="rId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147"/>
  <sheetViews>
    <sheetView topLeftCell="A142" zoomScaleNormal="100" workbookViewId="0">
      <selection activeCell="L167" sqref="L167"/>
    </sheetView>
  </sheetViews>
  <sheetFormatPr defaultColWidth="9" defaultRowHeight="13.5" outlineLevelRow="1" outlineLevelCol="1"/>
  <cols>
    <col min="1" max="1" width="13.375" style="215" customWidth="1"/>
    <col min="2" max="2" width="23.75" style="215" bestFit="1" customWidth="1"/>
    <col min="3" max="3" width="12.125" style="238" customWidth="1"/>
    <col min="4" max="4" width="8.375" style="238" customWidth="1"/>
    <col min="5" max="5" width="8.125" style="238" customWidth="1"/>
    <col min="6" max="6" width="8" style="238" customWidth="1"/>
    <col min="7" max="7" width="7.625" style="238" customWidth="1"/>
    <col min="8" max="8" width="7.375" style="238" bestFit="1" customWidth="1"/>
    <col min="9" max="9" width="8.625" style="238" customWidth="1" outlineLevel="1"/>
    <col min="10" max="10" width="7.75" style="238" customWidth="1" outlineLevel="1"/>
    <col min="11" max="11" width="8.25" style="238" customWidth="1" outlineLevel="1"/>
    <col min="12" max="12" width="8.625" style="238" customWidth="1" outlineLevel="1"/>
    <col min="13" max="13" width="8.375" style="238" customWidth="1" outlineLevel="1"/>
    <col min="14" max="14" width="7.875" style="238" customWidth="1" outlineLevel="1"/>
    <col min="15" max="15" width="9.375" style="238" customWidth="1" outlineLevel="1"/>
    <col min="16" max="16" width="12.625" style="238" customWidth="1" outlineLevel="1"/>
    <col min="17" max="17" width="10.75" style="238" bestFit="1" customWidth="1" outlineLevel="1"/>
    <col min="18" max="18" width="9.625" style="238" bestFit="1" customWidth="1" outlineLevel="1"/>
    <col min="19" max="19" width="11" style="238" customWidth="1"/>
    <col min="20" max="20" width="20.125" style="238" customWidth="1"/>
    <col min="21" max="21" width="15.25" style="238" customWidth="1"/>
    <col min="22" max="16384" width="9" style="215"/>
  </cols>
  <sheetData>
    <row r="1" spans="1:25">
      <c r="B1" s="293"/>
      <c r="D1" s="265" t="s">
        <v>1681</v>
      </c>
    </row>
    <row r="2" spans="1:25" ht="13.5" customHeight="1">
      <c r="A2" s="1606" t="s">
        <v>1596</v>
      </c>
      <c r="B2" s="1606"/>
      <c r="C2" s="1614" t="s">
        <v>2373</v>
      </c>
      <c r="D2" s="1623" t="s">
        <v>2483</v>
      </c>
      <c r="E2" s="1614" t="s">
        <v>2484</v>
      </c>
      <c r="F2" s="1614" t="s">
        <v>1639</v>
      </c>
      <c r="G2" s="1614" t="s">
        <v>1640</v>
      </c>
      <c r="N2" s="275"/>
      <c r="O2" s="1614" t="s">
        <v>1645</v>
      </c>
      <c r="P2" s="1614" t="s">
        <v>1644</v>
      </c>
      <c r="Q2" s="285" t="s">
        <v>1646</v>
      </c>
      <c r="R2" s="285" t="s">
        <v>1647</v>
      </c>
      <c r="S2" s="285" t="s">
        <v>1648</v>
      </c>
    </row>
    <row r="3" spans="1:25" ht="15.75" customHeight="1">
      <c r="A3" s="1606"/>
      <c r="B3" s="1606"/>
      <c r="C3" s="1614"/>
      <c r="D3" s="1623"/>
      <c r="E3" s="1614"/>
      <c r="F3" s="1614"/>
      <c r="G3" s="1614"/>
      <c r="N3" s="275"/>
      <c r="O3" s="1614"/>
      <c r="P3" s="1614"/>
      <c r="Q3" s="282"/>
      <c r="R3" s="283" t="s">
        <v>1643</v>
      </c>
      <c r="S3" s="284" t="s">
        <v>1642</v>
      </c>
      <c r="Y3" s="238"/>
    </row>
    <row r="4" spans="1:25" ht="15">
      <c r="A4" s="1612" t="s">
        <v>1558</v>
      </c>
      <c r="B4" s="257" t="s">
        <v>1559</v>
      </c>
      <c r="C4" s="240" t="s">
        <v>2375</v>
      </c>
      <c r="D4" s="322">
        <f>D25</f>
        <v>68.608944910765985</v>
      </c>
      <c r="E4" s="322">
        <v>67.868229148916129</v>
      </c>
      <c r="F4" s="1488">
        <f>D4-E4</f>
        <v>0.74071576184985588</v>
      </c>
      <c r="G4" s="1489">
        <f>F4/36</f>
        <v>2.0575437829162664E-2</v>
      </c>
      <c r="N4" s="275"/>
      <c r="O4" s="336">
        <f>$E$19</f>
        <v>92.410784143025452</v>
      </c>
      <c r="P4" s="258" t="str">
        <f>E2</f>
        <v>Q2得分</v>
      </c>
      <c r="Q4" s="332">
        <f>O4</f>
        <v>92.410784143025452</v>
      </c>
      <c r="R4" s="286">
        <v>0</v>
      </c>
      <c r="S4" s="289">
        <v>0</v>
      </c>
    </row>
    <row r="5" spans="1:25" ht="15">
      <c r="A5" s="1612"/>
      <c r="B5" s="258" t="s">
        <v>1563</v>
      </c>
      <c r="C5" s="239" t="s">
        <v>2375</v>
      </c>
      <c r="D5" s="264">
        <f>D26</f>
        <v>65.419999999999987</v>
      </c>
      <c r="E5" s="264">
        <v>66.5</v>
      </c>
      <c r="F5" s="325">
        <f>D5-E5</f>
        <v>-1.0800000000000125</v>
      </c>
      <c r="G5" s="1375">
        <f>F5/36</f>
        <v>-3.0000000000000346E-2</v>
      </c>
      <c r="N5" s="275"/>
      <c r="O5" s="336">
        <f>$G$4</f>
        <v>2.0575437829162664E-2</v>
      </c>
      <c r="P5" s="258" t="str">
        <f>B4</f>
        <v>销售、承保、保全业务线</v>
      </c>
      <c r="Q5" s="333">
        <f t="shared" ref="Q5:Q6" si="0">Q4+R4-S5</f>
        <v>92.410784143025452</v>
      </c>
      <c r="R5" s="287">
        <f t="shared" ref="R5:R6" si="1">IF(O5&gt;0,O5,0)</f>
        <v>2.0575437829162664E-2</v>
      </c>
      <c r="S5" s="288">
        <f t="shared" ref="S5:S6" si="2">IF(O5&lt;0,ABS(O5),0)</f>
        <v>0</v>
      </c>
    </row>
    <row r="6" spans="1:25" ht="15">
      <c r="A6" s="1612"/>
      <c r="B6" s="258" t="s">
        <v>1564</v>
      </c>
      <c r="C6" s="240" t="s">
        <v>2374</v>
      </c>
      <c r="D6" s="264">
        <f>D27</f>
        <v>83.960000000000008</v>
      </c>
      <c r="E6" s="264">
        <v>85.52</v>
      </c>
      <c r="F6" s="325">
        <f>D6-E6</f>
        <v>-1.5599999999999881</v>
      </c>
      <c r="G6" s="1492">
        <f t="shared" ref="G6:G12" si="3">F6/36</f>
        <v>-4.3333333333333002E-2</v>
      </c>
      <c r="N6" s="275"/>
      <c r="O6" s="336">
        <f>$G$5</f>
        <v>-3.0000000000000346E-2</v>
      </c>
      <c r="P6" s="258" t="str">
        <f>B5</f>
        <v>理赔业务线</v>
      </c>
      <c r="Q6" s="333">
        <f t="shared" si="0"/>
        <v>92.401359580854617</v>
      </c>
      <c r="R6" s="287">
        <f t="shared" si="1"/>
        <v>0</v>
      </c>
      <c r="S6" s="288">
        <f t="shared" si="2"/>
        <v>3.0000000000000346E-2</v>
      </c>
    </row>
    <row r="7" spans="1:25" ht="15">
      <c r="A7" s="1612"/>
      <c r="B7" s="258" t="s">
        <v>1565</v>
      </c>
      <c r="C7" s="239" t="s">
        <v>2374</v>
      </c>
      <c r="D7" s="264">
        <f>D28</f>
        <v>80</v>
      </c>
      <c r="E7" s="264">
        <v>80</v>
      </c>
      <c r="F7" s="338">
        <f t="shared" ref="F7:F16" si="4">D7-E7</f>
        <v>0</v>
      </c>
      <c r="G7" s="339">
        <f t="shared" si="3"/>
        <v>0</v>
      </c>
      <c r="N7" s="275"/>
      <c r="O7" s="336">
        <f>$G$6</f>
        <v>-4.3333333333333002E-2</v>
      </c>
      <c r="P7" s="258" t="str">
        <f>B6</f>
        <v>财务管理</v>
      </c>
      <c r="Q7" s="333">
        <f>Q6+R6-S7</f>
        <v>92.358026247521281</v>
      </c>
      <c r="R7" s="287">
        <f>IF(O7&gt;0,O7,0)</f>
        <v>0</v>
      </c>
      <c r="S7" s="288">
        <f>IF(O7&lt;0,ABS(O7),0)</f>
        <v>4.3333333333333002E-2</v>
      </c>
    </row>
    <row r="8" spans="1:25" ht="15">
      <c r="A8" s="1612"/>
      <c r="B8" s="258" t="s">
        <v>1567</v>
      </c>
      <c r="C8" s="240" t="s">
        <v>2374</v>
      </c>
      <c r="D8" s="264">
        <v>0</v>
      </c>
      <c r="E8" s="264">
        <v>0</v>
      </c>
      <c r="F8" s="338">
        <f>D8-E8</f>
        <v>0</v>
      </c>
      <c r="G8" s="339">
        <f t="shared" si="3"/>
        <v>0</v>
      </c>
      <c r="N8" s="275"/>
      <c r="O8" s="309">
        <f>$G$11</f>
        <v>5.5555555555556347E-3</v>
      </c>
      <c r="P8" s="258" t="str">
        <f>B11</f>
        <v>信息系统</v>
      </c>
      <c r="Q8" s="1498">
        <f>Q7+R7-S8</f>
        <v>92.358026247521281</v>
      </c>
      <c r="R8" s="287">
        <f>IF(O8&gt;0,O8,0)</f>
        <v>5.5555555555556347E-3</v>
      </c>
      <c r="S8" s="288">
        <f>IF(O8&lt;0,ABS(O8),0)</f>
        <v>0</v>
      </c>
    </row>
    <row r="9" spans="1:25" ht="15">
      <c r="A9" s="1612"/>
      <c r="B9" s="258" t="s">
        <v>1568</v>
      </c>
      <c r="C9" s="239" t="s">
        <v>2374</v>
      </c>
      <c r="D9" s="264">
        <f>D30</f>
        <v>88</v>
      </c>
      <c r="E9" s="264">
        <v>88</v>
      </c>
      <c r="F9" s="338">
        <f t="shared" si="4"/>
        <v>0</v>
      </c>
      <c r="G9" s="339">
        <f t="shared" si="3"/>
        <v>0</v>
      </c>
      <c r="N9" s="275"/>
      <c r="O9" s="336">
        <f>$G$16</f>
        <v>-0.27777777777777857</v>
      </c>
      <c r="P9" s="258" t="str">
        <f>A16</f>
        <v>流动性风险</v>
      </c>
      <c r="Q9" s="1498">
        <f>Q8+R8-S9</f>
        <v>92.085804025299069</v>
      </c>
      <c r="R9" s="287">
        <f>IF(O9&gt;0,O9,0)</f>
        <v>0</v>
      </c>
      <c r="S9" s="288">
        <f>IF(O9&lt;0,ABS(O9),0)</f>
        <v>0.27777777777777857</v>
      </c>
    </row>
    <row r="10" spans="1:25" ht="15">
      <c r="A10" s="1612"/>
      <c r="B10" s="258" t="s">
        <v>1569</v>
      </c>
      <c r="C10" s="240" t="s">
        <v>2374</v>
      </c>
      <c r="D10" s="264">
        <f t="shared" ref="D10:D18" si="5">D31</f>
        <v>74</v>
      </c>
      <c r="E10" s="264">
        <v>74</v>
      </c>
      <c r="F10" s="338">
        <f t="shared" si="4"/>
        <v>0</v>
      </c>
      <c r="G10" s="339">
        <f>F10/18</f>
        <v>0</v>
      </c>
      <c r="N10" s="275"/>
      <c r="O10" s="337">
        <f>SUM(O4:O8)</f>
        <v>92.363581803076841</v>
      </c>
      <c r="P10" s="258" t="str">
        <f>D2</f>
        <v>Q3得分</v>
      </c>
      <c r="Q10" s="1497">
        <f>Q9+R9-S10</f>
        <v>92.085804025299069</v>
      </c>
      <c r="R10" s="286">
        <v>0</v>
      </c>
      <c r="S10" s="289">
        <v>0</v>
      </c>
    </row>
    <row r="11" spans="1:25" ht="15">
      <c r="A11" s="1612"/>
      <c r="B11" s="258" t="s">
        <v>1571</v>
      </c>
      <c r="C11" s="239" t="s">
        <v>2374</v>
      </c>
      <c r="D11" s="264">
        <f t="shared" si="5"/>
        <v>90.3</v>
      </c>
      <c r="E11" s="264">
        <v>90.1</v>
      </c>
      <c r="F11" s="1379">
        <f t="shared" si="4"/>
        <v>0.20000000000000284</v>
      </c>
      <c r="G11" s="1491">
        <f t="shared" si="3"/>
        <v>5.5555555555556347E-3</v>
      </c>
      <c r="N11" s="275"/>
      <c r="O11" s="334"/>
      <c r="P11" s="124"/>
      <c r="Q11" s="124"/>
      <c r="R11" s="124"/>
      <c r="S11" s="124"/>
    </row>
    <row r="12" spans="1:25" ht="15">
      <c r="A12" s="1612"/>
      <c r="B12" s="258" t="s">
        <v>1572</v>
      </c>
      <c r="C12" s="240" t="s">
        <v>2374</v>
      </c>
      <c r="D12" s="264">
        <f t="shared" si="5"/>
        <v>75</v>
      </c>
      <c r="E12" s="264">
        <v>75</v>
      </c>
      <c r="F12" s="338">
        <f>D12-E12</f>
        <v>0</v>
      </c>
      <c r="G12" s="1490">
        <f t="shared" si="3"/>
        <v>0</v>
      </c>
      <c r="N12" s="275"/>
      <c r="O12" s="309">
        <f>$G$15</f>
        <v>0</v>
      </c>
      <c r="P12" s="258" t="str">
        <f>A15</f>
        <v>声誉风险</v>
      </c>
      <c r="Q12" s="278">
        <f>Q17+R17-S12</f>
        <v>92.358026247521281</v>
      </c>
      <c r="R12" s="287">
        <f t="shared" ref="R12:R17" si="6">IF(O12&gt;0,O12,0)</f>
        <v>0</v>
      </c>
      <c r="S12" s="288">
        <f t="shared" ref="S12:S17" si="7">IF(O12&lt;0,ABS(O12),0)</f>
        <v>0</v>
      </c>
    </row>
    <row r="13" spans="1:25" ht="15">
      <c r="A13" s="1613"/>
      <c r="B13" s="260" t="s">
        <v>1621</v>
      </c>
      <c r="C13" s="239" t="s">
        <v>1992</v>
      </c>
      <c r="D13" s="264">
        <f>D34</f>
        <v>77.698771656751774</v>
      </c>
      <c r="E13" s="264">
        <v>77.887581016546235</v>
      </c>
      <c r="F13" s="325">
        <f>D13-E13</f>
        <v>-0.18880935979446178</v>
      </c>
      <c r="G13" s="1375">
        <f>SUM(G4:G12)</f>
        <v>-4.7202339948615051E-2</v>
      </c>
      <c r="N13" s="275"/>
      <c r="O13" s="309">
        <f>$G$9</f>
        <v>0</v>
      </c>
      <c r="P13" s="258" t="str">
        <f>B9</f>
        <v>公司治理业务线</v>
      </c>
      <c r="Q13" s="278">
        <f>Q7+R7-S13</f>
        <v>92.358026247521281</v>
      </c>
      <c r="R13" s="287">
        <f t="shared" si="6"/>
        <v>0</v>
      </c>
      <c r="S13" s="288">
        <f t="shared" si="7"/>
        <v>0</v>
      </c>
    </row>
    <row r="14" spans="1:25" ht="15">
      <c r="A14" s="1607" t="s">
        <v>1576</v>
      </c>
      <c r="B14" s="1608"/>
      <c r="C14" s="239" t="s">
        <v>1992</v>
      </c>
      <c r="D14" s="264">
        <f>D35</f>
        <v>94</v>
      </c>
      <c r="E14" s="264">
        <v>94</v>
      </c>
      <c r="F14" s="338">
        <f t="shared" si="4"/>
        <v>0</v>
      </c>
      <c r="G14" s="1376">
        <f>F14*U35</f>
        <v>0</v>
      </c>
      <c r="N14" s="275"/>
      <c r="O14" s="336">
        <f>G14</f>
        <v>0</v>
      </c>
      <c r="P14" s="258" t="str">
        <f>A14</f>
        <v>战略风险</v>
      </c>
      <c r="Q14" s="333">
        <f>Q18+R18-S14</f>
        <v>92.358026247521281</v>
      </c>
      <c r="R14" s="287">
        <f t="shared" si="6"/>
        <v>0</v>
      </c>
      <c r="S14" s="288">
        <f t="shared" si="7"/>
        <v>0</v>
      </c>
    </row>
    <row r="15" spans="1:25" ht="15">
      <c r="A15" s="1607" t="s">
        <v>1577</v>
      </c>
      <c r="B15" s="1608"/>
      <c r="C15" s="239" t="s">
        <v>1992</v>
      </c>
      <c r="D15" s="1396">
        <f>D36</f>
        <v>90</v>
      </c>
      <c r="E15" s="264">
        <v>90</v>
      </c>
      <c r="F15" s="338">
        <f t="shared" si="4"/>
        <v>0</v>
      </c>
      <c r="G15" s="1376">
        <f>F15*U36</f>
        <v>0</v>
      </c>
      <c r="I15" s="277"/>
      <c r="J15" s="275"/>
      <c r="K15" s="276"/>
      <c r="L15" s="276"/>
      <c r="M15" s="276"/>
      <c r="N15" s="275"/>
      <c r="O15" s="336">
        <f>G8</f>
        <v>0</v>
      </c>
      <c r="P15" s="258" t="str">
        <f>B8</f>
        <v>合规风险</v>
      </c>
      <c r="Q15" s="333">
        <f>Q7+R7-S15</f>
        <v>92.358026247521281</v>
      </c>
      <c r="R15" s="287">
        <f t="shared" si="6"/>
        <v>0</v>
      </c>
      <c r="S15" s="288">
        <f t="shared" si="7"/>
        <v>0</v>
      </c>
    </row>
    <row r="16" spans="1:25" ht="15">
      <c r="A16" s="1607" t="s">
        <v>1578</v>
      </c>
      <c r="B16" s="1608"/>
      <c r="C16" s="217" t="s">
        <v>1992</v>
      </c>
      <c r="D16" s="264">
        <f>D37</f>
        <v>88.888888888888886</v>
      </c>
      <c r="E16" s="264">
        <v>91.111111111111114</v>
      </c>
      <c r="F16" s="325">
        <f t="shared" si="4"/>
        <v>-2.2222222222222285</v>
      </c>
      <c r="G16" s="325">
        <f>F16*U37</f>
        <v>-0.27777777777777857</v>
      </c>
      <c r="I16" s="276"/>
      <c r="J16" s="275"/>
      <c r="K16" s="276"/>
      <c r="L16" s="276"/>
      <c r="M16" s="276"/>
      <c r="N16" s="275"/>
    </row>
    <row r="17" spans="1:21" ht="15">
      <c r="A17" s="1605" t="s">
        <v>2377</v>
      </c>
      <c r="B17" s="1605"/>
      <c r="C17" s="544" t="s">
        <v>1992</v>
      </c>
      <c r="D17" s="264">
        <f t="shared" si="5"/>
        <v>84.17160805059811</v>
      </c>
      <c r="E17" s="264">
        <v>84.821568286050905</v>
      </c>
      <c r="F17" s="281"/>
      <c r="G17" s="281"/>
      <c r="I17" s="276"/>
      <c r="J17" s="275"/>
      <c r="K17" s="276"/>
      <c r="L17" s="276"/>
      <c r="M17" s="276"/>
      <c r="N17" s="275"/>
      <c r="O17" s="336">
        <f>$G$10</f>
        <v>0</v>
      </c>
      <c r="P17" s="258" t="str">
        <f>B10</f>
        <v>准备金、再保险管理</v>
      </c>
      <c r="Q17" s="333">
        <f>Q15+R15-S17</f>
        <v>92.358026247521281</v>
      </c>
      <c r="R17" s="287">
        <f t="shared" si="6"/>
        <v>0</v>
      </c>
      <c r="S17" s="288">
        <f t="shared" si="7"/>
        <v>0</v>
      </c>
    </row>
    <row r="18" spans="1:21" ht="15">
      <c r="A18" s="1609" t="s">
        <v>2376</v>
      </c>
      <c r="B18" s="1609"/>
      <c r="C18" s="239" t="s">
        <v>1574</v>
      </c>
      <c r="D18" s="264">
        <f t="shared" si="5"/>
        <v>100</v>
      </c>
      <c r="E18" s="264">
        <v>100</v>
      </c>
      <c r="F18" s="281"/>
      <c r="G18" s="281"/>
      <c r="I18" s="279"/>
      <c r="J18" s="280"/>
      <c r="K18" s="279"/>
      <c r="L18" s="279"/>
      <c r="M18" s="279"/>
      <c r="N18" s="275"/>
      <c r="O18" s="336">
        <f>$G$12</f>
        <v>0</v>
      </c>
      <c r="P18" s="258" t="str">
        <f>B12</f>
        <v>案件管理</v>
      </c>
      <c r="Q18" s="333">
        <f>Q17+R17-S18</f>
        <v>92.358026247521281</v>
      </c>
      <c r="R18" s="287">
        <f>IF(O18&gt;0,O18,0)</f>
        <v>0</v>
      </c>
      <c r="S18" s="288">
        <f>IF(O18&lt;0,ABS(O18),0)</f>
        <v>0</v>
      </c>
    </row>
    <row r="19" spans="1:21" ht="15" customHeight="1">
      <c r="A19" s="1605" t="s">
        <v>1579</v>
      </c>
      <c r="B19" s="1605"/>
      <c r="C19" s="1377" t="s">
        <v>2378</v>
      </c>
      <c r="D19" s="1397">
        <f>D40</f>
        <v>92.085804025299055</v>
      </c>
      <c r="E19" s="264">
        <v>92.410784143025452</v>
      </c>
      <c r="F19" s="1379">
        <f>D19-E19</f>
        <v>-0.32498011772639757</v>
      </c>
      <c r="G19" s="264"/>
      <c r="I19" s="279"/>
      <c r="J19" s="280"/>
      <c r="K19" s="279"/>
      <c r="L19" s="279"/>
      <c r="M19" s="279"/>
    </row>
    <row r="20" spans="1:21">
      <c r="I20" s="279"/>
      <c r="J20" s="280"/>
      <c r="K20" s="279"/>
      <c r="L20" s="279"/>
      <c r="M20" s="279"/>
      <c r="N20" s="275"/>
    </row>
    <row r="22" spans="1:21">
      <c r="A22" s="1611" t="s">
        <v>1595</v>
      </c>
      <c r="B22" s="1611"/>
      <c r="D22" s="271">
        <f>D40</f>
        <v>92.085804025299055</v>
      </c>
      <c r="E22" s="271">
        <f>D22-F22</f>
        <v>0</v>
      </c>
      <c r="F22" s="271">
        <f>D42+D62</f>
        <v>92.085804025299055</v>
      </c>
      <c r="G22" s="263"/>
      <c r="H22" s="263"/>
    </row>
    <row r="23" spans="1:21" ht="15" customHeight="1" outlineLevel="1">
      <c r="A23" s="1617" t="s">
        <v>1596</v>
      </c>
      <c r="B23" s="1617"/>
      <c r="C23" s="1614" t="s">
        <v>2373</v>
      </c>
      <c r="D23" s="1610" t="s">
        <v>1597</v>
      </c>
      <c r="E23" s="1616" t="s">
        <v>1598</v>
      </c>
      <c r="F23" s="1616" t="s">
        <v>1599</v>
      </c>
      <c r="G23" s="1610" t="s">
        <v>1600</v>
      </c>
      <c r="H23" s="1610"/>
      <c r="I23" s="274"/>
      <c r="J23" s="274"/>
      <c r="K23" s="274"/>
      <c r="L23" s="274"/>
      <c r="M23" s="274"/>
      <c r="N23" s="274"/>
      <c r="O23" s="274"/>
      <c r="P23" s="274"/>
      <c r="Q23" s="274"/>
      <c r="R23" s="274"/>
      <c r="S23" s="1619" t="s">
        <v>1601</v>
      </c>
      <c r="T23" s="1619" t="s">
        <v>1602</v>
      </c>
      <c r="U23" s="1619" t="s">
        <v>1603</v>
      </c>
    </row>
    <row r="24" spans="1:21" ht="15" customHeight="1" outlineLevel="1">
      <c r="A24" s="1618"/>
      <c r="B24" s="1618"/>
      <c r="C24" s="1614"/>
      <c r="D24" s="1610"/>
      <c r="E24" s="1616"/>
      <c r="F24" s="1616"/>
      <c r="G24" s="256" t="s">
        <v>1604</v>
      </c>
      <c r="H24" s="256" t="s">
        <v>1605</v>
      </c>
      <c r="I24" s="274" t="s">
        <v>1606</v>
      </c>
      <c r="J24" s="274" t="s">
        <v>1607</v>
      </c>
      <c r="K24" s="274" t="s">
        <v>1608</v>
      </c>
      <c r="L24" s="274" t="s">
        <v>1609</v>
      </c>
      <c r="M24" s="274" t="s">
        <v>1610</v>
      </c>
      <c r="N24" s="274" t="s">
        <v>1611</v>
      </c>
      <c r="O24" s="274" t="s">
        <v>1612</v>
      </c>
      <c r="P24" s="274" t="s">
        <v>1613</v>
      </c>
      <c r="Q24" s="274" t="s">
        <v>1614</v>
      </c>
      <c r="R24" s="274" t="s">
        <v>1615</v>
      </c>
      <c r="S24" s="1615"/>
      <c r="T24" s="1615"/>
      <c r="U24" s="1615"/>
    </row>
    <row r="25" spans="1:21" ht="16.5" outlineLevel="1">
      <c r="A25" s="1612" t="s">
        <v>1620</v>
      </c>
      <c r="B25" s="257" t="s">
        <v>1559</v>
      </c>
      <c r="C25" s="240" t="s">
        <v>2375</v>
      </c>
      <c r="D25" s="252">
        <f>E25*G25+F25*H25</f>
        <v>68.608944910765985</v>
      </c>
      <c r="E25" s="252">
        <f>'OR02-销售承保'!R38</f>
        <v>46.706269213324603</v>
      </c>
      <c r="F25" s="252">
        <f>AVERAGE(I25:R25)</f>
        <v>77.995805923955146</v>
      </c>
      <c r="G25" s="254">
        <v>0.3</v>
      </c>
      <c r="H25" s="254">
        <v>0.7</v>
      </c>
      <c r="I25" s="253">
        <f>'OR04-分公司销售、承保、保全'!W76</f>
        <v>85.571428571428569</v>
      </c>
      <c r="J25" s="253">
        <f>'OR04-分公司销售、承保、保全'!AC76</f>
        <v>75.326388888888886</v>
      </c>
      <c r="K25" s="253">
        <f>'OR04-分公司销售、承保、保全'!AI76</f>
        <v>73.945747800586503</v>
      </c>
      <c r="L25" s="253">
        <f>'OR04-分公司销售、承保、保全'!AO76</f>
        <v>71.325581395348834</v>
      </c>
      <c r="M25" s="253">
        <f>'OR04-分公司销售、承保、保全'!AU76</f>
        <v>75.42307692307692</v>
      </c>
      <c r="N25" s="253">
        <f>'OR04-分公司销售、承保、保全'!BA76</f>
        <v>74.971111111111114</v>
      </c>
      <c r="O25" s="253">
        <f>'OR04-分公司销售、承保、保全'!BG76</f>
        <v>86.746913580246911</v>
      </c>
      <c r="P25" s="253">
        <f>'OR04-分公司销售、承保、保全'!BM76</f>
        <v>74.308771929824559</v>
      </c>
      <c r="Q25" s="253">
        <f>'OR04-分公司销售、承保、保全'!BS76</f>
        <v>86.966666666666669</v>
      </c>
      <c r="R25" s="253">
        <f>'OR04-分公司销售、承保、保全'!BY76</f>
        <v>75.372372372372368</v>
      </c>
      <c r="S25" s="255" t="s">
        <v>1560</v>
      </c>
      <c r="T25" s="255" t="s">
        <v>1561</v>
      </c>
      <c r="U25" s="255" t="s">
        <v>1562</v>
      </c>
    </row>
    <row r="26" spans="1:21" ht="16.5" outlineLevel="1">
      <c r="A26" s="1612"/>
      <c r="B26" s="258" t="s">
        <v>1563</v>
      </c>
      <c r="C26" s="239" t="s">
        <v>2375</v>
      </c>
      <c r="D26" s="231">
        <f>E26*G26+F26*H26</f>
        <v>65.419999999999987</v>
      </c>
      <c r="E26" s="231">
        <f>'OR06-理赔保全'!M22</f>
        <v>30</v>
      </c>
      <c r="F26" s="231">
        <f>AVERAGE(I26:R26)</f>
        <v>80.599999999999994</v>
      </c>
      <c r="G26" s="233">
        <v>0.3</v>
      </c>
      <c r="H26" s="233">
        <v>0.7</v>
      </c>
      <c r="I26" s="232">
        <f>'OR08-分公司理赔'!W41</f>
        <v>82</v>
      </c>
      <c r="J26" s="232">
        <f>'OR08-分公司理赔'!AC41</f>
        <v>82</v>
      </c>
      <c r="K26" s="232">
        <f>'OR08-分公司理赔'!AI41</f>
        <v>82</v>
      </c>
      <c r="L26" s="232">
        <f>'OR08-分公司理赔'!AO41</f>
        <v>82</v>
      </c>
      <c r="M26" s="232">
        <f>'OR08-分公司理赔'!AU41</f>
        <v>79</v>
      </c>
      <c r="N26" s="232">
        <f>'OR08-分公司理赔'!BA41</f>
        <v>79</v>
      </c>
      <c r="O26" s="232">
        <f>'OR08-分公司理赔'!BG41</f>
        <v>77</v>
      </c>
      <c r="P26" s="232">
        <f>'OR08-分公司理赔'!BM41</f>
        <v>82</v>
      </c>
      <c r="Q26" s="232">
        <f>'OR08-分公司理赔'!BS41</f>
        <v>79</v>
      </c>
      <c r="R26" s="232">
        <f>'OR08-分公司理赔'!BY41</f>
        <v>82</v>
      </c>
      <c r="S26" s="234" t="s">
        <v>1560</v>
      </c>
      <c r="T26" s="234" t="s">
        <v>1561</v>
      </c>
      <c r="U26" s="234" t="s">
        <v>1562</v>
      </c>
    </row>
    <row r="27" spans="1:21" ht="16.5" outlineLevel="1">
      <c r="A27" s="1612"/>
      <c r="B27" s="258" t="s">
        <v>1564</v>
      </c>
      <c r="C27" s="240" t="s">
        <v>2374</v>
      </c>
      <c r="D27" s="231">
        <f>E27*G27+F27*H27</f>
        <v>83.960000000000008</v>
      </c>
      <c r="E27" s="231">
        <f>'OR12-财务管理'!P42</f>
        <v>81</v>
      </c>
      <c r="F27" s="231">
        <f>AVERAGE(I27:R27)</f>
        <v>88.4</v>
      </c>
      <c r="G27" s="233">
        <v>0.6</v>
      </c>
      <c r="H27" s="233">
        <v>0.4</v>
      </c>
      <c r="I27" s="232">
        <f>'OR13-分公司财务管理'!W57</f>
        <v>85</v>
      </c>
      <c r="J27" s="232">
        <f>'OR13-分公司财务管理'!AC57</f>
        <v>86</v>
      </c>
      <c r="K27" s="232">
        <f>'OR13-分公司财务管理'!AI57</f>
        <v>88</v>
      </c>
      <c r="L27" s="232">
        <f>'OR13-分公司财务管理'!AO57</f>
        <v>90</v>
      </c>
      <c r="M27" s="232">
        <f>'OR13-分公司财务管理'!AU57</f>
        <v>89</v>
      </c>
      <c r="N27" s="232">
        <f>'OR13-分公司财务管理'!BA57</f>
        <v>90</v>
      </c>
      <c r="O27" s="232">
        <f>'OR13-分公司财务管理'!BG57</f>
        <v>90</v>
      </c>
      <c r="P27" s="232">
        <f>'OR13-分公司财务管理'!BM57</f>
        <v>86</v>
      </c>
      <c r="Q27" s="232">
        <f>'OR13-分公司财务管理'!BS57</f>
        <v>90</v>
      </c>
      <c r="R27" s="232">
        <f>'OR13-分公司财务管理'!BY57</f>
        <v>90</v>
      </c>
      <c r="S27" s="234" t="s">
        <v>1560</v>
      </c>
      <c r="T27" s="234" t="s">
        <v>1561</v>
      </c>
      <c r="U27" s="234" t="s">
        <v>1562</v>
      </c>
    </row>
    <row r="28" spans="1:21" ht="16.5" outlineLevel="1">
      <c r="A28" s="1612"/>
      <c r="B28" s="258" t="s">
        <v>1565</v>
      </c>
      <c r="C28" s="239" t="s">
        <v>2374</v>
      </c>
      <c r="D28" s="231">
        <f>E28</f>
        <v>80</v>
      </c>
      <c r="E28" s="231">
        <f>'OR10-资金运用'!M63</f>
        <v>80</v>
      </c>
      <c r="F28" s="235"/>
      <c r="G28" s="233">
        <v>1</v>
      </c>
      <c r="H28" s="236" t="s">
        <v>1566</v>
      </c>
      <c r="I28" s="236"/>
      <c r="J28" s="236"/>
      <c r="K28" s="236"/>
      <c r="L28" s="236"/>
      <c r="M28" s="236"/>
      <c r="N28" s="236"/>
      <c r="O28" s="236"/>
      <c r="P28" s="236"/>
      <c r="Q28" s="236"/>
      <c r="R28" s="236"/>
      <c r="S28" s="234" t="s">
        <v>1560</v>
      </c>
      <c r="T28" s="234" t="s">
        <v>1561</v>
      </c>
      <c r="U28" s="234" t="s">
        <v>1562</v>
      </c>
    </row>
    <row r="29" spans="1:21" ht="16.5" outlineLevel="1">
      <c r="A29" s="1612"/>
      <c r="B29" s="258" t="s">
        <v>1567</v>
      </c>
      <c r="C29" s="240" t="s">
        <v>2374</v>
      </c>
      <c r="D29" s="331">
        <v>0</v>
      </c>
      <c r="E29" s="331">
        <v>0</v>
      </c>
      <c r="F29" s="235"/>
      <c r="G29" s="233">
        <v>1</v>
      </c>
      <c r="H29" s="236" t="s">
        <v>1566</v>
      </c>
      <c r="I29" s="236"/>
      <c r="J29" s="236"/>
      <c r="K29" s="236"/>
      <c r="L29" s="236"/>
      <c r="M29" s="236"/>
      <c r="N29" s="236"/>
      <c r="O29" s="236"/>
      <c r="P29" s="236"/>
      <c r="Q29" s="236"/>
      <c r="R29" s="236"/>
      <c r="S29" s="234" t="s">
        <v>1560</v>
      </c>
      <c r="T29" s="234" t="s">
        <v>1561</v>
      </c>
      <c r="U29" s="234" t="s">
        <v>1562</v>
      </c>
    </row>
    <row r="30" spans="1:21" ht="16.5" outlineLevel="1">
      <c r="A30" s="1612"/>
      <c r="B30" s="258" t="s">
        <v>1568</v>
      </c>
      <c r="C30" s="239" t="s">
        <v>2374</v>
      </c>
      <c r="D30" s="231">
        <f>E30</f>
        <v>88</v>
      </c>
      <c r="E30" s="231">
        <f>公司治理!J81</f>
        <v>88</v>
      </c>
      <c r="F30" s="235"/>
      <c r="G30" s="233">
        <v>1</v>
      </c>
      <c r="H30" s="236" t="s">
        <v>1566</v>
      </c>
      <c r="I30" s="236"/>
      <c r="J30" s="236"/>
      <c r="K30" s="236"/>
      <c r="L30" s="236"/>
      <c r="M30" s="236"/>
      <c r="N30" s="236"/>
      <c r="O30" s="236"/>
      <c r="P30" s="236"/>
      <c r="Q30" s="236"/>
      <c r="R30" s="236"/>
      <c r="S30" s="234" t="s">
        <v>1560</v>
      </c>
      <c r="T30" s="234" t="s">
        <v>1561</v>
      </c>
      <c r="U30" s="234" t="s">
        <v>1562</v>
      </c>
    </row>
    <row r="31" spans="1:21" ht="16.5" outlineLevel="1">
      <c r="A31" s="1612"/>
      <c r="B31" s="258" t="s">
        <v>1569</v>
      </c>
      <c r="C31" s="240" t="s">
        <v>2374</v>
      </c>
      <c r="D31" s="231">
        <f>E31</f>
        <v>74</v>
      </c>
      <c r="E31" s="231">
        <f>'OR15-准备金再保险'!M19</f>
        <v>74</v>
      </c>
      <c r="F31" s="235"/>
      <c r="G31" s="233">
        <v>1</v>
      </c>
      <c r="H31" s="236" t="s">
        <v>1566</v>
      </c>
      <c r="I31" s="236"/>
      <c r="J31" s="236"/>
      <c r="K31" s="236"/>
      <c r="L31" s="236"/>
      <c r="M31" s="236"/>
      <c r="N31" s="236"/>
      <c r="O31" s="236"/>
      <c r="P31" s="236"/>
      <c r="Q31" s="236"/>
      <c r="R31" s="236"/>
      <c r="S31" s="259" t="s">
        <v>1570</v>
      </c>
      <c r="T31" s="234" t="s">
        <v>1560</v>
      </c>
      <c r="U31" s="234" t="s">
        <v>1561</v>
      </c>
    </row>
    <row r="32" spans="1:21" ht="16.5" outlineLevel="1">
      <c r="A32" s="1612"/>
      <c r="B32" s="258" t="s">
        <v>1571</v>
      </c>
      <c r="C32" s="239" t="s">
        <v>2374</v>
      </c>
      <c r="D32" s="231">
        <f>E32</f>
        <v>90.3</v>
      </c>
      <c r="E32" s="231">
        <f>信息系统!K137</f>
        <v>90.3</v>
      </c>
      <c r="F32" s="235"/>
      <c r="G32" s="233">
        <v>1</v>
      </c>
      <c r="H32" s="236" t="s">
        <v>1566</v>
      </c>
      <c r="I32" s="236"/>
      <c r="J32" s="236"/>
      <c r="K32" s="236"/>
      <c r="L32" s="236"/>
      <c r="M32" s="236"/>
      <c r="N32" s="236"/>
      <c r="O32" s="236"/>
      <c r="P32" s="236"/>
      <c r="Q32" s="236"/>
      <c r="R32" s="236"/>
      <c r="S32" s="234" t="s">
        <v>1560</v>
      </c>
      <c r="T32" s="234" t="s">
        <v>1561</v>
      </c>
      <c r="U32" s="234" t="s">
        <v>1562</v>
      </c>
    </row>
    <row r="33" spans="1:21" ht="16.5" outlineLevel="1">
      <c r="A33" s="1612"/>
      <c r="B33" s="258" t="s">
        <v>1572</v>
      </c>
      <c r="C33" s="240" t="s">
        <v>2374</v>
      </c>
      <c r="D33" s="231">
        <f>E33</f>
        <v>75</v>
      </c>
      <c r="E33" s="231">
        <f>案件管理!J21</f>
        <v>75</v>
      </c>
      <c r="F33" s="235"/>
      <c r="G33" s="233">
        <v>1</v>
      </c>
      <c r="H33" s="236" t="s">
        <v>1566</v>
      </c>
      <c r="I33" s="236"/>
      <c r="J33" s="236"/>
      <c r="K33" s="236"/>
      <c r="L33" s="236"/>
      <c r="M33" s="236"/>
      <c r="N33" s="236"/>
      <c r="O33" s="236"/>
      <c r="P33" s="236"/>
      <c r="Q33" s="236"/>
      <c r="R33" s="236"/>
      <c r="S33" s="234" t="s">
        <v>1560</v>
      </c>
      <c r="T33" s="234" t="s">
        <v>1561</v>
      </c>
      <c r="U33" s="234" t="s">
        <v>1562</v>
      </c>
    </row>
    <row r="34" spans="1:21" ht="16.5" outlineLevel="1">
      <c r="A34" s="1613"/>
      <c r="B34" s="260" t="s">
        <v>1573</v>
      </c>
      <c r="C34" s="239" t="s">
        <v>1992</v>
      </c>
      <c r="D34" s="231">
        <f>(SUM(D25:D33)+D31)/9</f>
        <v>77.698771656751774</v>
      </c>
      <c r="E34" s="235"/>
      <c r="F34" s="235"/>
      <c r="G34" s="233">
        <v>1</v>
      </c>
      <c r="H34" s="236" t="s">
        <v>1566</v>
      </c>
      <c r="I34" s="236"/>
      <c r="J34" s="236"/>
      <c r="K34" s="236"/>
      <c r="L34" s="236"/>
      <c r="M34" s="236"/>
      <c r="N34" s="236"/>
      <c r="O34" s="236"/>
      <c r="P34" s="236"/>
      <c r="Q34" s="236"/>
      <c r="R34" s="236"/>
      <c r="S34" s="234" t="s">
        <v>1575</v>
      </c>
      <c r="T34" s="233">
        <v>0.5</v>
      </c>
      <c r="U34" s="233">
        <v>0.25</v>
      </c>
    </row>
    <row r="35" spans="1:21" ht="16.5" outlineLevel="1">
      <c r="A35" s="1607" t="s">
        <v>1617</v>
      </c>
      <c r="B35" s="1608"/>
      <c r="C35" s="239" t="s">
        <v>1992</v>
      </c>
      <c r="D35" s="231">
        <f>战略风险!G32</f>
        <v>94</v>
      </c>
      <c r="E35" s="235"/>
      <c r="F35" s="235"/>
      <c r="G35" s="233">
        <v>1</v>
      </c>
      <c r="H35" s="236" t="s">
        <v>1566</v>
      </c>
      <c r="I35" s="236"/>
      <c r="J35" s="236"/>
      <c r="K35" s="236"/>
      <c r="L35" s="236"/>
      <c r="M35" s="236"/>
      <c r="N35" s="236"/>
      <c r="O35" s="236"/>
      <c r="P35" s="236"/>
      <c r="Q35" s="236"/>
      <c r="R35" s="236"/>
      <c r="S35" s="233" t="s">
        <v>1566</v>
      </c>
      <c r="T35" s="233">
        <v>0.15</v>
      </c>
      <c r="U35" s="237">
        <v>7.4999999999999997E-2</v>
      </c>
    </row>
    <row r="36" spans="1:21" ht="16.5" outlineLevel="1">
      <c r="A36" s="1607" t="s">
        <v>1618</v>
      </c>
      <c r="B36" s="1608"/>
      <c r="C36" s="239" t="s">
        <v>1992</v>
      </c>
      <c r="D36" s="231">
        <v>90</v>
      </c>
      <c r="E36" s="235"/>
      <c r="F36" s="235"/>
      <c r="G36" s="233">
        <v>1</v>
      </c>
      <c r="H36" s="233" t="s">
        <v>1566</v>
      </c>
      <c r="I36" s="233"/>
      <c r="J36" s="233"/>
      <c r="K36" s="233"/>
      <c r="L36" s="233"/>
      <c r="M36" s="233"/>
      <c r="N36" s="233"/>
      <c r="O36" s="233"/>
      <c r="P36" s="233"/>
      <c r="Q36" s="233"/>
      <c r="R36" s="233"/>
      <c r="S36" s="233" t="s">
        <v>1566</v>
      </c>
      <c r="T36" s="233">
        <v>0.1</v>
      </c>
      <c r="U36" s="233">
        <v>0.05</v>
      </c>
    </row>
    <row r="37" spans="1:21" ht="16.5" outlineLevel="1">
      <c r="A37" s="1607" t="s">
        <v>1619</v>
      </c>
      <c r="B37" s="1608"/>
      <c r="C37" s="544" t="s">
        <v>1992</v>
      </c>
      <c r="D37" s="231">
        <f>流动性风险!H33</f>
        <v>88.888888888888886</v>
      </c>
      <c r="E37" s="235"/>
      <c r="F37" s="235"/>
      <c r="G37" s="233">
        <v>1</v>
      </c>
      <c r="H37" s="236" t="s">
        <v>1566</v>
      </c>
      <c r="I37" s="236"/>
      <c r="J37" s="236"/>
      <c r="K37" s="236"/>
      <c r="L37" s="236"/>
      <c r="M37" s="236"/>
      <c r="N37" s="236"/>
      <c r="O37" s="236"/>
      <c r="P37" s="236"/>
      <c r="Q37" s="236"/>
      <c r="R37" s="236"/>
      <c r="S37" s="233" t="s">
        <v>1566</v>
      </c>
      <c r="T37" s="233">
        <v>0.25</v>
      </c>
      <c r="U37" s="237">
        <v>0.125</v>
      </c>
    </row>
    <row r="38" spans="1:21" ht="16.5" outlineLevel="1">
      <c r="A38" s="1605" t="s">
        <v>2377</v>
      </c>
      <c r="B38" s="1605"/>
      <c r="C38" s="544" t="s">
        <v>1992</v>
      </c>
      <c r="D38" s="231">
        <f>D34*T34+D35*T35+D36*T36+D37*T37</f>
        <v>84.17160805059811</v>
      </c>
      <c r="E38" s="235"/>
      <c r="F38" s="235"/>
      <c r="G38" s="233">
        <v>1</v>
      </c>
      <c r="H38" s="236" t="s">
        <v>1566</v>
      </c>
      <c r="I38" s="236"/>
      <c r="J38" s="236"/>
      <c r="K38" s="236"/>
      <c r="L38" s="236"/>
      <c r="M38" s="236"/>
      <c r="N38" s="236"/>
      <c r="O38" s="236"/>
      <c r="P38" s="236"/>
      <c r="Q38" s="236"/>
      <c r="R38" s="236"/>
      <c r="S38" s="233" t="s">
        <v>1566</v>
      </c>
      <c r="T38" s="233">
        <v>1</v>
      </c>
      <c r="U38" s="233">
        <v>0.5</v>
      </c>
    </row>
    <row r="39" spans="1:21" ht="16.5" outlineLevel="1">
      <c r="A39" s="1609" t="s">
        <v>2376</v>
      </c>
      <c r="B39" s="1609"/>
      <c r="C39" s="239" t="s">
        <v>1574</v>
      </c>
      <c r="D39" s="231">
        <v>100</v>
      </c>
      <c r="E39" s="235"/>
      <c r="F39" s="235"/>
      <c r="G39" s="233">
        <v>1</v>
      </c>
      <c r="H39" s="236" t="s">
        <v>1566</v>
      </c>
      <c r="I39" s="236"/>
      <c r="J39" s="236"/>
      <c r="K39" s="236"/>
      <c r="L39" s="236"/>
      <c r="M39" s="236"/>
      <c r="N39" s="236"/>
      <c r="O39" s="236"/>
      <c r="P39" s="236"/>
      <c r="Q39" s="236"/>
      <c r="R39" s="236"/>
      <c r="S39" s="233" t="s">
        <v>1566</v>
      </c>
      <c r="T39" s="236" t="s">
        <v>1566</v>
      </c>
      <c r="U39" s="233">
        <v>0.5</v>
      </c>
    </row>
    <row r="40" spans="1:21" ht="16.5" outlineLevel="1">
      <c r="A40" s="1605" t="s">
        <v>1616</v>
      </c>
      <c r="B40" s="1605"/>
      <c r="C40" s="239"/>
      <c r="D40" s="231">
        <f>D38*U38+D39*U39</f>
        <v>92.085804025299055</v>
      </c>
      <c r="E40" s="235"/>
      <c r="F40" s="235"/>
      <c r="G40" s="236" t="s">
        <v>1566</v>
      </c>
      <c r="H40" s="236" t="s">
        <v>1566</v>
      </c>
      <c r="I40" s="236"/>
      <c r="J40" s="236"/>
      <c r="K40" s="236"/>
      <c r="L40" s="236"/>
      <c r="M40" s="236"/>
      <c r="N40" s="236"/>
      <c r="O40" s="236"/>
      <c r="P40" s="236"/>
      <c r="Q40" s="236"/>
      <c r="R40" s="236"/>
      <c r="S40" s="233" t="s">
        <v>1566</v>
      </c>
      <c r="T40" s="236" t="s">
        <v>1566</v>
      </c>
      <c r="U40" s="233">
        <v>1</v>
      </c>
    </row>
    <row r="42" spans="1:21">
      <c r="A42" s="1611" t="s">
        <v>1622</v>
      </c>
      <c r="B42" s="1611"/>
      <c r="D42" s="292">
        <f>D60</f>
        <v>91.555248469743503</v>
      </c>
    </row>
    <row r="43" spans="1:21" ht="16.149999999999999" customHeight="1" outlineLevel="1">
      <c r="A43" s="1617" t="s">
        <v>1596</v>
      </c>
      <c r="B43" s="1617"/>
      <c r="C43" s="1614" t="s">
        <v>2373</v>
      </c>
      <c r="D43" s="1615" t="s">
        <v>1597</v>
      </c>
      <c r="E43" s="1616" t="s">
        <v>1598</v>
      </c>
      <c r="F43" s="1616" t="s">
        <v>1599</v>
      </c>
      <c r="G43" s="1610" t="s">
        <v>1600</v>
      </c>
      <c r="H43" s="1610"/>
      <c r="I43" s="256"/>
      <c r="J43" s="256"/>
      <c r="K43" s="256"/>
      <c r="L43" s="256"/>
      <c r="M43" s="256"/>
      <c r="N43" s="256"/>
      <c r="O43" s="256"/>
      <c r="P43" s="256"/>
      <c r="Q43" s="256"/>
      <c r="R43" s="256"/>
      <c r="S43" s="1610" t="s">
        <v>1601</v>
      </c>
      <c r="T43" s="1610" t="s">
        <v>1602</v>
      </c>
      <c r="U43" s="1610" t="s">
        <v>1603</v>
      </c>
    </row>
    <row r="44" spans="1:21" ht="15" customHeight="1" outlineLevel="1">
      <c r="A44" s="1618"/>
      <c r="B44" s="1618"/>
      <c r="C44" s="1614"/>
      <c r="D44" s="1610"/>
      <c r="E44" s="1616"/>
      <c r="F44" s="1616"/>
      <c r="G44" s="256" t="s">
        <v>1604</v>
      </c>
      <c r="H44" s="256" t="s">
        <v>1605</v>
      </c>
      <c r="I44" s="256" t="s">
        <v>1606</v>
      </c>
      <c r="J44" s="256" t="s">
        <v>1607</v>
      </c>
      <c r="K44" s="256" t="s">
        <v>1608</v>
      </c>
      <c r="L44" s="256" t="s">
        <v>1609</v>
      </c>
      <c r="M44" s="256" t="s">
        <v>1610</v>
      </c>
      <c r="N44" s="256" t="s">
        <v>1611</v>
      </c>
      <c r="O44" s="256" t="s">
        <v>1612</v>
      </c>
      <c r="P44" s="256" t="s">
        <v>1613</v>
      </c>
      <c r="Q44" s="256" t="s">
        <v>1614</v>
      </c>
      <c r="R44" s="256" t="s">
        <v>1615</v>
      </c>
      <c r="S44" s="1610"/>
      <c r="T44" s="1610"/>
      <c r="U44" s="1610"/>
    </row>
    <row r="45" spans="1:21" ht="16.5" outlineLevel="1">
      <c r="A45" s="1612" t="s">
        <v>1620</v>
      </c>
      <c r="B45" s="257" t="s">
        <v>1559</v>
      </c>
      <c r="C45" s="240" t="s">
        <v>2375</v>
      </c>
      <c r="D45" s="252">
        <f>E45*G45+F45*H45</f>
        <v>66.508944910765976</v>
      </c>
      <c r="E45" s="252">
        <f>'OR02-销售承保'!R39</f>
        <v>46.706269213324603</v>
      </c>
      <c r="F45" s="252">
        <f>AVERAGE(I45:R45)</f>
        <v>74.995805923955146</v>
      </c>
      <c r="G45" s="254">
        <v>0.3</v>
      </c>
      <c r="H45" s="254">
        <v>0.7</v>
      </c>
      <c r="I45" s="253">
        <f>'OR04-分公司销售、承保、保全'!W80</f>
        <v>75.571428571428569</v>
      </c>
      <c r="J45" s="253">
        <f>'OR04-分公司销售、承保、保全'!AC80</f>
        <v>75.326388888888886</v>
      </c>
      <c r="K45" s="253">
        <f>'OR04-分公司销售、承保、保全'!AI80</f>
        <v>73.945747800586503</v>
      </c>
      <c r="L45" s="253">
        <f>'OR04-分公司销售、承保、保全'!AO80</f>
        <v>71.325581395348834</v>
      </c>
      <c r="M45" s="253">
        <f>'OR04-分公司销售、承保、保全'!AU80</f>
        <v>75.42307692307692</v>
      </c>
      <c r="N45" s="253">
        <f>'OR04-分公司销售、承保、保全'!BA80</f>
        <v>74.971111111111114</v>
      </c>
      <c r="O45" s="253">
        <f>'OR04-分公司销售、承保、保全'!BG80</f>
        <v>76.746913580246911</v>
      </c>
      <c r="P45" s="253">
        <f>'OR04-分公司销售、承保、保全'!BM80</f>
        <v>74.308771929824559</v>
      </c>
      <c r="Q45" s="253">
        <f>'OR04-分公司销售、承保、保全'!BS80</f>
        <v>76.966666666666669</v>
      </c>
      <c r="R45" s="253">
        <f>'OR04-分公司销售、承保、保全'!BY80</f>
        <v>75.372372372372368</v>
      </c>
      <c r="S45" s="255" t="s">
        <v>1560</v>
      </c>
      <c r="T45" s="255" t="s">
        <v>1561</v>
      </c>
      <c r="U45" s="255" t="s">
        <v>1562</v>
      </c>
    </row>
    <row r="46" spans="1:21" ht="16.5" outlineLevel="1">
      <c r="A46" s="1612"/>
      <c r="B46" s="258" t="s">
        <v>1563</v>
      </c>
      <c r="C46" s="239" t="s">
        <v>2375</v>
      </c>
      <c r="D46" s="231">
        <f>E46*G46+F46*H46</f>
        <v>58.419999999999995</v>
      </c>
      <c r="E46" s="231">
        <f>'OR06-理赔保全'!M23</f>
        <v>30</v>
      </c>
      <c r="F46" s="231">
        <f>AVERAGE(I46:R46)</f>
        <v>70.599999999999994</v>
      </c>
      <c r="G46" s="233">
        <v>0.3</v>
      </c>
      <c r="H46" s="233">
        <v>0.7</v>
      </c>
      <c r="I46" s="232">
        <f>'OR08-分公司理赔'!W45</f>
        <v>72</v>
      </c>
      <c r="J46" s="232">
        <f>'OR08-分公司理赔'!AC45</f>
        <v>72</v>
      </c>
      <c r="K46" s="232">
        <f>'OR08-分公司理赔'!AI45</f>
        <v>72</v>
      </c>
      <c r="L46" s="232">
        <f>'OR08-分公司理赔'!AO45</f>
        <v>72</v>
      </c>
      <c r="M46" s="232">
        <f>'OR08-分公司理赔'!AU45</f>
        <v>69</v>
      </c>
      <c r="N46" s="232">
        <f>'OR08-分公司理赔'!BA45</f>
        <v>69</v>
      </c>
      <c r="O46" s="232">
        <f>'OR08-分公司理赔'!BG45</f>
        <v>67</v>
      </c>
      <c r="P46" s="232">
        <f>'OR08-分公司理赔'!BM45</f>
        <v>72</v>
      </c>
      <c r="Q46" s="232">
        <f>'OR08-分公司理赔'!BS45</f>
        <v>69</v>
      </c>
      <c r="R46" s="232">
        <f>'OR08-分公司理赔'!BY45</f>
        <v>72</v>
      </c>
      <c r="S46" s="234" t="s">
        <v>1560</v>
      </c>
      <c r="T46" s="234" t="s">
        <v>1561</v>
      </c>
      <c r="U46" s="234" t="s">
        <v>1562</v>
      </c>
    </row>
    <row r="47" spans="1:21" ht="16.5" outlineLevel="1">
      <c r="A47" s="1612"/>
      <c r="B47" s="258" t="s">
        <v>1564</v>
      </c>
      <c r="C47" s="240" t="s">
        <v>2374</v>
      </c>
      <c r="D47" s="231">
        <f>E47*G47+F47*H47</f>
        <v>73.960000000000008</v>
      </c>
      <c r="E47" s="231">
        <f>'OR12-财务管理'!P43</f>
        <v>71</v>
      </c>
      <c r="F47" s="231">
        <f>AVERAGE(I47:R47)</f>
        <v>78.400000000000006</v>
      </c>
      <c r="G47" s="233">
        <v>0.6</v>
      </c>
      <c r="H47" s="233">
        <v>0.4</v>
      </c>
      <c r="I47" s="232">
        <f>'OR13-分公司财务管理'!W61</f>
        <v>75</v>
      </c>
      <c r="J47" s="232">
        <f>'OR13-分公司财务管理'!AC61</f>
        <v>76</v>
      </c>
      <c r="K47" s="232">
        <f>'OR13-分公司财务管理'!AI61</f>
        <v>78</v>
      </c>
      <c r="L47" s="232">
        <f>'OR13-分公司财务管理'!AO61</f>
        <v>80</v>
      </c>
      <c r="M47" s="232">
        <f>'OR13-分公司财务管理'!AU61</f>
        <v>79</v>
      </c>
      <c r="N47" s="232">
        <f>'OR13-分公司财务管理'!BA61</f>
        <v>80</v>
      </c>
      <c r="O47" s="232">
        <f>'OR13-分公司财务管理'!BG61</f>
        <v>80</v>
      </c>
      <c r="P47" s="232">
        <f>'OR13-分公司财务管理'!BM61</f>
        <v>76</v>
      </c>
      <c r="Q47" s="232">
        <f>'OR13-分公司财务管理'!BS61</f>
        <v>80</v>
      </c>
      <c r="R47" s="232">
        <f>'OR13-分公司财务管理'!BY61</f>
        <v>80</v>
      </c>
      <c r="S47" s="234" t="s">
        <v>1560</v>
      </c>
      <c r="T47" s="234" t="s">
        <v>1561</v>
      </c>
      <c r="U47" s="234" t="s">
        <v>1562</v>
      </c>
    </row>
    <row r="48" spans="1:21" ht="16.5" outlineLevel="1">
      <c r="A48" s="1612"/>
      <c r="B48" s="258" t="s">
        <v>1565</v>
      </c>
      <c r="C48" s="239" t="s">
        <v>2374</v>
      </c>
      <c r="D48" s="231">
        <f t="shared" ref="D48:D53" si="8">E48</f>
        <v>80</v>
      </c>
      <c r="E48" s="231">
        <f>'OR10-资金运用'!M64</f>
        <v>80</v>
      </c>
      <c r="F48" s="235"/>
      <c r="G48" s="233">
        <v>1</v>
      </c>
      <c r="H48" s="236" t="s">
        <v>1566</v>
      </c>
      <c r="I48" s="236"/>
      <c r="J48" s="236"/>
      <c r="K48" s="236"/>
      <c r="L48" s="236"/>
      <c r="M48" s="236"/>
      <c r="N48" s="236"/>
      <c r="O48" s="236"/>
      <c r="P48" s="236"/>
      <c r="Q48" s="236"/>
      <c r="R48" s="236"/>
      <c r="S48" s="234" t="s">
        <v>1560</v>
      </c>
      <c r="T48" s="234" t="s">
        <v>1561</v>
      </c>
      <c r="U48" s="234" t="s">
        <v>1562</v>
      </c>
    </row>
    <row r="49" spans="1:21" ht="16.5" outlineLevel="1">
      <c r="A49" s="1612"/>
      <c r="B49" s="258" t="s">
        <v>1567</v>
      </c>
      <c r="C49" s="240" t="s">
        <v>2374</v>
      </c>
      <c r="D49" s="331">
        <v>0</v>
      </c>
      <c r="E49" s="331">
        <v>0</v>
      </c>
      <c r="F49" s="235"/>
      <c r="G49" s="233">
        <v>1</v>
      </c>
      <c r="H49" s="236" t="s">
        <v>1566</v>
      </c>
      <c r="I49" s="236"/>
      <c r="J49" s="236"/>
      <c r="K49" s="236"/>
      <c r="L49" s="236"/>
      <c r="M49" s="236"/>
      <c r="N49" s="236"/>
      <c r="O49" s="236"/>
      <c r="P49" s="236"/>
      <c r="Q49" s="236"/>
      <c r="R49" s="236"/>
      <c r="S49" s="234" t="s">
        <v>1560</v>
      </c>
      <c r="T49" s="234" t="s">
        <v>1561</v>
      </c>
      <c r="U49" s="234" t="s">
        <v>1562</v>
      </c>
    </row>
    <row r="50" spans="1:21" ht="16.5" outlineLevel="1">
      <c r="A50" s="1612"/>
      <c r="B50" s="258" t="s">
        <v>1568</v>
      </c>
      <c r="C50" s="239" t="s">
        <v>2374</v>
      </c>
      <c r="D50" s="231">
        <f>E50</f>
        <v>88</v>
      </c>
      <c r="E50" s="231">
        <f>公司治理!H81</f>
        <v>88</v>
      </c>
      <c r="F50" s="235"/>
      <c r="G50" s="233">
        <v>1</v>
      </c>
      <c r="H50" s="236" t="s">
        <v>1566</v>
      </c>
      <c r="I50" s="236"/>
      <c r="J50" s="236"/>
      <c r="K50" s="236"/>
      <c r="L50" s="236"/>
      <c r="M50" s="236"/>
      <c r="N50" s="236"/>
      <c r="O50" s="236"/>
      <c r="P50" s="236"/>
      <c r="Q50" s="236"/>
      <c r="R50" s="236"/>
      <c r="S50" s="234" t="s">
        <v>1560</v>
      </c>
      <c r="T50" s="234" t="s">
        <v>1561</v>
      </c>
      <c r="U50" s="234" t="s">
        <v>1562</v>
      </c>
    </row>
    <row r="51" spans="1:21" ht="16.5" outlineLevel="1">
      <c r="A51" s="1612"/>
      <c r="B51" s="258" t="s">
        <v>1569</v>
      </c>
      <c r="C51" s="240" t="s">
        <v>2374</v>
      </c>
      <c r="D51" s="231">
        <f t="shared" si="8"/>
        <v>74</v>
      </c>
      <c r="E51" s="231">
        <f>'OR15-准备金再保险'!M20</f>
        <v>74</v>
      </c>
      <c r="F51" s="235"/>
      <c r="G51" s="233">
        <v>1</v>
      </c>
      <c r="H51" s="236" t="s">
        <v>1566</v>
      </c>
      <c r="I51" s="236"/>
      <c r="J51" s="236"/>
      <c r="K51" s="236"/>
      <c r="L51" s="236"/>
      <c r="M51" s="236"/>
      <c r="N51" s="236"/>
      <c r="O51" s="236"/>
      <c r="P51" s="236"/>
      <c r="Q51" s="236"/>
      <c r="R51" s="236"/>
      <c r="S51" s="259" t="s">
        <v>1570</v>
      </c>
      <c r="T51" s="234" t="s">
        <v>1560</v>
      </c>
      <c r="U51" s="234" t="s">
        <v>1561</v>
      </c>
    </row>
    <row r="52" spans="1:21" ht="16.5" outlineLevel="1">
      <c r="A52" s="1612"/>
      <c r="B52" s="258" t="s">
        <v>1571</v>
      </c>
      <c r="C52" s="239" t="s">
        <v>2374</v>
      </c>
      <c r="D52" s="231">
        <f t="shared" si="8"/>
        <v>90.3</v>
      </c>
      <c r="E52" s="231">
        <f>信息系统!K137</f>
        <v>90.3</v>
      </c>
      <c r="F52" s="235"/>
      <c r="G52" s="233">
        <v>1</v>
      </c>
      <c r="H52" s="236" t="s">
        <v>1566</v>
      </c>
      <c r="I52" s="236"/>
      <c r="J52" s="236"/>
      <c r="K52" s="236"/>
      <c r="L52" s="236"/>
      <c r="M52" s="236"/>
      <c r="N52" s="236"/>
      <c r="O52" s="236"/>
      <c r="P52" s="236"/>
      <c r="Q52" s="236"/>
      <c r="R52" s="236"/>
      <c r="S52" s="234" t="s">
        <v>1560</v>
      </c>
      <c r="T52" s="234" t="s">
        <v>1561</v>
      </c>
      <c r="U52" s="234" t="s">
        <v>1562</v>
      </c>
    </row>
    <row r="53" spans="1:21" ht="16.5" outlineLevel="1">
      <c r="A53" s="1612"/>
      <c r="B53" s="258" t="s">
        <v>1572</v>
      </c>
      <c r="C53" s="240" t="s">
        <v>2374</v>
      </c>
      <c r="D53" s="231">
        <f t="shared" si="8"/>
        <v>75</v>
      </c>
      <c r="E53" s="231">
        <f>案件管理!J24</f>
        <v>75</v>
      </c>
      <c r="F53" s="235"/>
      <c r="G53" s="233">
        <v>1</v>
      </c>
      <c r="H53" s="236" t="s">
        <v>1566</v>
      </c>
      <c r="I53" s="236"/>
      <c r="J53" s="236"/>
      <c r="K53" s="236"/>
      <c r="L53" s="236"/>
      <c r="M53" s="236"/>
      <c r="N53" s="236"/>
      <c r="O53" s="236"/>
      <c r="P53" s="236"/>
      <c r="Q53" s="236"/>
      <c r="R53" s="236"/>
      <c r="S53" s="234" t="s">
        <v>1560</v>
      </c>
      <c r="T53" s="234" t="s">
        <v>1561</v>
      </c>
      <c r="U53" s="234" t="s">
        <v>1562</v>
      </c>
    </row>
    <row r="54" spans="1:21" ht="16.5" outlineLevel="1">
      <c r="A54" s="1613"/>
      <c r="B54" s="260" t="s">
        <v>1573</v>
      </c>
      <c r="C54" s="239" t="s">
        <v>1992</v>
      </c>
      <c r="D54" s="231">
        <f>(SUM(D45:D53)+D51)/9</f>
        <v>75.576549434529554</v>
      </c>
      <c r="E54" s="235"/>
      <c r="F54" s="235"/>
      <c r="G54" s="233">
        <v>1</v>
      </c>
      <c r="H54" s="236" t="s">
        <v>1566</v>
      </c>
      <c r="I54" s="236"/>
      <c r="J54" s="236"/>
      <c r="K54" s="236"/>
      <c r="L54" s="236"/>
      <c r="M54" s="236"/>
      <c r="N54" s="236"/>
      <c r="O54" s="236"/>
      <c r="P54" s="236"/>
      <c r="Q54" s="236"/>
      <c r="R54" s="236"/>
      <c r="S54" s="234" t="s">
        <v>1575</v>
      </c>
      <c r="T54" s="233">
        <v>0.5</v>
      </c>
      <c r="U54" s="233">
        <v>0.25</v>
      </c>
    </row>
    <row r="55" spans="1:21" ht="16.5" outlineLevel="1">
      <c r="A55" s="1607" t="s">
        <v>1617</v>
      </c>
      <c r="B55" s="1608"/>
      <c r="C55" s="239" t="s">
        <v>1992</v>
      </c>
      <c r="D55" s="231">
        <f>战略风险!G35</f>
        <v>94</v>
      </c>
      <c r="E55" s="235"/>
      <c r="F55" s="235"/>
      <c r="G55" s="233">
        <v>1</v>
      </c>
      <c r="H55" s="236" t="s">
        <v>1566</v>
      </c>
      <c r="I55" s="236"/>
      <c r="J55" s="236"/>
      <c r="K55" s="236"/>
      <c r="L55" s="236"/>
      <c r="M55" s="236"/>
      <c r="N55" s="236"/>
      <c r="O55" s="236"/>
      <c r="P55" s="236"/>
      <c r="Q55" s="236"/>
      <c r="R55" s="236"/>
      <c r="S55" s="233" t="s">
        <v>1566</v>
      </c>
      <c r="T55" s="233">
        <v>0.15</v>
      </c>
      <c r="U55" s="237">
        <v>7.4999999999999997E-2</v>
      </c>
    </row>
    <row r="56" spans="1:21" ht="16.5" outlineLevel="1">
      <c r="A56" s="1607" t="s">
        <v>1618</v>
      </c>
      <c r="B56" s="1608"/>
      <c r="C56" s="239" t="s">
        <v>1992</v>
      </c>
      <c r="D56" s="1298">
        <v>90</v>
      </c>
      <c r="E56" s="235"/>
      <c r="F56" s="235"/>
      <c r="G56" s="233">
        <v>1</v>
      </c>
      <c r="H56" s="233" t="s">
        <v>1566</v>
      </c>
      <c r="I56" s="233"/>
      <c r="J56" s="233"/>
      <c r="K56" s="233"/>
      <c r="L56" s="233"/>
      <c r="M56" s="233"/>
      <c r="N56" s="233"/>
      <c r="O56" s="233"/>
      <c r="P56" s="233"/>
      <c r="Q56" s="233"/>
      <c r="R56" s="233"/>
      <c r="S56" s="233" t="s">
        <v>1566</v>
      </c>
      <c r="T56" s="233">
        <v>0.1</v>
      </c>
      <c r="U56" s="233">
        <v>0.05</v>
      </c>
    </row>
    <row r="57" spans="1:21" ht="16.5" outlineLevel="1">
      <c r="A57" s="1607" t="s">
        <v>1619</v>
      </c>
      <c r="B57" s="1608"/>
      <c r="C57" s="544" t="s">
        <v>1992</v>
      </c>
      <c r="D57" s="231">
        <f>D37</f>
        <v>88.888888888888886</v>
      </c>
      <c r="E57" s="235"/>
      <c r="F57" s="235"/>
      <c r="G57" s="233">
        <v>1</v>
      </c>
      <c r="H57" s="236" t="s">
        <v>1566</v>
      </c>
      <c r="I57" s="236"/>
      <c r="J57" s="236"/>
      <c r="K57" s="236"/>
      <c r="L57" s="236"/>
      <c r="M57" s="236"/>
      <c r="N57" s="236"/>
      <c r="O57" s="236"/>
      <c r="P57" s="236"/>
      <c r="Q57" s="236"/>
      <c r="R57" s="236"/>
      <c r="S57" s="233" t="s">
        <v>1566</v>
      </c>
      <c r="T57" s="233">
        <v>0.25</v>
      </c>
      <c r="U57" s="237">
        <v>0.125</v>
      </c>
    </row>
    <row r="58" spans="1:21" ht="16.5" outlineLevel="1">
      <c r="A58" s="1605" t="s">
        <v>2377</v>
      </c>
      <c r="B58" s="1605"/>
      <c r="C58" s="544" t="s">
        <v>1992</v>
      </c>
      <c r="D58" s="231">
        <f>D54*T54+D55*T55+D56*T56+D57*T57</f>
        <v>83.110496939487007</v>
      </c>
      <c r="E58" s="235"/>
      <c r="F58" s="235"/>
      <c r="G58" s="233">
        <v>1</v>
      </c>
      <c r="H58" s="236" t="s">
        <v>1566</v>
      </c>
      <c r="I58" s="236"/>
      <c r="J58" s="236"/>
      <c r="K58" s="236"/>
      <c r="L58" s="236"/>
      <c r="M58" s="236"/>
      <c r="N58" s="236"/>
      <c r="O58" s="236"/>
      <c r="P58" s="236"/>
      <c r="Q58" s="236"/>
      <c r="R58" s="236"/>
      <c r="S58" s="233" t="s">
        <v>1566</v>
      </c>
      <c r="T58" s="233">
        <v>1</v>
      </c>
      <c r="U58" s="233">
        <v>0.5</v>
      </c>
    </row>
    <row r="59" spans="1:21" ht="16.5" outlineLevel="1">
      <c r="A59" s="1609" t="s">
        <v>2376</v>
      </c>
      <c r="B59" s="1609"/>
      <c r="C59" s="239" t="s">
        <v>1574</v>
      </c>
      <c r="D59" s="231">
        <v>100</v>
      </c>
      <c r="E59" s="235"/>
      <c r="F59" s="235"/>
      <c r="G59" s="233">
        <v>1</v>
      </c>
      <c r="H59" s="236" t="s">
        <v>1566</v>
      </c>
      <c r="I59" s="236"/>
      <c r="J59" s="236"/>
      <c r="K59" s="236"/>
      <c r="L59" s="236"/>
      <c r="M59" s="236"/>
      <c r="N59" s="236"/>
      <c r="O59" s="236"/>
      <c r="P59" s="236"/>
      <c r="Q59" s="236"/>
      <c r="R59" s="236"/>
      <c r="S59" s="233" t="s">
        <v>1566</v>
      </c>
      <c r="T59" s="236" t="s">
        <v>1566</v>
      </c>
      <c r="U59" s="233">
        <v>0.5</v>
      </c>
    </row>
    <row r="60" spans="1:21" ht="16.5" outlineLevel="1">
      <c r="A60" s="1605" t="s">
        <v>1616</v>
      </c>
      <c r="B60" s="1605"/>
      <c r="C60" s="239"/>
      <c r="D60" s="231">
        <f>D58*U58+D59*U59</f>
        <v>91.555248469743503</v>
      </c>
      <c r="E60" s="235"/>
      <c r="F60" s="235"/>
      <c r="G60" s="236" t="s">
        <v>1566</v>
      </c>
      <c r="H60" s="236" t="s">
        <v>1566</v>
      </c>
      <c r="I60" s="236"/>
      <c r="J60" s="236"/>
      <c r="K60" s="236"/>
      <c r="L60" s="236"/>
      <c r="M60" s="236"/>
      <c r="N60" s="236"/>
      <c r="O60" s="236"/>
      <c r="P60" s="236"/>
      <c r="Q60" s="236"/>
      <c r="R60" s="236"/>
      <c r="S60" s="233" t="s">
        <v>1566</v>
      </c>
      <c r="T60" s="236" t="s">
        <v>1566</v>
      </c>
      <c r="U60" s="233">
        <v>1</v>
      </c>
    </row>
    <row r="62" spans="1:21">
      <c r="A62" s="1611" t="s">
        <v>1623</v>
      </c>
      <c r="B62" s="1611"/>
      <c r="D62" s="292">
        <f>D80</f>
        <v>0.53055555555555556</v>
      </c>
    </row>
    <row r="63" spans="1:21" ht="16.149999999999999" customHeight="1" outlineLevel="1">
      <c r="A63" s="1617" t="s">
        <v>1596</v>
      </c>
      <c r="B63" s="1617"/>
      <c r="C63" s="1614" t="s">
        <v>2373</v>
      </c>
      <c r="D63" s="1615" t="s">
        <v>1597</v>
      </c>
      <c r="E63" s="1616" t="s">
        <v>1598</v>
      </c>
      <c r="F63" s="1616" t="s">
        <v>1599</v>
      </c>
      <c r="G63" s="1610" t="s">
        <v>1600</v>
      </c>
      <c r="H63" s="1610"/>
      <c r="I63" s="256"/>
      <c r="J63" s="256"/>
      <c r="K63" s="256"/>
      <c r="L63" s="256"/>
      <c r="M63" s="256"/>
      <c r="N63" s="256"/>
      <c r="O63" s="256"/>
      <c r="P63" s="256"/>
      <c r="Q63" s="256"/>
      <c r="R63" s="256"/>
      <c r="S63" s="1610" t="s">
        <v>1601</v>
      </c>
      <c r="T63" s="1610" t="s">
        <v>1602</v>
      </c>
      <c r="U63" s="1610" t="s">
        <v>1603</v>
      </c>
    </row>
    <row r="64" spans="1:21" ht="15" customHeight="1" outlineLevel="1">
      <c r="A64" s="1618"/>
      <c r="B64" s="1618"/>
      <c r="C64" s="1614"/>
      <c r="D64" s="1610"/>
      <c r="E64" s="1616"/>
      <c r="F64" s="1616"/>
      <c r="G64" s="256" t="s">
        <v>1604</v>
      </c>
      <c r="H64" s="256" t="s">
        <v>1605</v>
      </c>
      <c r="I64" s="256" t="s">
        <v>1606</v>
      </c>
      <c r="J64" s="256" t="s">
        <v>1607</v>
      </c>
      <c r="K64" s="256" t="s">
        <v>1608</v>
      </c>
      <c r="L64" s="256" t="s">
        <v>1609</v>
      </c>
      <c r="M64" s="256" t="s">
        <v>1610</v>
      </c>
      <c r="N64" s="256" t="s">
        <v>1611</v>
      </c>
      <c r="O64" s="256" t="s">
        <v>1612</v>
      </c>
      <c r="P64" s="256" t="s">
        <v>1613</v>
      </c>
      <c r="Q64" s="256" t="s">
        <v>1614</v>
      </c>
      <c r="R64" s="256" t="s">
        <v>1615</v>
      </c>
      <c r="S64" s="1610"/>
      <c r="T64" s="1610"/>
      <c r="U64" s="1610"/>
    </row>
    <row r="65" spans="1:21" ht="16.5" outlineLevel="1">
      <c r="A65" s="1612" t="s">
        <v>1558</v>
      </c>
      <c r="B65" s="257" t="s">
        <v>1559</v>
      </c>
      <c r="C65" s="240" t="s">
        <v>2375</v>
      </c>
      <c r="D65" s="252">
        <f>E65*G65+F65*H65</f>
        <v>2.0999999999999996</v>
      </c>
      <c r="E65" s="252">
        <f>'OR02-销售承保'!R42</f>
        <v>0</v>
      </c>
      <c r="F65" s="252">
        <f>AVERAGE(I65:R65)</f>
        <v>3</v>
      </c>
      <c r="G65" s="254">
        <v>0.3</v>
      </c>
      <c r="H65" s="254">
        <v>0.7</v>
      </c>
      <c r="I65" s="253">
        <f>'OR04-分公司销售、承保、保全'!W81</f>
        <v>10</v>
      </c>
      <c r="J65" s="253">
        <f>'OR04-分公司销售、承保、保全'!AC81</f>
        <v>0</v>
      </c>
      <c r="K65" s="253">
        <f>'OR04-分公司销售、承保、保全'!AI81</f>
        <v>0</v>
      </c>
      <c r="L65" s="253">
        <f>'OR04-分公司销售、承保、保全'!AO81</f>
        <v>0</v>
      </c>
      <c r="M65" s="253">
        <f>'OR04-分公司销售、承保、保全'!AU81</f>
        <v>0</v>
      </c>
      <c r="N65" s="253">
        <f>'OR04-分公司销售、承保、保全'!BA81</f>
        <v>0</v>
      </c>
      <c r="O65" s="253">
        <f>'OR04-分公司销售、承保、保全'!BG81</f>
        <v>10</v>
      </c>
      <c r="P65" s="253">
        <f>'OR04-分公司销售、承保、保全'!BM81</f>
        <v>0</v>
      </c>
      <c r="Q65" s="253">
        <f>'OR04-分公司销售、承保、保全'!BS81</f>
        <v>10</v>
      </c>
      <c r="R65" s="253">
        <f>'OR04-分公司销售、承保、保全'!BY81</f>
        <v>0</v>
      </c>
      <c r="S65" s="255" t="s">
        <v>1560</v>
      </c>
      <c r="T65" s="255" t="s">
        <v>1561</v>
      </c>
      <c r="U65" s="255" t="s">
        <v>1562</v>
      </c>
    </row>
    <row r="66" spans="1:21" ht="16.5" outlineLevel="1">
      <c r="A66" s="1612"/>
      <c r="B66" s="258" t="s">
        <v>1563</v>
      </c>
      <c r="C66" s="239" t="s">
        <v>2375</v>
      </c>
      <c r="D66" s="231">
        <f>E66*G66+F66*H66</f>
        <v>7</v>
      </c>
      <c r="E66" s="231">
        <f>'OR06-理赔保全'!M26</f>
        <v>0</v>
      </c>
      <c r="F66" s="231">
        <f>AVERAGE(I66:R66)</f>
        <v>10</v>
      </c>
      <c r="G66" s="233">
        <v>0.3</v>
      </c>
      <c r="H66" s="233">
        <v>0.7</v>
      </c>
      <c r="I66" s="232">
        <f>'OR08-分公司理赔'!W46</f>
        <v>10</v>
      </c>
      <c r="J66" s="232">
        <f>'OR08-分公司理赔'!AC46</f>
        <v>10</v>
      </c>
      <c r="K66" s="232">
        <f>'OR08-分公司理赔'!AI46</f>
        <v>10</v>
      </c>
      <c r="L66" s="232">
        <f>'OR08-分公司理赔'!AO46</f>
        <v>10</v>
      </c>
      <c r="M66" s="232">
        <f>'OR08-分公司理赔'!AU46</f>
        <v>10</v>
      </c>
      <c r="N66" s="232">
        <f>'OR08-分公司理赔'!BA46</f>
        <v>10</v>
      </c>
      <c r="O66" s="232">
        <f>'OR08-分公司理赔'!BG46</f>
        <v>10</v>
      </c>
      <c r="P66" s="232">
        <f>'OR08-分公司理赔'!BM46</f>
        <v>10</v>
      </c>
      <c r="Q66" s="232">
        <f>'OR08-分公司理赔'!BM46</f>
        <v>10</v>
      </c>
      <c r="R66" s="232">
        <f>'OR08-分公司理赔'!BY46</f>
        <v>10</v>
      </c>
      <c r="S66" s="234" t="s">
        <v>1560</v>
      </c>
      <c r="T66" s="234" t="s">
        <v>1561</v>
      </c>
      <c r="U66" s="234" t="s">
        <v>1562</v>
      </c>
    </row>
    <row r="67" spans="1:21" ht="16.5" outlineLevel="1">
      <c r="A67" s="1612"/>
      <c r="B67" s="258" t="s">
        <v>1564</v>
      </c>
      <c r="C67" s="240" t="s">
        <v>2374</v>
      </c>
      <c r="D67" s="231">
        <f>E67*G67+F67*H67</f>
        <v>10</v>
      </c>
      <c r="E67" s="231">
        <f>'OR12-财务管理'!P45</f>
        <v>10</v>
      </c>
      <c r="F67" s="231">
        <f>AVERAGE(I67:R67)</f>
        <v>10</v>
      </c>
      <c r="G67" s="233">
        <v>0.6</v>
      </c>
      <c r="H67" s="233">
        <v>0.4</v>
      </c>
      <c r="I67" s="232">
        <f>'OR13-分公司财务管理'!W62</f>
        <v>10</v>
      </c>
      <c r="J67" s="232">
        <f>'OR13-分公司财务管理'!AC62</f>
        <v>10</v>
      </c>
      <c r="K67" s="232">
        <f>'OR13-分公司财务管理'!AI62</f>
        <v>10</v>
      </c>
      <c r="L67" s="232">
        <f>'OR13-分公司财务管理'!AO62</f>
        <v>10</v>
      </c>
      <c r="M67" s="232">
        <f>'OR13-分公司财务管理'!AU62</f>
        <v>10</v>
      </c>
      <c r="N67" s="232">
        <f>'OR13-分公司财务管理'!BA62</f>
        <v>10</v>
      </c>
      <c r="O67" s="232">
        <f>'OR13-分公司财务管理'!BG62</f>
        <v>10</v>
      </c>
      <c r="P67" s="232">
        <f>'OR13-分公司财务管理'!BM62</f>
        <v>10</v>
      </c>
      <c r="Q67" s="232">
        <f>'OR13-分公司财务管理'!BS62</f>
        <v>10</v>
      </c>
      <c r="R67" s="232">
        <f>'OR13-分公司财务管理'!BY62</f>
        <v>10</v>
      </c>
      <c r="S67" s="234" t="s">
        <v>1560</v>
      </c>
      <c r="T67" s="234" t="s">
        <v>1561</v>
      </c>
      <c r="U67" s="234" t="s">
        <v>1562</v>
      </c>
    </row>
    <row r="68" spans="1:21" ht="16.5" outlineLevel="1">
      <c r="A68" s="1612"/>
      <c r="B68" s="258" t="s">
        <v>1565</v>
      </c>
      <c r="C68" s="239" t="s">
        <v>2374</v>
      </c>
      <c r="D68" s="231">
        <f t="shared" ref="D68:D73" si="9">E68</f>
        <v>0</v>
      </c>
      <c r="E68" s="235"/>
      <c r="F68" s="235"/>
      <c r="G68" s="233">
        <v>1</v>
      </c>
      <c r="H68" s="236" t="s">
        <v>1566</v>
      </c>
      <c r="I68" s="236"/>
      <c r="J68" s="236"/>
      <c r="K68" s="236"/>
      <c r="L68" s="236"/>
      <c r="M68" s="236"/>
      <c r="N68" s="236"/>
      <c r="O68" s="236"/>
      <c r="P68" s="236"/>
      <c r="Q68" s="236"/>
      <c r="R68" s="236"/>
      <c r="S68" s="234" t="s">
        <v>1560</v>
      </c>
      <c r="T68" s="234" t="s">
        <v>1561</v>
      </c>
      <c r="U68" s="234" t="s">
        <v>1562</v>
      </c>
    </row>
    <row r="69" spans="1:21" ht="16.5" outlineLevel="1">
      <c r="A69" s="1612"/>
      <c r="B69" s="258" t="s">
        <v>1567</v>
      </c>
      <c r="C69" s="240" t="s">
        <v>2374</v>
      </c>
      <c r="D69" s="323" t="str">
        <f>E69</f>
        <v>监管</v>
      </c>
      <c r="E69" s="323" t="s">
        <v>2004</v>
      </c>
      <c r="F69" s="235"/>
      <c r="G69" s="233">
        <v>1</v>
      </c>
      <c r="H69" s="236" t="s">
        <v>1566</v>
      </c>
      <c r="I69" s="236"/>
      <c r="J69" s="236"/>
      <c r="K69" s="236"/>
      <c r="L69" s="236"/>
      <c r="M69" s="236"/>
      <c r="N69" s="236"/>
      <c r="O69" s="236"/>
      <c r="P69" s="236"/>
      <c r="Q69" s="236"/>
      <c r="R69" s="236"/>
      <c r="S69" s="234" t="s">
        <v>1560</v>
      </c>
      <c r="T69" s="234" t="s">
        <v>1561</v>
      </c>
      <c r="U69" s="234" t="s">
        <v>1562</v>
      </c>
    </row>
    <row r="70" spans="1:21" ht="16.5" outlineLevel="1">
      <c r="A70" s="1612"/>
      <c r="B70" s="258" t="s">
        <v>1568</v>
      </c>
      <c r="C70" s="239" t="s">
        <v>2374</v>
      </c>
      <c r="D70" s="231">
        <f t="shared" si="9"/>
        <v>0</v>
      </c>
      <c r="E70" s="235"/>
      <c r="F70" s="235"/>
      <c r="G70" s="233">
        <v>1</v>
      </c>
      <c r="H70" s="236" t="s">
        <v>1566</v>
      </c>
      <c r="I70" s="236"/>
      <c r="J70" s="236"/>
      <c r="K70" s="236"/>
      <c r="L70" s="236"/>
      <c r="M70" s="236"/>
      <c r="N70" s="236"/>
      <c r="O70" s="236"/>
      <c r="P70" s="236"/>
      <c r="Q70" s="236"/>
      <c r="R70" s="236"/>
      <c r="S70" s="234" t="s">
        <v>1560</v>
      </c>
      <c r="T70" s="234" t="s">
        <v>1561</v>
      </c>
      <c r="U70" s="234" t="s">
        <v>1562</v>
      </c>
    </row>
    <row r="71" spans="1:21" ht="16.5" outlineLevel="1">
      <c r="A71" s="1612"/>
      <c r="B71" s="258" t="s">
        <v>1569</v>
      </c>
      <c r="C71" s="240" t="s">
        <v>2374</v>
      </c>
      <c r="D71" s="231">
        <f t="shared" si="9"/>
        <v>0</v>
      </c>
      <c r="E71" s="231">
        <f>'OR15-准备金再保险'!M22</f>
        <v>0</v>
      </c>
      <c r="F71" s="235"/>
      <c r="G71" s="233">
        <v>1</v>
      </c>
      <c r="H71" s="236" t="s">
        <v>1566</v>
      </c>
      <c r="I71" s="236"/>
      <c r="J71" s="236"/>
      <c r="K71" s="236"/>
      <c r="L71" s="236"/>
      <c r="M71" s="236"/>
      <c r="N71" s="236"/>
      <c r="O71" s="236"/>
      <c r="P71" s="236"/>
      <c r="Q71" s="236"/>
      <c r="R71" s="236"/>
      <c r="S71" s="259" t="s">
        <v>1570</v>
      </c>
      <c r="T71" s="234" t="s">
        <v>1560</v>
      </c>
      <c r="U71" s="234" t="s">
        <v>1561</v>
      </c>
    </row>
    <row r="72" spans="1:21" ht="16.5" outlineLevel="1">
      <c r="A72" s="1612"/>
      <c r="B72" s="258" t="s">
        <v>1571</v>
      </c>
      <c r="C72" s="239" t="s">
        <v>2374</v>
      </c>
      <c r="D72" s="231">
        <f t="shared" si="9"/>
        <v>0</v>
      </c>
      <c r="E72" s="235"/>
      <c r="F72" s="235"/>
      <c r="G72" s="233">
        <v>1</v>
      </c>
      <c r="H72" s="236" t="s">
        <v>1566</v>
      </c>
      <c r="I72" s="236"/>
      <c r="J72" s="236"/>
      <c r="K72" s="236"/>
      <c r="L72" s="236"/>
      <c r="M72" s="236"/>
      <c r="N72" s="236"/>
      <c r="O72" s="236"/>
      <c r="P72" s="236"/>
      <c r="Q72" s="236"/>
      <c r="R72" s="236"/>
      <c r="S72" s="234" t="s">
        <v>1560</v>
      </c>
      <c r="T72" s="234" t="s">
        <v>1561</v>
      </c>
      <c r="U72" s="234" t="s">
        <v>1562</v>
      </c>
    </row>
    <row r="73" spans="1:21" ht="16.5" outlineLevel="1">
      <c r="A73" s="1612"/>
      <c r="B73" s="258" t="s">
        <v>1572</v>
      </c>
      <c r="C73" s="240" t="s">
        <v>2374</v>
      </c>
      <c r="D73" s="231">
        <f t="shared" si="9"/>
        <v>0</v>
      </c>
      <c r="E73" s="231">
        <f>案件管理!J25</f>
        <v>0</v>
      </c>
      <c r="F73" s="235"/>
      <c r="G73" s="233">
        <v>1</v>
      </c>
      <c r="H73" s="236" t="s">
        <v>1566</v>
      </c>
      <c r="I73" s="236"/>
      <c r="J73" s="236"/>
      <c r="K73" s="236"/>
      <c r="L73" s="236"/>
      <c r="M73" s="236"/>
      <c r="N73" s="236"/>
      <c r="O73" s="236"/>
      <c r="P73" s="236"/>
      <c r="Q73" s="236"/>
      <c r="R73" s="236"/>
      <c r="S73" s="234" t="s">
        <v>1560</v>
      </c>
      <c r="T73" s="234" t="s">
        <v>1561</v>
      </c>
      <c r="U73" s="234" t="s">
        <v>1562</v>
      </c>
    </row>
    <row r="74" spans="1:21" ht="16.5" outlineLevel="1">
      <c r="A74" s="1613"/>
      <c r="B74" s="260" t="s">
        <v>1621</v>
      </c>
      <c r="C74" s="239" t="s">
        <v>1992</v>
      </c>
      <c r="D74" s="231">
        <f>(SUM(D65:D73)+D71)/9</f>
        <v>2.1222222222222222</v>
      </c>
      <c r="E74" s="235"/>
      <c r="F74" s="235"/>
      <c r="G74" s="233">
        <v>1</v>
      </c>
      <c r="H74" s="236" t="s">
        <v>1566</v>
      </c>
      <c r="I74" s="236"/>
      <c r="J74" s="236"/>
      <c r="K74" s="236"/>
      <c r="L74" s="236"/>
      <c r="M74" s="236"/>
      <c r="N74" s="236"/>
      <c r="O74" s="236"/>
      <c r="P74" s="236"/>
      <c r="Q74" s="236"/>
      <c r="R74" s="236"/>
      <c r="S74" s="234" t="s">
        <v>1575</v>
      </c>
      <c r="T74" s="233">
        <v>0.5</v>
      </c>
      <c r="U74" s="233">
        <v>0.25</v>
      </c>
    </row>
    <row r="75" spans="1:21" ht="16.5" outlineLevel="1">
      <c r="A75" s="1607" t="s">
        <v>1576</v>
      </c>
      <c r="B75" s="1608"/>
      <c r="C75" s="239" t="s">
        <v>1992</v>
      </c>
      <c r="D75" s="231">
        <v>0</v>
      </c>
      <c r="E75" s="235"/>
      <c r="F75" s="235"/>
      <c r="G75" s="233">
        <v>1</v>
      </c>
      <c r="H75" s="236" t="s">
        <v>1566</v>
      </c>
      <c r="I75" s="236"/>
      <c r="J75" s="236"/>
      <c r="K75" s="236"/>
      <c r="L75" s="236"/>
      <c r="M75" s="236"/>
      <c r="N75" s="236"/>
      <c r="O75" s="236"/>
      <c r="P75" s="236"/>
      <c r="Q75" s="236"/>
      <c r="R75" s="236"/>
      <c r="S75" s="233" t="s">
        <v>1566</v>
      </c>
      <c r="T75" s="233">
        <v>0.15</v>
      </c>
      <c r="U75" s="237">
        <v>7.4999999999999997E-2</v>
      </c>
    </row>
    <row r="76" spans="1:21" ht="16.5" outlineLevel="1">
      <c r="A76" s="1607" t="s">
        <v>1577</v>
      </c>
      <c r="B76" s="1608"/>
      <c r="C76" s="239" t="s">
        <v>1992</v>
      </c>
      <c r="D76" s="1298">
        <v>0</v>
      </c>
      <c r="E76" s="235"/>
      <c r="F76" s="235"/>
      <c r="G76" s="233">
        <v>1</v>
      </c>
      <c r="H76" s="233" t="s">
        <v>1566</v>
      </c>
      <c r="I76" s="233"/>
      <c r="J76" s="233"/>
      <c r="K76" s="233"/>
      <c r="L76" s="233"/>
      <c r="M76" s="233"/>
      <c r="N76" s="233"/>
      <c r="O76" s="233"/>
      <c r="P76" s="233"/>
      <c r="Q76" s="233"/>
      <c r="R76" s="233"/>
      <c r="S76" s="233" t="s">
        <v>1566</v>
      </c>
      <c r="T76" s="233">
        <v>0.1</v>
      </c>
      <c r="U76" s="233">
        <v>0.05</v>
      </c>
    </row>
    <row r="77" spans="1:21" ht="16.5" outlineLevel="1">
      <c r="A77" s="1607" t="s">
        <v>1578</v>
      </c>
      <c r="B77" s="1608"/>
      <c r="C77" s="544" t="s">
        <v>1992</v>
      </c>
      <c r="D77" s="231">
        <v>0</v>
      </c>
      <c r="E77" s="235"/>
      <c r="F77" s="235"/>
      <c r="G77" s="233">
        <v>1</v>
      </c>
      <c r="H77" s="236" t="s">
        <v>1566</v>
      </c>
      <c r="I77" s="236"/>
      <c r="J77" s="236"/>
      <c r="K77" s="236"/>
      <c r="L77" s="236"/>
      <c r="M77" s="236"/>
      <c r="N77" s="236"/>
      <c r="O77" s="236"/>
      <c r="P77" s="236"/>
      <c r="Q77" s="236"/>
      <c r="R77" s="236"/>
      <c r="S77" s="233" t="s">
        <v>1566</v>
      </c>
      <c r="T77" s="233">
        <v>0.25</v>
      </c>
      <c r="U77" s="237">
        <v>0.125</v>
      </c>
    </row>
    <row r="78" spans="1:21" ht="16.5" outlineLevel="1">
      <c r="A78" s="1605" t="s">
        <v>2377</v>
      </c>
      <c r="B78" s="1605"/>
      <c r="C78" s="544" t="s">
        <v>1992</v>
      </c>
      <c r="D78" s="231">
        <f>D74*T74+D75*T75+D76*T76+D77*T77</f>
        <v>1.0611111111111111</v>
      </c>
      <c r="E78" s="235"/>
      <c r="F78" s="235"/>
      <c r="G78" s="233">
        <v>1</v>
      </c>
      <c r="H78" s="236" t="s">
        <v>1566</v>
      </c>
      <c r="I78" s="236"/>
      <c r="J78" s="236"/>
      <c r="K78" s="236"/>
      <c r="L78" s="236"/>
      <c r="M78" s="236"/>
      <c r="N78" s="236"/>
      <c r="O78" s="236"/>
      <c r="P78" s="236"/>
      <c r="Q78" s="236"/>
      <c r="R78" s="236"/>
      <c r="S78" s="233" t="s">
        <v>1566</v>
      </c>
      <c r="T78" s="233">
        <v>1</v>
      </c>
      <c r="U78" s="233">
        <v>0.5</v>
      </c>
    </row>
    <row r="79" spans="1:21" ht="16.5" outlineLevel="1">
      <c r="A79" s="1609" t="s">
        <v>2376</v>
      </c>
      <c r="B79" s="1609"/>
      <c r="C79" s="239" t="s">
        <v>1574</v>
      </c>
      <c r="D79" s="231">
        <v>0</v>
      </c>
      <c r="E79" s="235"/>
      <c r="F79" s="235"/>
      <c r="G79" s="233">
        <v>1</v>
      </c>
      <c r="H79" s="236" t="s">
        <v>1566</v>
      </c>
      <c r="I79" s="236"/>
      <c r="J79" s="236"/>
      <c r="K79" s="236"/>
      <c r="L79" s="236"/>
      <c r="M79" s="236"/>
      <c r="N79" s="236"/>
      <c r="O79" s="236"/>
      <c r="P79" s="236"/>
      <c r="Q79" s="236"/>
      <c r="R79" s="236"/>
      <c r="S79" s="233" t="s">
        <v>1566</v>
      </c>
      <c r="T79" s="236" t="s">
        <v>1566</v>
      </c>
      <c r="U79" s="233">
        <v>0.5</v>
      </c>
    </row>
    <row r="80" spans="1:21" ht="16.5" outlineLevel="1">
      <c r="A80" s="1605" t="s">
        <v>1579</v>
      </c>
      <c r="B80" s="1605"/>
      <c r="C80" s="239"/>
      <c r="D80" s="231">
        <f>D78*U78+D79*U79</f>
        <v>0.53055555555555556</v>
      </c>
      <c r="E80" s="235"/>
      <c r="F80" s="235"/>
      <c r="G80" s="236" t="s">
        <v>1566</v>
      </c>
      <c r="H80" s="236" t="s">
        <v>1566</v>
      </c>
      <c r="I80" s="236"/>
      <c r="J80" s="236"/>
      <c r="K80" s="236"/>
      <c r="L80" s="236"/>
      <c r="M80" s="236"/>
      <c r="N80" s="236"/>
      <c r="O80" s="236"/>
      <c r="P80" s="236"/>
      <c r="Q80" s="236"/>
      <c r="R80" s="236"/>
      <c r="S80" s="233" t="s">
        <v>1566</v>
      </c>
      <c r="T80" s="236" t="s">
        <v>1566</v>
      </c>
      <c r="U80" s="233">
        <v>1</v>
      </c>
    </row>
    <row r="82" spans="1:21">
      <c r="A82" s="1611" t="s">
        <v>1624</v>
      </c>
      <c r="B82" s="1611"/>
      <c r="D82" s="292">
        <f>D100</f>
        <v>3.1944444444444446</v>
      </c>
    </row>
    <row r="83" spans="1:21" ht="16.149999999999999" customHeight="1" outlineLevel="1">
      <c r="A83" s="1617" t="s">
        <v>1596</v>
      </c>
      <c r="B83" s="1617"/>
      <c r="C83" s="1614" t="s">
        <v>2373</v>
      </c>
      <c r="D83" s="1615" t="s">
        <v>1597</v>
      </c>
      <c r="E83" s="1616" t="s">
        <v>1598</v>
      </c>
      <c r="F83" s="1616" t="s">
        <v>1599</v>
      </c>
      <c r="G83" s="1610" t="s">
        <v>1600</v>
      </c>
      <c r="H83" s="1610"/>
      <c r="I83" s="256"/>
      <c r="J83" s="256"/>
      <c r="K83" s="256"/>
      <c r="L83" s="256"/>
      <c r="M83" s="256"/>
      <c r="N83" s="256"/>
      <c r="O83" s="256"/>
      <c r="P83" s="256"/>
      <c r="Q83" s="256"/>
      <c r="R83" s="256"/>
      <c r="S83" s="1610" t="s">
        <v>1601</v>
      </c>
      <c r="T83" s="1610" t="s">
        <v>1602</v>
      </c>
      <c r="U83" s="1610" t="s">
        <v>1603</v>
      </c>
    </row>
    <row r="84" spans="1:21" ht="15" customHeight="1" outlineLevel="1">
      <c r="A84" s="1618"/>
      <c r="B84" s="1618"/>
      <c r="C84" s="1614"/>
      <c r="D84" s="1610"/>
      <c r="E84" s="1616"/>
      <c r="F84" s="1616"/>
      <c r="G84" s="256" t="s">
        <v>1604</v>
      </c>
      <c r="H84" s="256" t="s">
        <v>1605</v>
      </c>
      <c r="I84" s="256" t="s">
        <v>1606</v>
      </c>
      <c r="J84" s="256" t="s">
        <v>1607</v>
      </c>
      <c r="K84" s="256" t="s">
        <v>1608</v>
      </c>
      <c r="L84" s="256" t="s">
        <v>1609</v>
      </c>
      <c r="M84" s="256" t="s">
        <v>1610</v>
      </c>
      <c r="N84" s="256" t="s">
        <v>1611</v>
      </c>
      <c r="O84" s="256" t="s">
        <v>1612</v>
      </c>
      <c r="P84" s="256" t="s">
        <v>1613</v>
      </c>
      <c r="Q84" s="256" t="s">
        <v>1614</v>
      </c>
      <c r="R84" s="256" t="s">
        <v>1615</v>
      </c>
      <c r="S84" s="1610"/>
      <c r="T84" s="1610"/>
      <c r="U84" s="1610"/>
    </row>
    <row r="85" spans="1:21" ht="16.5" outlineLevel="1">
      <c r="A85" s="1612" t="s">
        <v>1558</v>
      </c>
      <c r="B85" s="257" t="s">
        <v>1559</v>
      </c>
      <c r="C85" s="240" t="s">
        <v>2375</v>
      </c>
      <c r="D85" s="252">
        <f>E85*G85+F85*H85</f>
        <v>19</v>
      </c>
      <c r="E85" s="252">
        <f>'OR02-销售承保'!R43</f>
        <v>47</v>
      </c>
      <c r="F85" s="252">
        <f>AVERAGE(I85:R85)</f>
        <v>7</v>
      </c>
      <c r="G85" s="254">
        <v>0.3</v>
      </c>
      <c r="H85" s="254">
        <v>0.7</v>
      </c>
      <c r="I85" s="253">
        <f>'OR04-分公司销售、承保、保全'!W82</f>
        <v>0</v>
      </c>
      <c r="J85" s="253">
        <f>'OR04-分公司销售、承保、保全'!AC82</f>
        <v>10</v>
      </c>
      <c r="K85" s="253">
        <f>'OR04-分公司销售、承保、保全'!AI82</f>
        <v>10</v>
      </c>
      <c r="L85" s="253">
        <f>'OR04-分公司销售、承保、保全'!AO82</f>
        <v>10</v>
      </c>
      <c r="M85" s="253">
        <f>'OR04-分公司销售、承保、保全'!AU82</f>
        <v>10</v>
      </c>
      <c r="N85" s="253">
        <f>'OR04-分公司销售、承保、保全'!BA82</f>
        <v>10</v>
      </c>
      <c r="O85" s="253">
        <f>'OR04-分公司销售、承保、保全'!BG82</f>
        <v>0</v>
      </c>
      <c r="P85" s="253">
        <f>'OR04-分公司销售、承保、保全'!BM82</f>
        <v>10</v>
      </c>
      <c r="Q85" s="253">
        <f>'OR04-分公司销售、承保、保全'!BS82</f>
        <v>0</v>
      </c>
      <c r="R85" s="253">
        <f>'OR04-分公司销售、承保、保全'!BY82</f>
        <v>10</v>
      </c>
      <c r="S85" s="255" t="s">
        <v>1560</v>
      </c>
      <c r="T85" s="255" t="s">
        <v>1561</v>
      </c>
      <c r="U85" s="255" t="s">
        <v>1562</v>
      </c>
    </row>
    <row r="86" spans="1:21" ht="16.5" outlineLevel="1">
      <c r="A86" s="1612"/>
      <c r="B86" s="258" t="s">
        <v>1563</v>
      </c>
      <c r="C86" s="239" t="s">
        <v>2375</v>
      </c>
      <c r="D86" s="231">
        <f>E86*G86+F86*H86</f>
        <v>23</v>
      </c>
      <c r="E86" s="231">
        <f>'OR06-理赔保全'!M27</f>
        <v>58</v>
      </c>
      <c r="F86" s="231">
        <f>AVERAGE(I86:R86)</f>
        <v>8</v>
      </c>
      <c r="G86" s="233">
        <v>0.3</v>
      </c>
      <c r="H86" s="233">
        <v>0.7</v>
      </c>
      <c r="I86" s="232">
        <f>'OR08-分公司理赔'!W47</f>
        <v>8</v>
      </c>
      <c r="J86" s="232">
        <f>'OR08-分公司理赔'!AC47</f>
        <v>8</v>
      </c>
      <c r="K86" s="232">
        <f>'OR08-分公司理赔'!AI47</f>
        <v>8</v>
      </c>
      <c r="L86" s="232">
        <f>'OR08-分公司理赔'!AO47</f>
        <v>8</v>
      </c>
      <c r="M86" s="232">
        <f>'OR08-分公司理赔'!AU47</f>
        <v>8</v>
      </c>
      <c r="N86" s="232">
        <f>'OR08-分公司理赔'!AU47</f>
        <v>8</v>
      </c>
      <c r="O86" s="232">
        <f>'OR08-分公司理赔'!BA47</f>
        <v>8</v>
      </c>
      <c r="P86" s="232">
        <f>'OR08-分公司理赔'!BM47</f>
        <v>8</v>
      </c>
      <c r="Q86" s="232">
        <f>'OR08-分公司理赔'!BS47</f>
        <v>8</v>
      </c>
      <c r="R86" s="232">
        <f>'OR08-分公司理赔'!BY47</f>
        <v>8</v>
      </c>
      <c r="S86" s="234" t="s">
        <v>1560</v>
      </c>
      <c r="T86" s="234" t="s">
        <v>1561</v>
      </c>
      <c r="U86" s="234" t="s">
        <v>1562</v>
      </c>
    </row>
    <row r="87" spans="1:21" ht="16.5" outlineLevel="1">
      <c r="A87" s="1612"/>
      <c r="B87" s="258" t="s">
        <v>1564</v>
      </c>
      <c r="C87" s="240" t="s">
        <v>2374</v>
      </c>
      <c r="D87" s="231">
        <f>E87*G87+F87*H87</f>
        <v>0</v>
      </c>
      <c r="E87" s="231">
        <f>'OR12-财务管理'!P46</f>
        <v>0</v>
      </c>
      <c r="F87" s="231">
        <f>AVERAGE(I87:R87)</f>
        <v>0</v>
      </c>
      <c r="G87" s="233">
        <v>0.6</v>
      </c>
      <c r="H87" s="233">
        <v>0.4</v>
      </c>
      <c r="I87" s="232">
        <f>'OR13-分公司财务管理'!W63</f>
        <v>0</v>
      </c>
      <c r="J87" s="232">
        <f>'OR13-分公司财务管理'!AC63</f>
        <v>0</v>
      </c>
      <c r="K87" s="232">
        <f>'OR13-分公司财务管理'!AI63</f>
        <v>0</v>
      </c>
      <c r="L87" s="232">
        <f>'OR13-分公司财务管理'!AO63</f>
        <v>0</v>
      </c>
      <c r="M87" s="232">
        <f>'OR13-分公司财务管理'!AU63</f>
        <v>0</v>
      </c>
      <c r="N87" s="232">
        <f>'OR13-分公司财务管理'!BA63</f>
        <v>0</v>
      </c>
      <c r="O87" s="232">
        <f>'OR13-分公司财务管理'!BG63</f>
        <v>0</v>
      </c>
      <c r="P87" s="232">
        <f>'OR13-分公司财务管理'!BM63</f>
        <v>0</v>
      </c>
      <c r="Q87" s="232">
        <f>'OR13-分公司财务管理'!BS63</f>
        <v>0</v>
      </c>
      <c r="R87" s="232">
        <f>'OR13-分公司财务管理'!BY63</f>
        <v>0</v>
      </c>
      <c r="S87" s="234" t="s">
        <v>1560</v>
      </c>
      <c r="T87" s="234" t="s">
        <v>1561</v>
      </c>
      <c r="U87" s="234" t="s">
        <v>1562</v>
      </c>
    </row>
    <row r="88" spans="1:21" ht="16.5" outlineLevel="1">
      <c r="A88" s="1612"/>
      <c r="B88" s="258" t="s">
        <v>1565</v>
      </c>
      <c r="C88" s="239" t="s">
        <v>2374</v>
      </c>
      <c r="D88" s="231">
        <f t="shared" ref="D88:D93" si="10">E88</f>
        <v>0</v>
      </c>
      <c r="E88" s="235"/>
      <c r="F88" s="235"/>
      <c r="G88" s="233">
        <v>1</v>
      </c>
      <c r="H88" s="236" t="s">
        <v>1566</v>
      </c>
      <c r="I88" s="236"/>
      <c r="J88" s="236"/>
      <c r="K88" s="236"/>
      <c r="L88" s="236"/>
      <c r="M88" s="236"/>
      <c r="N88" s="236"/>
      <c r="O88" s="236"/>
      <c r="P88" s="236"/>
      <c r="Q88" s="236"/>
      <c r="R88" s="236"/>
      <c r="S88" s="234" t="s">
        <v>1560</v>
      </c>
      <c r="T88" s="234" t="s">
        <v>1561</v>
      </c>
      <c r="U88" s="234" t="s">
        <v>1562</v>
      </c>
    </row>
    <row r="89" spans="1:21" ht="16.5" outlineLevel="1">
      <c r="A89" s="1612"/>
      <c r="B89" s="258" t="s">
        <v>1567</v>
      </c>
      <c r="C89" s="240" t="s">
        <v>2374</v>
      </c>
      <c r="D89" s="323" t="str">
        <f t="shared" si="10"/>
        <v>监管</v>
      </c>
      <c r="E89" s="323" t="s">
        <v>2004</v>
      </c>
      <c r="F89" s="235"/>
      <c r="G89" s="233">
        <v>1</v>
      </c>
      <c r="H89" s="236" t="s">
        <v>1566</v>
      </c>
      <c r="I89" s="236"/>
      <c r="J89" s="236"/>
      <c r="K89" s="236"/>
      <c r="L89" s="236"/>
      <c r="M89" s="236"/>
      <c r="N89" s="236"/>
      <c r="O89" s="236"/>
      <c r="P89" s="236"/>
      <c r="Q89" s="236"/>
      <c r="R89" s="236"/>
      <c r="S89" s="234" t="s">
        <v>1560</v>
      </c>
      <c r="T89" s="234" t="s">
        <v>1561</v>
      </c>
      <c r="U89" s="234" t="s">
        <v>1562</v>
      </c>
    </row>
    <row r="90" spans="1:21" ht="16.5" outlineLevel="1">
      <c r="A90" s="1612"/>
      <c r="B90" s="258" t="s">
        <v>1568</v>
      </c>
      <c r="C90" s="239" t="s">
        <v>2374</v>
      </c>
      <c r="D90" s="231">
        <f t="shared" si="10"/>
        <v>0</v>
      </c>
      <c r="E90" s="235"/>
      <c r="F90" s="235"/>
      <c r="G90" s="233">
        <v>1</v>
      </c>
      <c r="H90" s="236" t="s">
        <v>1566</v>
      </c>
      <c r="I90" s="236"/>
      <c r="J90" s="236"/>
      <c r="K90" s="236"/>
      <c r="L90" s="236"/>
      <c r="M90" s="236"/>
      <c r="N90" s="236"/>
      <c r="O90" s="236"/>
      <c r="P90" s="236"/>
      <c r="Q90" s="236"/>
      <c r="R90" s="236"/>
      <c r="S90" s="234" t="s">
        <v>1560</v>
      </c>
      <c r="T90" s="234" t="s">
        <v>1561</v>
      </c>
      <c r="U90" s="234" t="s">
        <v>1562</v>
      </c>
    </row>
    <row r="91" spans="1:21" ht="16.5" outlineLevel="1">
      <c r="A91" s="1612"/>
      <c r="B91" s="258" t="s">
        <v>1569</v>
      </c>
      <c r="C91" s="240" t="s">
        <v>2374</v>
      </c>
      <c r="D91" s="231">
        <f t="shared" si="10"/>
        <v>26</v>
      </c>
      <c r="E91" s="231">
        <f>'OR15-准备金再保险'!M23</f>
        <v>26</v>
      </c>
      <c r="F91" s="235"/>
      <c r="G91" s="233">
        <v>1</v>
      </c>
      <c r="H91" s="236" t="s">
        <v>1566</v>
      </c>
      <c r="I91" s="236"/>
      <c r="J91" s="236"/>
      <c r="K91" s="236"/>
      <c r="L91" s="236"/>
      <c r="M91" s="236"/>
      <c r="N91" s="236"/>
      <c r="O91" s="236"/>
      <c r="P91" s="236"/>
      <c r="Q91" s="236"/>
      <c r="R91" s="236"/>
      <c r="S91" s="259" t="s">
        <v>1570</v>
      </c>
      <c r="T91" s="234" t="s">
        <v>1560</v>
      </c>
      <c r="U91" s="234" t="s">
        <v>1561</v>
      </c>
    </row>
    <row r="92" spans="1:21" ht="16.5" outlineLevel="1">
      <c r="A92" s="1612"/>
      <c r="B92" s="258" t="s">
        <v>1571</v>
      </c>
      <c r="C92" s="239" t="s">
        <v>2374</v>
      </c>
      <c r="D92" s="231">
        <f t="shared" si="10"/>
        <v>0</v>
      </c>
      <c r="E92" s="235"/>
      <c r="F92" s="235"/>
      <c r="G92" s="233">
        <v>1</v>
      </c>
      <c r="H92" s="236" t="s">
        <v>1566</v>
      </c>
      <c r="I92" s="236"/>
      <c r="J92" s="236"/>
      <c r="K92" s="236"/>
      <c r="L92" s="236"/>
      <c r="M92" s="236"/>
      <c r="N92" s="236"/>
      <c r="O92" s="236"/>
      <c r="P92" s="236"/>
      <c r="Q92" s="236"/>
      <c r="R92" s="236"/>
      <c r="S92" s="234" t="s">
        <v>1560</v>
      </c>
      <c r="T92" s="234" t="s">
        <v>1561</v>
      </c>
      <c r="U92" s="234" t="s">
        <v>1562</v>
      </c>
    </row>
    <row r="93" spans="1:21" ht="16.5" outlineLevel="1">
      <c r="A93" s="1612"/>
      <c r="B93" s="258" t="s">
        <v>1572</v>
      </c>
      <c r="C93" s="240" t="s">
        <v>2374</v>
      </c>
      <c r="D93" s="231">
        <f t="shared" si="10"/>
        <v>21</v>
      </c>
      <c r="E93" s="231">
        <f>案件管理!J26</f>
        <v>21</v>
      </c>
      <c r="F93" s="235"/>
      <c r="G93" s="233">
        <v>1</v>
      </c>
      <c r="H93" s="236" t="s">
        <v>1566</v>
      </c>
      <c r="I93" s="236"/>
      <c r="J93" s="236"/>
      <c r="K93" s="236"/>
      <c r="L93" s="236"/>
      <c r="M93" s="236"/>
      <c r="N93" s="236"/>
      <c r="O93" s="236"/>
      <c r="P93" s="236"/>
      <c r="Q93" s="236"/>
      <c r="R93" s="236"/>
      <c r="S93" s="234" t="s">
        <v>1560</v>
      </c>
      <c r="T93" s="234" t="s">
        <v>1561</v>
      </c>
      <c r="U93" s="234" t="s">
        <v>1562</v>
      </c>
    </row>
    <row r="94" spans="1:21" ht="16.5" outlineLevel="1">
      <c r="A94" s="1613"/>
      <c r="B94" s="260" t="s">
        <v>1621</v>
      </c>
      <c r="C94" s="239" t="s">
        <v>1992</v>
      </c>
      <c r="D94" s="231">
        <f>(SUM(D85:D93)+D91)/9</f>
        <v>12.777777777777779</v>
      </c>
      <c r="E94" s="235"/>
      <c r="F94" s="235"/>
      <c r="G94" s="233">
        <v>1</v>
      </c>
      <c r="H94" s="236" t="s">
        <v>1566</v>
      </c>
      <c r="I94" s="236"/>
      <c r="J94" s="236"/>
      <c r="K94" s="236"/>
      <c r="L94" s="236"/>
      <c r="M94" s="236"/>
      <c r="N94" s="236"/>
      <c r="O94" s="236"/>
      <c r="P94" s="236"/>
      <c r="Q94" s="236"/>
      <c r="R94" s="236"/>
      <c r="S94" s="234" t="s">
        <v>1575</v>
      </c>
      <c r="T94" s="233">
        <v>0.5</v>
      </c>
      <c r="U94" s="233">
        <v>0.25</v>
      </c>
    </row>
    <row r="95" spans="1:21" ht="16.5" outlineLevel="1">
      <c r="A95" s="1607" t="s">
        <v>1576</v>
      </c>
      <c r="B95" s="1608"/>
      <c r="C95" s="239" t="s">
        <v>1992</v>
      </c>
      <c r="D95" s="231">
        <v>0</v>
      </c>
      <c r="E95" s="235"/>
      <c r="F95" s="235"/>
      <c r="G95" s="233">
        <v>1</v>
      </c>
      <c r="H95" s="236" t="s">
        <v>1566</v>
      </c>
      <c r="I95" s="236"/>
      <c r="J95" s="236"/>
      <c r="K95" s="236"/>
      <c r="L95" s="236"/>
      <c r="M95" s="236"/>
      <c r="N95" s="236"/>
      <c r="O95" s="236"/>
      <c r="P95" s="236"/>
      <c r="Q95" s="236"/>
      <c r="R95" s="236"/>
      <c r="S95" s="233" t="s">
        <v>1566</v>
      </c>
      <c r="T95" s="233">
        <v>0.15</v>
      </c>
      <c r="U95" s="237">
        <v>7.4999999999999997E-2</v>
      </c>
    </row>
    <row r="96" spans="1:21" ht="16.5" outlineLevel="1">
      <c r="A96" s="1607" t="s">
        <v>1577</v>
      </c>
      <c r="B96" s="1608"/>
      <c r="C96" s="239" t="s">
        <v>1992</v>
      </c>
      <c r="D96" s="1298">
        <v>0</v>
      </c>
      <c r="E96" s="235"/>
      <c r="F96" s="235"/>
      <c r="G96" s="233">
        <v>1</v>
      </c>
      <c r="H96" s="233" t="s">
        <v>1566</v>
      </c>
      <c r="I96" s="233"/>
      <c r="J96" s="233"/>
      <c r="K96" s="233"/>
      <c r="L96" s="233"/>
      <c r="M96" s="233"/>
      <c r="N96" s="233"/>
      <c r="O96" s="233"/>
      <c r="P96" s="233"/>
      <c r="Q96" s="233"/>
      <c r="R96" s="233"/>
      <c r="S96" s="233" t="s">
        <v>1566</v>
      </c>
      <c r="T96" s="233">
        <v>0.1</v>
      </c>
      <c r="U96" s="233">
        <v>0.05</v>
      </c>
    </row>
    <row r="97" spans="1:21" ht="16.5" outlineLevel="1">
      <c r="A97" s="1607" t="s">
        <v>1578</v>
      </c>
      <c r="B97" s="1608"/>
      <c r="C97" s="544" t="s">
        <v>1992</v>
      </c>
      <c r="D97" s="231">
        <v>0</v>
      </c>
      <c r="E97" s="235"/>
      <c r="F97" s="235"/>
      <c r="G97" s="233">
        <v>1</v>
      </c>
      <c r="H97" s="236" t="s">
        <v>1566</v>
      </c>
      <c r="I97" s="236"/>
      <c r="J97" s="236"/>
      <c r="K97" s="236"/>
      <c r="L97" s="236"/>
      <c r="M97" s="236"/>
      <c r="N97" s="236"/>
      <c r="O97" s="236"/>
      <c r="P97" s="236"/>
      <c r="Q97" s="236"/>
      <c r="R97" s="236"/>
      <c r="S97" s="233" t="s">
        <v>1566</v>
      </c>
      <c r="T97" s="233">
        <v>0.25</v>
      </c>
      <c r="U97" s="237">
        <v>0.125</v>
      </c>
    </row>
    <row r="98" spans="1:21" ht="16.5" outlineLevel="1">
      <c r="A98" s="1605" t="s">
        <v>2377</v>
      </c>
      <c r="B98" s="1605"/>
      <c r="C98" s="544" t="s">
        <v>1992</v>
      </c>
      <c r="D98" s="231">
        <f>D94*T94+D95*T95+D96*T96+D97*T97</f>
        <v>6.3888888888888893</v>
      </c>
      <c r="E98" s="235"/>
      <c r="F98" s="235"/>
      <c r="G98" s="233">
        <v>1</v>
      </c>
      <c r="H98" s="236" t="s">
        <v>1566</v>
      </c>
      <c r="I98" s="236"/>
      <c r="J98" s="236"/>
      <c r="K98" s="236"/>
      <c r="L98" s="236"/>
      <c r="M98" s="236"/>
      <c r="N98" s="236"/>
      <c r="O98" s="236"/>
      <c r="P98" s="236"/>
      <c r="Q98" s="236"/>
      <c r="R98" s="236"/>
      <c r="S98" s="233" t="s">
        <v>1566</v>
      </c>
      <c r="T98" s="233">
        <v>1</v>
      </c>
      <c r="U98" s="233">
        <v>0.5</v>
      </c>
    </row>
    <row r="99" spans="1:21" ht="16.5" outlineLevel="1">
      <c r="A99" s="1609" t="s">
        <v>2376</v>
      </c>
      <c r="B99" s="1609"/>
      <c r="C99" s="239" t="s">
        <v>1574</v>
      </c>
      <c r="D99" s="231">
        <v>0</v>
      </c>
      <c r="E99" s="235"/>
      <c r="F99" s="235"/>
      <c r="G99" s="233">
        <v>1</v>
      </c>
      <c r="H99" s="236" t="s">
        <v>1566</v>
      </c>
      <c r="I99" s="236"/>
      <c r="J99" s="236"/>
      <c r="K99" s="236"/>
      <c r="L99" s="236"/>
      <c r="M99" s="236"/>
      <c r="N99" s="236"/>
      <c r="O99" s="236"/>
      <c r="P99" s="236"/>
      <c r="Q99" s="236"/>
      <c r="R99" s="236"/>
      <c r="S99" s="233" t="s">
        <v>1566</v>
      </c>
      <c r="T99" s="236" t="s">
        <v>1566</v>
      </c>
      <c r="U99" s="233">
        <v>0.5</v>
      </c>
    </row>
    <row r="100" spans="1:21" ht="16.5" outlineLevel="1">
      <c r="A100" s="1605" t="s">
        <v>1579</v>
      </c>
      <c r="B100" s="1605"/>
      <c r="C100" s="239"/>
      <c r="D100" s="231">
        <f>D98*U98+D99*U99</f>
        <v>3.1944444444444446</v>
      </c>
      <c r="E100" s="235"/>
      <c r="F100" s="235"/>
      <c r="G100" s="236" t="s">
        <v>1566</v>
      </c>
      <c r="H100" s="236" t="s">
        <v>1566</v>
      </c>
      <c r="I100" s="236"/>
      <c r="J100" s="236"/>
      <c r="K100" s="236"/>
      <c r="L100" s="236"/>
      <c r="M100" s="236"/>
      <c r="N100" s="236"/>
      <c r="O100" s="236"/>
      <c r="P100" s="236"/>
      <c r="Q100" s="236"/>
      <c r="R100" s="236"/>
      <c r="S100" s="233" t="s">
        <v>1566</v>
      </c>
      <c r="T100" s="236" t="s">
        <v>1566</v>
      </c>
      <c r="U100" s="233">
        <v>1</v>
      </c>
    </row>
    <row r="102" spans="1:21">
      <c r="A102" s="1611" t="s">
        <v>1625</v>
      </c>
      <c r="B102" s="1611"/>
      <c r="D102" s="292">
        <f>D120</f>
        <v>1.7472222222222222</v>
      </c>
    </row>
    <row r="103" spans="1:21" ht="16.149999999999999" customHeight="1" outlineLevel="1">
      <c r="A103" s="1617" t="s">
        <v>1596</v>
      </c>
      <c r="B103" s="1617"/>
      <c r="C103" s="1614" t="s">
        <v>2373</v>
      </c>
      <c r="D103" s="1615" t="s">
        <v>1597</v>
      </c>
      <c r="E103" s="1616" t="s">
        <v>1598</v>
      </c>
      <c r="F103" s="1616" t="s">
        <v>1599</v>
      </c>
      <c r="G103" s="1610" t="s">
        <v>1600</v>
      </c>
      <c r="H103" s="1610"/>
      <c r="I103" s="256"/>
      <c r="J103" s="256"/>
      <c r="K103" s="256"/>
      <c r="L103" s="256"/>
      <c r="M103" s="256"/>
      <c r="N103" s="256"/>
      <c r="O103" s="256"/>
      <c r="P103" s="256"/>
      <c r="Q103" s="256"/>
      <c r="R103" s="256"/>
      <c r="S103" s="1610" t="s">
        <v>1601</v>
      </c>
      <c r="T103" s="1610" t="s">
        <v>1602</v>
      </c>
      <c r="U103" s="1610" t="s">
        <v>1603</v>
      </c>
    </row>
    <row r="104" spans="1:21" ht="15" customHeight="1" outlineLevel="1">
      <c r="A104" s="1618"/>
      <c r="B104" s="1618"/>
      <c r="C104" s="1614"/>
      <c r="D104" s="1610"/>
      <c r="E104" s="1616"/>
      <c r="F104" s="1616"/>
      <c r="G104" s="256" t="s">
        <v>1604</v>
      </c>
      <c r="H104" s="256" t="s">
        <v>1605</v>
      </c>
      <c r="I104" s="256" t="s">
        <v>1606</v>
      </c>
      <c r="J104" s="256" t="s">
        <v>1607</v>
      </c>
      <c r="K104" s="256" t="s">
        <v>1608</v>
      </c>
      <c r="L104" s="256" t="s">
        <v>1609</v>
      </c>
      <c r="M104" s="256" t="s">
        <v>1610</v>
      </c>
      <c r="N104" s="256" t="s">
        <v>1611</v>
      </c>
      <c r="O104" s="256" t="s">
        <v>1612</v>
      </c>
      <c r="P104" s="256" t="s">
        <v>1613</v>
      </c>
      <c r="Q104" s="256" t="s">
        <v>1614</v>
      </c>
      <c r="R104" s="256" t="s">
        <v>1615</v>
      </c>
      <c r="S104" s="1610"/>
      <c r="T104" s="1610"/>
      <c r="U104" s="1610"/>
    </row>
    <row r="105" spans="1:21" ht="16.5" outlineLevel="1">
      <c r="A105" s="1612" t="s">
        <v>1558</v>
      </c>
      <c r="B105" s="257" t="s">
        <v>1559</v>
      </c>
      <c r="C105" s="240" t="s">
        <v>2375</v>
      </c>
      <c r="D105" s="252">
        <f>E105*G105+F105*H105</f>
        <v>7.9</v>
      </c>
      <c r="E105" s="252">
        <v>3</v>
      </c>
      <c r="F105" s="252">
        <f>AVERAGE(I105:R105)</f>
        <v>10</v>
      </c>
      <c r="G105" s="254">
        <v>0.3</v>
      </c>
      <c r="H105" s="254">
        <v>0.7</v>
      </c>
      <c r="I105" s="253">
        <v>10</v>
      </c>
      <c r="J105" s="253">
        <v>10</v>
      </c>
      <c r="K105" s="253">
        <v>10</v>
      </c>
      <c r="L105" s="253">
        <v>10</v>
      </c>
      <c r="M105" s="253">
        <v>10</v>
      </c>
      <c r="N105" s="253">
        <v>10</v>
      </c>
      <c r="O105" s="253">
        <v>10</v>
      </c>
      <c r="P105" s="253">
        <v>10</v>
      </c>
      <c r="Q105" s="253">
        <v>10</v>
      </c>
      <c r="R105" s="253">
        <v>10</v>
      </c>
      <c r="S105" s="255" t="s">
        <v>1626</v>
      </c>
      <c r="T105" s="255" t="s">
        <v>1627</v>
      </c>
      <c r="U105" s="255" t="s">
        <v>1628</v>
      </c>
    </row>
    <row r="106" spans="1:21" ht="16.5" outlineLevel="1">
      <c r="A106" s="1612"/>
      <c r="B106" s="258" t="s">
        <v>1563</v>
      </c>
      <c r="C106" s="239" t="s">
        <v>2375</v>
      </c>
      <c r="D106" s="231">
        <f>E106*G106+F106*H106</f>
        <v>7</v>
      </c>
      <c r="E106" s="235"/>
      <c r="F106" s="231">
        <f>AVERAGE(I106:R106)</f>
        <v>10</v>
      </c>
      <c r="G106" s="233">
        <v>0.3</v>
      </c>
      <c r="H106" s="233">
        <v>0.7</v>
      </c>
      <c r="I106" s="232">
        <v>10</v>
      </c>
      <c r="J106" s="232">
        <v>10</v>
      </c>
      <c r="K106" s="232">
        <v>10</v>
      </c>
      <c r="L106" s="232">
        <v>10</v>
      </c>
      <c r="M106" s="232">
        <v>10</v>
      </c>
      <c r="N106" s="232">
        <v>10</v>
      </c>
      <c r="O106" s="232">
        <v>10</v>
      </c>
      <c r="P106" s="232">
        <v>10</v>
      </c>
      <c r="Q106" s="232">
        <v>10</v>
      </c>
      <c r="R106" s="232">
        <v>10</v>
      </c>
      <c r="S106" s="234" t="s">
        <v>1626</v>
      </c>
      <c r="T106" s="234" t="s">
        <v>1627</v>
      </c>
      <c r="U106" s="234" t="s">
        <v>1628</v>
      </c>
    </row>
    <row r="107" spans="1:21" ht="16.5" outlineLevel="1">
      <c r="A107" s="1612"/>
      <c r="B107" s="258" t="s">
        <v>1564</v>
      </c>
      <c r="C107" s="240" t="s">
        <v>2374</v>
      </c>
      <c r="D107" s="231">
        <f>E107*G107+F107*H107</f>
        <v>10</v>
      </c>
      <c r="E107" s="231">
        <v>10</v>
      </c>
      <c r="F107" s="231">
        <f>AVERAGE(I107:R107)</f>
        <v>10</v>
      </c>
      <c r="G107" s="233">
        <v>0.6</v>
      </c>
      <c r="H107" s="233">
        <v>0.4</v>
      </c>
      <c r="I107" s="232">
        <v>10</v>
      </c>
      <c r="J107" s="232">
        <v>10</v>
      </c>
      <c r="K107" s="232">
        <v>10</v>
      </c>
      <c r="L107" s="232">
        <v>10</v>
      </c>
      <c r="M107" s="232">
        <v>10</v>
      </c>
      <c r="N107" s="232">
        <v>10</v>
      </c>
      <c r="O107" s="232">
        <v>10</v>
      </c>
      <c r="P107" s="232">
        <v>10</v>
      </c>
      <c r="Q107" s="232">
        <v>10</v>
      </c>
      <c r="R107" s="232">
        <v>10</v>
      </c>
      <c r="S107" s="234" t="s">
        <v>1626</v>
      </c>
      <c r="T107" s="234" t="s">
        <v>1627</v>
      </c>
      <c r="U107" s="234" t="s">
        <v>1628</v>
      </c>
    </row>
    <row r="108" spans="1:21" ht="16.5" outlineLevel="1">
      <c r="A108" s="1612"/>
      <c r="B108" s="258" t="s">
        <v>1565</v>
      </c>
      <c r="C108" s="239" t="s">
        <v>2374</v>
      </c>
      <c r="D108" s="231">
        <f t="shared" ref="D108:D119" si="11">E108</f>
        <v>20</v>
      </c>
      <c r="E108" s="231">
        <v>20</v>
      </c>
      <c r="F108" s="235"/>
      <c r="G108" s="233">
        <v>1</v>
      </c>
      <c r="H108" s="236" t="s">
        <v>1629</v>
      </c>
      <c r="I108" s="236"/>
      <c r="J108" s="236"/>
      <c r="K108" s="236"/>
      <c r="L108" s="236"/>
      <c r="M108" s="236"/>
      <c r="N108" s="236"/>
      <c r="O108" s="236"/>
      <c r="P108" s="236"/>
      <c r="Q108" s="236"/>
      <c r="R108" s="236"/>
      <c r="S108" s="234" t="s">
        <v>1626</v>
      </c>
      <c r="T108" s="234" t="s">
        <v>1627</v>
      </c>
      <c r="U108" s="234" t="s">
        <v>1628</v>
      </c>
    </row>
    <row r="109" spans="1:21" ht="16.5" outlineLevel="1">
      <c r="A109" s="1612"/>
      <c r="B109" s="258" t="s">
        <v>1567</v>
      </c>
      <c r="C109" s="240" t="s">
        <v>2374</v>
      </c>
      <c r="D109" s="231">
        <f>E109</f>
        <v>0</v>
      </c>
      <c r="E109" s="235"/>
      <c r="F109" s="235"/>
      <c r="G109" s="233">
        <v>1</v>
      </c>
      <c r="H109" s="236" t="s">
        <v>1629</v>
      </c>
      <c r="I109" s="236"/>
      <c r="J109" s="236"/>
      <c r="K109" s="236"/>
      <c r="L109" s="236"/>
      <c r="M109" s="236"/>
      <c r="N109" s="236"/>
      <c r="O109" s="236"/>
      <c r="P109" s="236"/>
      <c r="Q109" s="236"/>
      <c r="R109" s="236"/>
      <c r="S109" s="234" t="s">
        <v>1626</v>
      </c>
      <c r="T109" s="234" t="s">
        <v>1627</v>
      </c>
      <c r="U109" s="234" t="s">
        <v>1628</v>
      </c>
    </row>
    <row r="110" spans="1:21" ht="16.5" outlineLevel="1">
      <c r="A110" s="1612"/>
      <c r="B110" s="258" t="s">
        <v>1568</v>
      </c>
      <c r="C110" s="239" t="s">
        <v>2374</v>
      </c>
      <c r="D110" s="231">
        <f t="shared" si="11"/>
        <v>0</v>
      </c>
      <c r="E110" s="235"/>
      <c r="F110" s="235"/>
      <c r="G110" s="233">
        <v>1</v>
      </c>
      <c r="H110" s="236" t="s">
        <v>1629</v>
      </c>
      <c r="I110" s="236"/>
      <c r="J110" s="236"/>
      <c r="K110" s="236"/>
      <c r="L110" s="236"/>
      <c r="M110" s="236"/>
      <c r="N110" s="236"/>
      <c r="O110" s="236"/>
      <c r="P110" s="236"/>
      <c r="Q110" s="236"/>
      <c r="R110" s="236"/>
      <c r="S110" s="234" t="s">
        <v>1626</v>
      </c>
      <c r="T110" s="234" t="s">
        <v>1627</v>
      </c>
      <c r="U110" s="234" t="s">
        <v>1628</v>
      </c>
    </row>
    <row r="111" spans="1:21" ht="16.5" outlineLevel="1">
      <c r="A111" s="1612"/>
      <c r="B111" s="258" t="s">
        <v>1569</v>
      </c>
      <c r="C111" s="240" t="s">
        <v>2374</v>
      </c>
      <c r="D111" s="231">
        <f t="shared" si="11"/>
        <v>0</v>
      </c>
      <c r="E111" s="235"/>
      <c r="F111" s="235"/>
      <c r="G111" s="233">
        <v>1</v>
      </c>
      <c r="H111" s="236" t="s">
        <v>1629</v>
      </c>
      <c r="I111" s="236"/>
      <c r="J111" s="236"/>
      <c r="K111" s="236"/>
      <c r="L111" s="236"/>
      <c r="M111" s="236"/>
      <c r="N111" s="236"/>
      <c r="O111" s="236"/>
      <c r="P111" s="236"/>
      <c r="Q111" s="236"/>
      <c r="R111" s="236"/>
      <c r="S111" s="259" t="s">
        <v>1630</v>
      </c>
      <c r="T111" s="234" t="s">
        <v>1626</v>
      </c>
      <c r="U111" s="234" t="s">
        <v>1627</v>
      </c>
    </row>
    <row r="112" spans="1:21" ht="16.5" outlineLevel="1">
      <c r="A112" s="1612"/>
      <c r="B112" s="258" t="s">
        <v>1571</v>
      </c>
      <c r="C112" s="239" t="s">
        <v>2374</v>
      </c>
      <c r="D112" s="231">
        <f t="shared" si="11"/>
        <v>0</v>
      </c>
      <c r="E112" s="235"/>
      <c r="F112" s="235"/>
      <c r="G112" s="233">
        <v>1</v>
      </c>
      <c r="H112" s="236" t="s">
        <v>1629</v>
      </c>
      <c r="I112" s="236"/>
      <c r="J112" s="236"/>
      <c r="K112" s="236"/>
      <c r="L112" s="236"/>
      <c r="M112" s="236"/>
      <c r="N112" s="236"/>
      <c r="O112" s="236"/>
      <c r="P112" s="236"/>
      <c r="Q112" s="236"/>
      <c r="R112" s="236"/>
      <c r="S112" s="234" t="s">
        <v>1626</v>
      </c>
      <c r="T112" s="234" t="s">
        <v>1627</v>
      </c>
      <c r="U112" s="234" t="s">
        <v>1628</v>
      </c>
    </row>
    <row r="113" spans="1:21" ht="16.5" outlineLevel="1">
      <c r="A113" s="1612"/>
      <c r="B113" s="258" t="s">
        <v>1572</v>
      </c>
      <c r="C113" s="240" t="s">
        <v>2374</v>
      </c>
      <c r="D113" s="231">
        <f t="shared" si="11"/>
        <v>0</v>
      </c>
      <c r="E113" s="235"/>
      <c r="F113" s="235"/>
      <c r="G113" s="233">
        <v>1</v>
      </c>
      <c r="H113" s="236" t="s">
        <v>1629</v>
      </c>
      <c r="I113" s="236"/>
      <c r="J113" s="236"/>
      <c r="K113" s="236"/>
      <c r="L113" s="236"/>
      <c r="M113" s="236"/>
      <c r="N113" s="236"/>
      <c r="O113" s="236"/>
      <c r="P113" s="236"/>
      <c r="Q113" s="236"/>
      <c r="R113" s="236"/>
      <c r="S113" s="234" t="s">
        <v>1626</v>
      </c>
      <c r="T113" s="234" t="s">
        <v>1627</v>
      </c>
      <c r="U113" s="234" t="s">
        <v>1628</v>
      </c>
    </row>
    <row r="114" spans="1:21" ht="16.5" outlineLevel="1">
      <c r="A114" s="1613"/>
      <c r="B114" s="260" t="s">
        <v>1621</v>
      </c>
      <c r="C114" s="239" t="s">
        <v>1992</v>
      </c>
      <c r="D114" s="231">
        <f>(SUM(D105:D113)+D111)/9</f>
        <v>4.9888888888888889</v>
      </c>
      <c r="E114" s="235"/>
      <c r="F114" s="235"/>
      <c r="G114" s="233">
        <v>1</v>
      </c>
      <c r="H114" s="236" t="s">
        <v>1629</v>
      </c>
      <c r="I114" s="236"/>
      <c r="J114" s="236"/>
      <c r="K114" s="236"/>
      <c r="L114" s="236"/>
      <c r="M114" s="236"/>
      <c r="N114" s="236"/>
      <c r="O114" s="236"/>
      <c r="P114" s="236"/>
      <c r="Q114" s="236"/>
      <c r="R114" s="236"/>
      <c r="S114" s="234" t="s">
        <v>1631</v>
      </c>
      <c r="T114" s="233">
        <v>0.5</v>
      </c>
      <c r="U114" s="233">
        <v>0.25</v>
      </c>
    </row>
    <row r="115" spans="1:21" ht="16.5" outlineLevel="1">
      <c r="A115" s="1607" t="s">
        <v>1576</v>
      </c>
      <c r="B115" s="1608"/>
      <c r="C115" s="239" t="s">
        <v>1992</v>
      </c>
      <c r="D115" s="231">
        <f t="shared" si="11"/>
        <v>0</v>
      </c>
      <c r="E115" s="235"/>
      <c r="F115" s="235"/>
      <c r="G115" s="233">
        <v>1</v>
      </c>
      <c r="H115" s="236" t="s">
        <v>1629</v>
      </c>
      <c r="I115" s="236"/>
      <c r="J115" s="236"/>
      <c r="K115" s="236"/>
      <c r="L115" s="236"/>
      <c r="M115" s="236"/>
      <c r="N115" s="236"/>
      <c r="O115" s="236"/>
      <c r="P115" s="236"/>
      <c r="Q115" s="236"/>
      <c r="R115" s="236"/>
      <c r="S115" s="233" t="s">
        <v>1629</v>
      </c>
      <c r="T115" s="233">
        <v>0.15</v>
      </c>
      <c r="U115" s="237">
        <v>7.4999999999999997E-2</v>
      </c>
    </row>
    <row r="116" spans="1:21" ht="16.5" outlineLevel="1">
      <c r="A116" s="1607" t="s">
        <v>1577</v>
      </c>
      <c r="B116" s="1608"/>
      <c r="C116" s="239" t="s">
        <v>1992</v>
      </c>
      <c r="D116" s="1298">
        <v>10</v>
      </c>
      <c r="E116" s="235"/>
      <c r="F116" s="235"/>
      <c r="G116" s="233">
        <v>1</v>
      </c>
      <c r="H116" s="233" t="s">
        <v>1629</v>
      </c>
      <c r="I116" s="236"/>
      <c r="J116" s="236"/>
      <c r="K116" s="236"/>
      <c r="L116" s="236"/>
      <c r="M116" s="236"/>
      <c r="N116" s="236"/>
      <c r="O116" s="236"/>
      <c r="P116" s="236"/>
      <c r="Q116" s="236"/>
      <c r="R116" s="236"/>
      <c r="S116" s="233" t="s">
        <v>1629</v>
      </c>
      <c r="T116" s="233">
        <v>0.1</v>
      </c>
      <c r="U116" s="233">
        <v>0.05</v>
      </c>
    </row>
    <row r="117" spans="1:21" ht="16.5" outlineLevel="1">
      <c r="A117" s="1607" t="s">
        <v>1578</v>
      </c>
      <c r="B117" s="1608"/>
      <c r="C117" s="544" t="s">
        <v>1992</v>
      </c>
      <c r="D117" s="231">
        <f t="shared" si="11"/>
        <v>0</v>
      </c>
      <c r="E117" s="235"/>
      <c r="F117" s="235"/>
      <c r="G117" s="233">
        <v>1</v>
      </c>
      <c r="H117" s="236" t="s">
        <v>1629</v>
      </c>
      <c r="I117" s="236"/>
      <c r="J117" s="236"/>
      <c r="K117" s="236"/>
      <c r="L117" s="236"/>
      <c r="M117" s="236"/>
      <c r="N117" s="236"/>
      <c r="O117" s="236"/>
      <c r="P117" s="236"/>
      <c r="Q117" s="236"/>
      <c r="R117" s="236"/>
      <c r="S117" s="233" t="s">
        <v>1629</v>
      </c>
      <c r="T117" s="233">
        <v>0.25</v>
      </c>
      <c r="U117" s="237">
        <v>0.125</v>
      </c>
    </row>
    <row r="118" spans="1:21" ht="16.5" outlineLevel="1">
      <c r="A118" s="1605" t="s">
        <v>2377</v>
      </c>
      <c r="B118" s="1605"/>
      <c r="C118" s="544" t="s">
        <v>1992</v>
      </c>
      <c r="D118" s="231">
        <f>D114*T114+D115*T115+D116*T116+D117*T117</f>
        <v>3.4944444444444445</v>
      </c>
      <c r="E118" s="235"/>
      <c r="F118" s="235"/>
      <c r="G118" s="233">
        <v>1</v>
      </c>
      <c r="H118" s="236" t="s">
        <v>1629</v>
      </c>
      <c r="I118" s="236"/>
      <c r="J118" s="236"/>
      <c r="K118" s="236"/>
      <c r="L118" s="236"/>
      <c r="M118" s="236"/>
      <c r="N118" s="236"/>
      <c r="O118" s="236"/>
      <c r="P118" s="236"/>
      <c r="Q118" s="236"/>
      <c r="R118" s="236"/>
      <c r="S118" s="233" t="s">
        <v>1629</v>
      </c>
      <c r="T118" s="233">
        <v>1</v>
      </c>
      <c r="U118" s="233">
        <v>0.5</v>
      </c>
    </row>
    <row r="119" spans="1:21" ht="16.5" outlineLevel="1">
      <c r="A119" s="1609" t="s">
        <v>2376</v>
      </c>
      <c r="B119" s="1609"/>
      <c r="C119" s="239" t="s">
        <v>1574</v>
      </c>
      <c r="D119" s="231">
        <f t="shared" si="11"/>
        <v>0</v>
      </c>
      <c r="E119" s="235"/>
      <c r="F119" s="235"/>
      <c r="G119" s="233">
        <v>1</v>
      </c>
      <c r="H119" s="236" t="s">
        <v>1629</v>
      </c>
      <c r="I119" s="236"/>
      <c r="J119" s="236"/>
      <c r="K119" s="236"/>
      <c r="L119" s="236"/>
      <c r="M119" s="236"/>
      <c r="N119" s="236"/>
      <c r="O119" s="236"/>
      <c r="P119" s="236"/>
      <c r="Q119" s="236"/>
      <c r="R119" s="236"/>
      <c r="S119" s="233" t="s">
        <v>1629</v>
      </c>
      <c r="T119" s="236" t="s">
        <v>1629</v>
      </c>
      <c r="U119" s="233">
        <v>0.5</v>
      </c>
    </row>
    <row r="120" spans="1:21" ht="16.5" outlineLevel="1">
      <c r="A120" s="1605" t="s">
        <v>1579</v>
      </c>
      <c r="B120" s="1605"/>
      <c r="C120" s="239"/>
      <c r="D120" s="231">
        <f>D118*U118+D119*U119</f>
        <v>1.7472222222222222</v>
      </c>
      <c r="E120" s="235"/>
      <c r="F120" s="235"/>
      <c r="G120" s="236" t="s">
        <v>1629</v>
      </c>
      <c r="H120" s="236" t="s">
        <v>1629</v>
      </c>
      <c r="I120" s="236"/>
      <c r="J120" s="236"/>
      <c r="K120" s="236"/>
      <c r="L120" s="236"/>
      <c r="M120" s="236"/>
      <c r="N120" s="236"/>
      <c r="O120" s="236"/>
      <c r="P120" s="236"/>
      <c r="Q120" s="236"/>
      <c r="R120" s="236"/>
      <c r="S120" s="233" t="s">
        <v>1629</v>
      </c>
      <c r="T120" s="236" t="s">
        <v>1629</v>
      </c>
      <c r="U120" s="233">
        <v>1</v>
      </c>
    </row>
    <row r="122" spans="1:21">
      <c r="A122" s="1611" t="s">
        <v>1633</v>
      </c>
      <c r="B122" s="1611"/>
      <c r="D122" s="292">
        <f>D140</f>
        <v>2.9725293080342787</v>
      </c>
    </row>
    <row r="123" spans="1:21" ht="16.149999999999999" customHeight="1" outlineLevel="1">
      <c r="A123" s="1617" t="s">
        <v>1596</v>
      </c>
      <c r="B123" s="1617"/>
      <c r="C123" s="1614" t="s">
        <v>2373</v>
      </c>
      <c r="D123" s="1615" t="s">
        <v>455</v>
      </c>
      <c r="E123" s="1616" t="s">
        <v>1634</v>
      </c>
      <c r="F123" s="1616" t="s">
        <v>1635</v>
      </c>
      <c r="G123" s="1610" t="s">
        <v>1600</v>
      </c>
      <c r="H123" s="1610"/>
      <c r="I123" s="256"/>
      <c r="J123" s="256"/>
      <c r="K123" s="256"/>
      <c r="L123" s="256"/>
      <c r="M123" s="256"/>
      <c r="N123" s="256"/>
      <c r="O123" s="256"/>
      <c r="P123" s="256"/>
      <c r="Q123" s="256"/>
      <c r="R123" s="256"/>
      <c r="S123" s="1610" t="s">
        <v>1601</v>
      </c>
      <c r="T123" s="1610" t="s">
        <v>1602</v>
      </c>
      <c r="U123" s="1610" t="s">
        <v>1603</v>
      </c>
    </row>
    <row r="124" spans="1:21" ht="15" customHeight="1" outlineLevel="1">
      <c r="A124" s="1618"/>
      <c r="B124" s="1618"/>
      <c r="C124" s="1614"/>
      <c r="D124" s="1610"/>
      <c r="E124" s="1616"/>
      <c r="F124" s="1616"/>
      <c r="G124" s="256" t="s">
        <v>1604</v>
      </c>
      <c r="H124" s="256" t="s">
        <v>1605</v>
      </c>
      <c r="I124" s="256" t="s">
        <v>1606</v>
      </c>
      <c r="J124" s="256" t="s">
        <v>1607</v>
      </c>
      <c r="K124" s="256" t="s">
        <v>1608</v>
      </c>
      <c r="L124" s="256" t="s">
        <v>1609</v>
      </c>
      <c r="M124" s="256" t="s">
        <v>1610</v>
      </c>
      <c r="N124" s="256" t="s">
        <v>1611</v>
      </c>
      <c r="O124" s="256" t="s">
        <v>1612</v>
      </c>
      <c r="P124" s="256" t="s">
        <v>1613</v>
      </c>
      <c r="Q124" s="256" t="s">
        <v>1614</v>
      </c>
      <c r="R124" s="256" t="s">
        <v>1615</v>
      </c>
      <c r="S124" s="1610"/>
      <c r="T124" s="1610"/>
      <c r="U124" s="1610"/>
    </row>
    <row r="125" spans="1:21" ht="16.5" outlineLevel="1">
      <c r="A125" s="1612" t="s">
        <v>1558</v>
      </c>
      <c r="B125" s="257" t="s">
        <v>1559</v>
      </c>
      <c r="C125" s="240" t="s">
        <v>2375</v>
      </c>
      <c r="D125" s="231">
        <f>E125*G125+F125*H125</f>
        <v>4.4910550892340257</v>
      </c>
      <c r="E125" s="252">
        <f>'OR02-销售承保'!U39</f>
        <v>3.2937307866753969</v>
      </c>
      <c r="F125" s="252">
        <f>AVERAGE(I125:R125)</f>
        <v>5.0041940760448664</v>
      </c>
      <c r="G125" s="254">
        <v>0.3</v>
      </c>
      <c r="H125" s="254">
        <v>0.7</v>
      </c>
      <c r="I125" s="253">
        <f>'OR04-分公司销售、承保、保全'!W84</f>
        <v>4.4285714285714306</v>
      </c>
      <c r="J125" s="253">
        <f>'OR04-分公司销售、承保、保全'!AC84</f>
        <v>4.6736111111111143</v>
      </c>
      <c r="K125" s="253">
        <f>'OR04-分公司销售、承保、保全'!AI84</f>
        <v>6.0542521994134972</v>
      </c>
      <c r="L125" s="253">
        <f>'OR04-分公司销售、承保、保全'!AO84</f>
        <v>8.6744186046511658</v>
      </c>
      <c r="M125" s="253">
        <f>'OR04-分公司销售、承保、保全'!AU84</f>
        <v>4.5769230769230802</v>
      </c>
      <c r="N125" s="253">
        <f>'OR04-分公司销售、承保、保全'!BA84</f>
        <v>5.0288888888888863</v>
      </c>
      <c r="O125" s="253">
        <f>'OR04-分公司销售、承保、保全'!BG84</f>
        <v>3.2530864197530889</v>
      </c>
      <c r="P125" s="253">
        <f>'OR04-分公司销售、承保、保全'!BM84</f>
        <v>5.6912280701754412</v>
      </c>
      <c r="Q125" s="253">
        <f>'OR04-分公司销售、承保、保全'!BS84</f>
        <v>3.0333333333333314</v>
      </c>
      <c r="R125" s="253">
        <f>'OR04-分公司销售、承保、保全'!BY84</f>
        <v>4.627627627627632</v>
      </c>
      <c r="S125" s="255" t="s">
        <v>1560</v>
      </c>
      <c r="T125" s="255" t="s">
        <v>1561</v>
      </c>
      <c r="U125" s="255" t="s">
        <v>1562</v>
      </c>
    </row>
    <row r="126" spans="1:21" ht="16.5" outlineLevel="1">
      <c r="A126" s="1612"/>
      <c r="B126" s="258" t="s">
        <v>1563</v>
      </c>
      <c r="C126" s="239" t="s">
        <v>2375</v>
      </c>
      <c r="D126" s="231">
        <f>E126*G126+F126*H126</f>
        <v>4.5799999999999992</v>
      </c>
      <c r="E126" s="231">
        <f>'OR06-理赔保全'!P23</f>
        <v>12</v>
      </c>
      <c r="F126" s="231">
        <f>AVERAGE(I126:R126)</f>
        <v>1.4</v>
      </c>
      <c r="G126" s="233">
        <v>0.3</v>
      </c>
      <c r="H126" s="233">
        <v>0.7</v>
      </c>
      <c r="I126" s="232">
        <f>'OR08-分公司理赔'!W49</f>
        <v>0</v>
      </c>
      <c r="J126" s="232">
        <f>'OR08-分公司理赔'!AC49</f>
        <v>0</v>
      </c>
      <c r="K126" s="232">
        <f>'OR08-分公司理赔'!AI49</f>
        <v>0</v>
      </c>
      <c r="L126" s="232">
        <f>'OR08-分公司理赔'!AO49</f>
        <v>0</v>
      </c>
      <c r="M126" s="232">
        <f>'OR08-分公司理赔'!AU49</f>
        <v>3</v>
      </c>
      <c r="N126" s="232">
        <f>'OR08-分公司理赔'!BA49</f>
        <v>3</v>
      </c>
      <c r="O126" s="232">
        <f>'OR08-分公司理赔'!BG49</f>
        <v>5</v>
      </c>
      <c r="P126" s="232">
        <f>'OR08-分公司理赔'!BM49</f>
        <v>0</v>
      </c>
      <c r="Q126" s="232">
        <f>'OR08-分公司理赔'!BS49</f>
        <v>3</v>
      </c>
      <c r="R126" s="232">
        <f>'OR08-分公司理赔'!BY49</f>
        <v>0</v>
      </c>
      <c r="S126" s="234" t="s">
        <v>1560</v>
      </c>
      <c r="T126" s="234" t="s">
        <v>1561</v>
      </c>
      <c r="U126" s="234" t="s">
        <v>1562</v>
      </c>
    </row>
    <row r="127" spans="1:21" ht="16.5" outlineLevel="1">
      <c r="A127" s="1612"/>
      <c r="B127" s="258" t="s">
        <v>1564</v>
      </c>
      <c r="C127" s="240" t="s">
        <v>2374</v>
      </c>
      <c r="D127" s="231">
        <f>E127*G127+F127*H127</f>
        <v>6.0399999999999991</v>
      </c>
      <c r="E127" s="231">
        <f>'OR12-财务管理'!S43</f>
        <v>9</v>
      </c>
      <c r="F127" s="231">
        <f>AVERAGE(I127:R127)</f>
        <v>1.6</v>
      </c>
      <c r="G127" s="233">
        <v>0.6</v>
      </c>
      <c r="H127" s="233">
        <v>0.4</v>
      </c>
      <c r="I127" s="232">
        <f>'OR13-分公司财务管理'!W65</f>
        <v>5</v>
      </c>
      <c r="J127" s="232">
        <f>'OR13-分公司财务管理'!AC65</f>
        <v>4</v>
      </c>
      <c r="K127" s="232">
        <f>'OR13-分公司财务管理'!AI65</f>
        <v>2</v>
      </c>
      <c r="L127" s="232">
        <f>'OR13-分公司财务管理'!AO65</f>
        <v>0</v>
      </c>
      <c r="M127" s="232">
        <f>'OR13-分公司财务管理'!AU65</f>
        <v>1</v>
      </c>
      <c r="N127" s="232">
        <f>'OR13-分公司财务管理'!BA65</f>
        <v>0</v>
      </c>
      <c r="O127" s="232">
        <f>'OR13-分公司财务管理'!BG65</f>
        <v>0</v>
      </c>
      <c r="P127" s="232">
        <f>'OR13-分公司财务管理'!BM65</f>
        <v>4</v>
      </c>
      <c r="Q127" s="232">
        <f>'OR13-分公司财务管理'!BS65</f>
        <v>0</v>
      </c>
      <c r="R127" s="232">
        <f>'OR13-分公司财务管理'!BY65</f>
        <v>0</v>
      </c>
      <c r="S127" s="234" t="s">
        <v>1560</v>
      </c>
      <c r="T127" s="234" t="s">
        <v>1561</v>
      </c>
      <c r="U127" s="234" t="s">
        <v>1562</v>
      </c>
    </row>
    <row r="128" spans="1:21" ht="16.5" outlineLevel="1">
      <c r="A128" s="1612"/>
      <c r="B128" s="258" t="s">
        <v>1565</v>
      </c>
      <c r="C128" s="239" t="s">
        <v>2374</v>
      </c>
      <c r="D128" s="231">
        <f t="shared" ref="D128:D133" si="12">E128</f>
        <v>0</v>
      </c>
      <c r="E128" s="231">
        <f>'OR10-资金运用'!M66</f>
        <v>0</v>
      </c>
      <c r="F128" s="235"/>
      <c r="G128" s="233">
        <v>1</v>
      </c>
      <c r="H128" s="236" t="s">
        <v>1566</v>
      </c>
      <c r="I128" s="236"/>
      <c r="J128" s="236"/>
      <c r="K128" s="236"/>
      <c r="L128" s="236"/>
      <c r="M128" s="236"/>
      <c r="N128" s="236"/>
      <c r="O128" s="236"/>
      <c r="P128" s="236"/>
      <c r="Q128" s="236"/>
      <c r="R128" s="236"/>
      <c r="S128" s="234" t="s">
        <v>1560</v>
      </c>
      <c r="T128" s="234" t="s">
        <v>1561</v>
      </c>
      <c r="U128" s="234" t="s">
        <v>1562</v>
      </c>
    </row>
    <row r="129" spans="1:21" ht="16.5" outlineLevel="1">
      <c r="A129" s="1612"/>
      <c r="B129" s="258" t="s">
        <v>1567</v>
      </c>
      <c r="C129" s="240" t="s">
        <v>2374</v>
      </c>
      <c r="D129" s="323">
        <f>E129</f>
        <v>0</v>
      </c>
      <c r="E129" s="323">
        <f>'OR18-合规风险'!O26</f>
        <v>0</v>
      </c>
      <c r="F129" s="235"/>
      <c r="G129" s="233">
        <v>1</v>
      </c>
      <c r="H129" s="236" t="s">
        <v>1566</v>
      </c>
      <c r="I129" s="236"/>
      <c r="J129" s="236"/>
      <c r="K129" s="236"/>
      <c r="L129" s="236"/>
      <c r="M129" s="236"/>
      <c r="N129" s="236"/>
      <c r="O129" s="236"/>
      <c r="P129" s="236"/>
      <c r="Q129" s="236"/>
      <c r="R129" s="236"/>
      <c r="S129" s="234" t="s">
        <v>1560</v>
      </c>
      <c r="T129" s="234" t="s">
        <v>1561</v>
      </c>
      <c r="U129" s="234" t="s">
        <v>1562</v>
      </c>
    </row>
    <row r="130" spans="1:21" ht="16.5" outlineLevel="1">
      <c r="A130" s="1612"/>
      <c r="B130" s="258" t="s">
        <v>1568</v>
      </c>
      <c r="C130" s="239" t="s">
        <v>2374</v>
      </c>
      <c r="D130" s="231">
        <f>E130</f>
        <v>12</v>
      </c>
      <c r="E130" s="231">
        <f>100-公司治理!H81</f>
        <v>12</v>
      </c>
      <c r="F130" s="235"/>
      <c r="G130" s="233">
        <v>1</v>
      </c>
      <c r="H130" s="236" t="s">
        <v>1566</v>
      </c>
      <c r="I130" s="236"/>
      <c r="J130" s="236"/>
      <c r="K130" s="236"/>
      <c r="L130" s="236"/>
      <c r="M130" s="236"/>
      <c r="N130" s="236"/>
      <c r="O130" s="236"/>
      <c r="P130" s="236"/>
      <c r="Q130" s="236"/>
      <c r="R130" s="236"/>
      <c r="S130" s="234" t="s">
        <v>1560</v>
      </c>
      <c r="T130" s="234" t="s">
        <v>1561</v>
      </c>
      <c r="U130" s="234" t="s">
        <v>1562</v>
      </c>
    </row>
    <row r="131" spans="1:21" ht="16.5" outlineLevel="1">
      <c r="A131" s="1612"/>
      <c r="B131" s="258" t="s">
        <v>1569</v>
      </c>
      <c r="C131" s="240" t="s">
        <v>2374</v>
      </c>
      <c r="D131" s="231">
        <f t="shared" si="12"/>
        <v>0</v>
      </c>
      <c r="E131" s="231">
        <f>'OR15-准备金再保险'!P20</f>
        <v>0</v>
      </c>
      <c r="F131" s="235"/>
      <c r="G131" s="233">
        <v>1</v>
      </c>
      <c r="H131" s="236" t="s">
        <v>1566</v>
      </c>
      <c r="I131" s="236"/>
      <c r="J131" s="236"/>
      <c r="K131" s="236"/>
      <c r="L131" s="236"/>
      <c r="M131" s="236"/>
      <c r="N131" s="236"/>
      <c r="O131" s="236"/>
      <c r="P131" s="236"/>
      <c r="Q131" s="236"/>
      <c r="R131" s="236"/>
      <c r="S131" s="259" t="s">
        <v>1570</v>
      </c>
      <c r="T131" s="234" t="s">
        <v>1560</v>
      </c>
      <c r="U131" s="234" t="s">
        <v>1561</v>
      </c>
    </row>
    <row r="132" spans="1:21" ht="16.5" outlineLevel="1">
      <c r="A132" s="1612"/>
      <c r="B132" s="258" t="s">
        <v>1571</v>
      </c>
      <c r="C132" s="239" t="s">
        <v>2374</v>
      </c>
      <c r="D132" s="231">
        <f t="shared" si="12"/>
        <v>9.7000000000000028</v>
      </c>
      <c r="E132" s="231">
        <f>信息系统!K138</f>
        <v>9.7000000000000028</v>
      </c>
      <c r="F132" s="235"/>
      <c r="G132" s="233">
        <v>1</v>
      </c>
      <c r="H132" s="236" t="s">
        <v>1566</v>
      </c>
      <c r="I132" s="236"/>
      <c r="J132" s="236"/>
      <c r="K132" s="236"/>
      <c r="L132" s="236"/>
      <c r="M132" s="236"/>
      <c r="N132" s="236"/>
      <c r="O132" s="236"/>
      <c r="P132" s="236"/>
      <c r="Q132" s="236"/>
      <c r="R132" s="236"/>
      <c r="S132" s="234" t="s">
        <v>1560</v>
      </c>
      <c r="T132" s="234" t="s">
        <v>1561</v>
      </c>
      <c r="U132" s="234" t="s">
        <v>1562</v>
      </c>
    </row>
    <row r="133" spans="1:21" ht="16.5" outlineLevel="1">
      <c r="A133" s="1612"/>
      <c r="B133" s="258" t="s">
        <v>1572</v>
      </c>
      <c r="C133" s="240" t="s">
        <v>2374</v>
      </c>
      <c r="D133" s="231">
        <f t="shared" si="12"/>
        <v>4</v>
      </c>
      <c r="E133" s="231">
        <f>案件管理!J28</f>
        <v>4</v>
      </c>
      <c r="F133" s="235"/>
      <c r="G133" s="233">
        <v>1</v>
      </c>
      <c r="H133" s="236" t="s">
        <v>1566</v>
      </c>
      <c r="I133" s="236"/>
      <c r="J133" s="236"/>
      <c r="K133" s="236"/>
      <c r="L133" s="236"/>
      <c r="M133" s="236"/>
      <c r="N133" s="236"/>
      <c r="O133" s="236"/>
      <c r="P133" s="236"/>
      <c r="Q133" s="236"/>
      <c r="R133" s="236"/>
      <c r="S133" s="234" t="s">
        <v>1560</v>
      </c>
      <c r="T133" s="234" t="s">
        <v>1561</v>
      </c>
      <c r="U133" s="234" t="s">
        <v>1562</v>
      </c>
    </row>
    <row r="134" spans="1:21" ht="16.5" outlineLevel="1">
      <c r="A134" s="1613"/>
      <c r="B134" s="260" t="s">
        <v>1621</v>
      </c>
      <c r="C134" s="239" t="s">
        <v>1992</v>
      </c>
      <c r="D134" s="310">
        <f>(SUM(D125:D133)+D131)/9</f>
        <v>4.5345616765815588</v>
      </c>
      <c r="E134" s="235"/>
      <c r="F134" s="235"/>
      <c r="G134" s="233">
        <v>1</v>
      </c>
      <c r="H134" s="236" t="s">
        <v>1566</v>
      </c>
      <c r="I134" s="236"/>
      <c r="J134" s="236"/>
      <c r="K134" s="236"/>
      <c r="L134" s="236"/>
      <c r="M134" s="236"/>
      <c r="N134" s="236"/>
      <c r="O134" s="236"/>
      <c r="P134" s="236"/>
      <c r="Q134" s="236"/>
      <c r="R134" s="236"/>
      <c r="S134" s="234" t="s">
        <v>1575</v>
      </c>
      <c r="T134" s="233">
        <v>0.5</v>
      </c>
      <c r="U134" s="233">
        <v>0.25</v>
      </c>
    </row>
    <row r="135" spans="1:21" ht="16.5" outlineLevel="1">
      <c r="A135" s="1607" t="s">
        <v>1576</v>
      </c>
      <c r="B135" s="1608"/>
      <c r="C135" s="239" t="s">
        <v>1992</v>
      </c>
      <c r="D135" s="231">
        <f>100-战略风险!G35</f>
        <v>6</v>
      </c>
      <c r="E135" s="235"/>
      <c r="F135" s="235"/>
      <c r="G135" s="233">
        <v>1</v>
      </c>
      <c r="H135" s="236" t="s">
        <v>1566</v>
      </c>
      <c r="I135" s="236"/>
      <c r="J135" s="236"/>
      <c r="K135" s="236"/>
      <c r="L135" s="236"/>
      <c r="M135" s="236"/>
      <c r="N135" s="236"/>
      <c r="O135" s="236"/>
      <c r="P135" s="236"/>
      <c r="Q135" s="236"/>
      <c r="R135" s="236"/>
      <c r="S135" s="233" t="s">
        <v>1566</v>
      </c>
      <c r="T135" s="233">
        <v>0.15</v>
      </c>
      <c r="U135" s="237">
        <v>7.4999999999999997E-2</v>
      </c>
    </row>
    <row r="136" spans="1:21" ht="16.5" outlineLevel="1">
      <c r="A136" s="1607" t="s">
        <v>1577</v>
      </c>
      <c r="B136" s="1608"/>
      <c r="C136" s="239" t="s">
        <v>1992</v>
      </c>
      <c r="D136" s="1298">
        <v>0</v>
      </c>
      <c r="E136" s="235"/>
      <c r="F136" s="235"/>
      <c r="G136" s="233">
        <v>1</v>
      </c>
      <c r="H136" s="233" t="s">
        <v>1566</v>
      </c>
      <c r="I136" s="233"/>
      <c r="J136" s="233"/>
      <c r="K136" s="233"/>
      <c r="L136" s="233"/>
      <c r="M136" s="233"/>
      <c r="N136" s="233"/>
      <c r="O136" s="233"/>
      <c r="P136" s="233"/>
      <c r="Q136" s="233"/>
      <c r="R136" s="233"/>
      <c r="S136" s="233" t="s">
        <v>1566</v>
      </c>
      <c r="T136" s="233">
        <v>0.1</v>
      </c>
      <c r="U136" s="233">
        <v>0.05</v>
      </c>
    </row>
    <row r="137" spans="1:21" ht="16.5" outlineLevel="1">
      <c r="A137" s="1607" t="s">
        <v>1578</v>
      </c>
      <c r="B137" s="1608"/>
      <c r="C137" s="544" t="s">
        <v>1992</v>
      </c>
      <c r="D137" s="231">
        <f>流动性风险!H40</f>
        <v>11.111111111111114</v>
      </c>
      <c r="E137" s="235"/>
      <c r="F137" s="235"/>
      <c r="G137" s="233">
        <v>1</v>
      </c>
      <c r="H137" s="236" t="s">
        <v>1566</v>
      </c>
      <c r="I137" s="236"/>
      <c r="J137" s="236"/>
      <c r="K137" s="236"/>
      <c r="L137" s="236"/>
      <c r="M137" s="236"/>
      <c r="N137" s="236"/>
      <c r="O137" s="236"/>
      <c r="P137" s="236"/>
      <c r="Q137" s="236"/>
      <c r="R137" s="236"/>
      <c r="S137" s="233" t="s">
        <v>1566</v>
      </c>
      <c r="T137" s="233">
        <v>0.25</v>
      </c>
      <c r="U137" s="237">
        <v>0.125</v>
      </c>
    </row>
    <row r="138" spans="1:21" ht="16.5" outlineLevel="1">
      <c r="A138" s="1605" t="s">
        <v>2377</v>
      </c>
      <c r="B138" s="1605"/>
      <c r="C138" s="544" t="s">
        <v>1992</v>
      </c>
      <c r="D138" s="231">
        <f>D134*T134+D135*T135+D136*T136+D137*T137</f>
        <v>5.9450586160685575</v>
      </c>
      <c r="E138" s="235"/>
      <c r="F138" s="235"/>
      <c r="G138" s="233">
        <v>1</v>
      </c>
      <c r="H138" s="236" t="s">
        <v>1566</v>
      </c>
      <c r="I138" s="236"/>
      <c r="J138" s="236"/>
      <c r="K138" s="236"/>
      <c r="L138" s="236"/>
      <c r="M138" s="236"/>
      <c r="N138" s="236"/>
      <c r="O138" s="236"/>
      <c r="P138" s="236"/>
      <c r="Q138" s="236"/>
      <c r="R138" s="236"/>
      <c r="S138" s="233" t="s">
        <v>1566</v>
      </c>
      <c r="T138" s="233">
        <v>1</v>
      </c>
      <c r="U138" s="233">
        <v>0.5</v>
      </c>
    </row>
    <row r="139" spans="1:21" ht="16.5" outlineLevel="1">
      <c r="A139" s="1609" t="s">
        <v>2376</v>
      </c>
      <c r="B139" s="1609"/>
      <c r="C139" s="239" t="s">
        <v>1574</v>
      </c>
      <c r="D139" s="231">
        <v>0</v>
      </c>
      <c r="E139" s="235"/>
      <c r="F139" s="235"/>
      <c r="G139" s="233">
        <v>1</v>
      </c>
      <c r="H139" s="236" t="s">
        <v>1566</v>
      </c>
      <c r="I139" s="236"/>
      <c r="J139" s="236"/>
      <c r="K139" s="236"/>
      <c r="L139" s="236"/>
      <c r="M139" s="236"/>
      <c r="N139" s="236"/>
      <c r="O139" s="236"/>
      <c r="P139" s="236"/>
      <c r="Q139" s="236"/>
      <c r="R139" s="236"/>
      <c r="S139" s="233" t="s">
        <v>1566</v>
      </c>
      <c r="T139" s="236" t="s">
        <v>1566</v>
      </c>
      <c r="U139" s="233">
        <v>0.5</v>
      </c>
    </row>
    <row r="140" spans="1:21" ht="16.5" outlineLevel="1">
      <c r="A140" s="1605" t="s">
        <v>1579</v>
      </c>
      <c r="B140" s="1605"/>
      <c r="C140" s="239"/>
      <c r="D140" s="231">
        <f>D138*U138+D139*U139</f>
        <v>2.9725293080342787</v>
      </c>
      <c r="E140" s="235"/>
      <c r="F140" s="235"/>
      <c r="G140" s="236" t="s">
        <v>1566</v>
      </c>
      <c r="H140" s="236" t="s">
        <v>1566</v>
      </c>
      <c r="I140" s="236"/>
      <c r="J140" s="236"/>
      <c r="K140" s="236"/>
      <c r="L140" s="236"/>
      <c r="M140" s="236"/>
      <c r="N140" s="236"/>
      <c r="O140" s="236"/>
      <c r="P140" s="236"/>
      <c r="Q140" s="236"/>
      <c r="R140" s="236"/>
      <c r="S140" s="233" t="s">
        <v>1566</v>
      </c>
      <c r="T140" s="236" t="s">
        <v>1566</v>
      </c>
      <c r="U140" s="233">
        <v>1</v>
      </c>
    </row>
    <row r="143" spans="1:21">
      <c r="A143" s="1622" t="str">
        <f>A82</f>
        <v>行业无法确定</v>
      </c>
      <c r="B143" s="1622"/>
      <c r="C143" s="290">
        <f>D82</f>
        <v>3.1944444444444446</v>
      </c>
    </row>
    <row r="144" spans="1:21">
      <c r="A144" s="1622" t="str">
        <f>A102</f>
        <v>监管评分</v>
      </c>
      <c r="B144" s="1622"/>
      <c r="C144" s="290">
        <f>D102</f>
        <v>1.7472222222222222</v>
      </c>
    </row>
    <row r="145" spans="1:5">
      <c r="A145" s="1620" t="s">
        <v>1652</v>
      </c>
      <c r="B145" s="1621"/>
      <c r="C145" s="290">
        <f>D134*U134</f>
        <v>1.1336404191453897</v>
      </c>
    </row>
    <row r="146" spans="1:5">
      <c r="A146" s="1620" t="s">
        <v>1653</v>
      </c>
      <c r="B146" s="1621"/>
      <c r="C146" s="290">
        <f>D135*U135</f>
        <v>0.44999999999999996</v>
      </c>
    </row>
    <row r="147" spans="1:5">
      <c r="A147" s="1620" t="s">
        <v>1654</v>
      </c>
      <c r="B147" s="1621"/>
      <c r="C147" s="290">
        <f>D137*U137</f>
        <v>1.3888888888888893</v>
      </c>
      <c r="D147" s="291" t="s">
        <v>1655</v>
      </c>
      <c r="E147" s="290">
        <f>D136*U136</f>
        <v>0</v>
      </c>
    </row>
  </sheetData>
  <dataConsolidate/>
  <mergeCells count="122">
    <mergeCell ref="A145:B145"/>
    <mergeCell ref="A146:B146"/>
    <mergeCell ref="A147:B147"/>
    <mergeCell ref="A143:B143"/>
    <mergeCell ref="A144:B144"/>
    <mergeCell ref="F2:F3"/>
    <mergeCell ref="G2:G3"/>
    <mergeCell ref="G23:H23"/>
    <mergeCell ref="S23:S24"/>
    <mergeCell ref="C2:C3"/>
    <mergeCell ref="D2:D3"/>
    <mergeCell ref="E2:E3"/>
    <mergeCell ref="A4:A13"/>
    <mergeCell ref="A14:B14"/>
    <mergeCell ref="A15:B15"/>
    <mergeCell ref="A16:B16"/>
    <mergeCell ref="A17:B17"/>
    <mergeCell ref="O2:O3"/>
    <mergeCell ref="P2:P3"/>
    <mergeCell ref="A39:B39"/>
    <mergeCell ref="A40:B40"/>
    <mergeCell ref="A43:B44"/>
    <mergeCell ref="C43:C44"/>
    <mergeCell ref="D43:D44"/>
    <mergeCell ref="T23:T24"/>
    <mergeCell ref="U23:U24"/>
    <mergeCell ref="A23:B24"/>
    <mergeCell ref="C23:C24"/>
    <mergeCell ref="D23:D24"/>
    <mergeCell ref="E23:E24"/>
    <mergeCell ref="F23:F24"/>
    <mergeCell ref="A18:B18"/>
    <mergeCell ref="A19:B19"/>
    <mergeCell ref="A25:A34"/>
    <mergeCell ref="A35:B35"/>
    <mergeCell ref="A36:B36"/>
    <mergeCell ref="A37:B37"/>
    <mergeCell ref="A38:B38"/>
    <mergeCell ref="A57:B57"/>
    <mergeCell ref="A58:B58"/>
    <mergeCell ref="A59:B59"/>
    <mergeCell ref="A60:B60"/>
    <mergeCell ref="U43:U44"/>
    <mergeCell ref="A45:A54"/>
    <mergeCell ref="A55:B55"/>
    <mergeCell ref="A56:B56"/>
    <mergeCell ref="E43:E44"/>
    <mergeCell ref="F43:F44"/>
    <mergeCell ref="G43:H43"/>
    <mergeCell ref="S43:S44"/>
    <mergeCell ref="T43:T44"/>
    <mergeCell ref="A78:B78"/>
    <mergeCell ref="G63:H63"/>
    <mergeCell ref="S63:S64"/>
    <mergeCell ref="T63:T64"/>
    <mergeCell ref="U63:U64"/>
    <mergeCell ref="A63:B64"/>
    <mergeCell ref="C63:C64"/>
    <mergeCell ref="D63:D64"/>
    <mergeCell ref="E63:E64"/>
    <mergeCell ref="F63:F64"/>
    <mergeCell ref="U83:U84"/>
    <mergeCell ref="A85:A94"/>
    <mergeCell ref="A95:B95"/>
    <mergeCell ref="A96:B96"/>
    <mergeCell ref="E83:E84"/>
    <mergeCell ref="F83:F84"/>
    <mergeCell ref="G83:H83"/>
    <mergeCell ref="S83:S84"/>
    <mergeCell ref="T83:T84"/>
    <mergeCell ref="A83:B84"/>
    <mergeCell ref="C83:C84"/>
    <mergeCell ref="D83:D84"/>
    <mergeCell ref="A105:A114"/>
    <mergeCell ref="A115:B115"/>
    <mergeCell ref="A116:B116"/>
    <mergeCell ref="A117:B117"/>
    <mergeCell ref="F103:F104"/>
    <mergeCell ref="G103:H103"/>
    <mergeCell ref="S103:S104"/>
    <mergeCell ref="T103:T104"/>
    <mergeCell ref="U103:U104"/>
    <mergeCell ref="A103:B104"/>
    <mergeCell ref="C103:C104"/>
    <mergeCell ref="D103:D104"/>
    <mergeCell ref="E103:E104"/>
    <mergeCell ref="U123:U124"/>
    <mergeCell ref="A125:A134"/>
    <mergeCell ref="C123:C124"/>
    <mergeCell ref="D123:D124"/>
    <mergeCell ref="E123:E124"/>
    <mergeCell ref="F123:F124"/>
    <mergeCell ref="G123:H123"/>
    <mergeCell ref="A118:B118"/>
    <mergeCell ref="A119:B119"/>
    <mergeCell ref="A120:B120"/>
    <mergeCell ref="A122:B122"/>
    <mergeCell ref="A123:B124"/>
    <mergeCell ref="A140:B140"/>
    <mergeCell ref="A2:B3"/>
    <mergeCell ref="A135:B135"/>
    <mergeCell ref="A136:B136"/>
    <mergeCell ref="A137:B137"/>
    <mergeCell ref="A138:B138"/>
    <mergeCell ref="A139:B139"/>
    <mergeCell ref="S123:S124"/>
    <mergeCell ref="T123:T124"/>
    <mergeCell ref="A102:B102"/>
    <mergeCell ref="A97:B97"/>
    <mergeCell ref="A98:B98"/>
    <mergeCell ref="A99:B99"/>
    <mergeCell ref="A100:B100"/>
    <mergeCell ref="A22:B22"/>
    <mergeCell ref="A42:B42"/>
    <mergeCell ref="A62:B62"/>
    <mergeCell ref="A82:B82"/>
    <mergeCell ref="A79:B79"/>
    <mergeCell ref="A80:B80"/>
    <mergeCell ref="A65:A74"/>
    <mergeCell ref="A75:B75"/>
    <mergeCell ref="A76:B76"/>
    <mergeCell ref="A77:B77"/>
  </mergeCells>
  <phoneticPr fontId="3" type="noConversion"/>
  <conditionalFormatting sqref="E22">
    <cfRule type="expression" dxfId="230" priority="35">
      <formula>$E$22&lt;&gt;0</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CK205"/>
  <sheetViews>
    <sheetView zoomScaleNormal="100" zoomScaleSheetLayoutView="96" workbookViewId="0">
      <pane xSplit="18" ySplit="3" topLeftCell="S47" activePane="bottomRight" state="frozenSplit"/>
      <selection activeCell="C1" sqref="C1"/>
      <selection pane="topRight" activeCell="W1" sqref="W1"/>
      <selection pane="bottomLeft" activeCell="C3" sqref="C3"/>
      <selection pane="bottomRight" activeCell="D56" sqref="D56"/>
    </sheetView>
  </sheetViews>
  <sheetFormatPr defaultColWidth="8.875" defaultRowHeight="16.5" outlineLevelCol="3"/>
  <cols>
    <col min="1" max="1" width="54.375" style="951" hidden="1" customWidth="1" outlineLevel="3"/>
    <col min="2" max="2" width="47.5" style="1079" hidden="1" customWidth="1" outlineLevel="1"/>
    <col min="3" max="3" width="4.125" style="972" customWidth="1" collapsed="1"/>
    <col min="4" max="4" width="29.75" style="973" customWidth="1"/>
    <col min="5" max="5" width="16" style="1043" hidden="1" customWidth="1" outlineLevel="1"/>
    <col min="6" max="6" width="17.25" style="964" hidden="1" customWidth="1" outlineLevel="2"/>
    <col min="7" max="7" width="10.75" style="964" hidden="1" customWidth="1" outlineLevel="2"/>
    <col min="8" max="8" width="10.75" style="963" hidden="1" customWidth="1" outlineLevel="1"/>
    <col min="9" max="9" width="7.5" style="951" customWidth="1" collapsed="1"/>
    <col min="10" max="10" width="12.75" style="963" hidden="1" customWidth="1" outlineLevel="1"/>
    <col min="11" max="11" width="8.125" style="947" hidden="1" customWidth="1" outlineLevel="1"/>
    <col min="12" max="12" width="11.75" style="963" hidden="1" customWidth="1" outlineLevel="1"/>
    <col min="13" max="13" width="8.125" style="947" hidden="1" customWidth="1" outlineLevel="1"/>
    <col min="14" max="14" width="11.25" style="947" hidden="1" customWidth="1" outlineLevel="1"/>
    <col min="15" max="15" width="7.375" style="943" hidden="1" customWidth="1" outlineLevel="1"/>
    <col min="16" max="16" width="5.25" style="943" hidden="1" customWidth="1" outlineLevel="1"/>
    <col min="17" max="17" width="7.875" style="943" hidden="1" customWidth="1" outlineLevel="1"/>
    <col min="18" max="18" width="8.875" style="943" customWidth="1" collapsed="1"/>
    <col min="19" max="19" width="4" style="943" customWidth="1"/>
    <col min="20" max="20" width="12.625" style="963" hidden="1" customWidth="1" outlineLevel="2"/>
    <col min="21" max="21" width="8.125" style="1181" hidden="1" customWidth="1" outlineLevel="2"/>
    <col min="22" max="22" width="10.5" style="963" customWidth="1" collapsed="1"/>
    <col min="23" max="23" width="8.125" style="1181" bestFit="1" customWidth="1"/>
    <col min="24" max="24" width="9.25" style="837" customWidth="1"/>
    <col min="25" max="25" width="3.75" style="965" customWidth="1"/>
    <col min="26" max="26" width="11.75" style="966" hidden="1" customWidth="1" outlineLevel="2"/>
    <col min="27" max="27" width="11.25" style="967" hidden="1" customWidth="1" outlineLevel="2"/>
    <col min="28" max="28" width="10.625" style="966" customWidth="1" collapsed="1"/>
    <col min="29" max="29" width="10.5" style="1224" bestFit="1" customWidth="1"/>
    <col min="30" max="30" width="9.75" style="1085" customWidth="1"/>
    <col min="31" max="31" width="4.125" style="968" customWidth="1"/>
    <col min="32" max="32" width="10.875" style="963" hidden="1" customWidth="1" outlineLevel="2"/>
    <col min="33" max="33" width="10.75" style="964" hidden="1" customWidth="1" outlineLevel="2"/>
    <col min="34" max="34" width="12.25" style="963" customWidth="1" collapsed="1"/>
    <col min="35" max="35" width="7.625" style="1230" customWidth="1"/>
    <col min="36" max="36" width="10.125" style="837" customWidth="1"/>
    <col min="37" max="37" width="4.25" style="965" customWidth="1"/>
    <col min="38" max="38" width="13.125" style="966" hidden="1" customWidth="1" outlineLevel="2"/>
    <col min="39" max="39" width="8.25" style="967" hidden="1" customWidth="1" outlineLevel="2"/>
    <col min="40" max="40" width="11.125" style="966" customWidth="1" collapsed="1"/>
    <col min="41" max="41" width="7.5" style="1224" customWidth="1"/>
    <col min="42" max="42" width="11.875" style="1085" customWidth="1"/>
    <col min="43" max="43" width="4.625" style="968" customWidth="1"/>
    <col min="44" max="44" width="14.25" style="963" hidden="1" customWidth="1" outlineLevel="2"/>
    <col min="45" max="45" width="8.875" style="964" hidden="1" customWidth="1" outlineLevel="2"/>
    <col min="46" max="46" width="13.625" style="963" customWidth="1" collapsed="1"/>
    <col min="47" max="47" width="7.25" style="1230" customWidth="1"/>
    <col min="48" max="48" width="10.5" style="837" customWidth="1"/>
    <col min="49" max="49" width="4.125" style="965" customWidth="1"/>
    <col min="50" max="50" width="12.75" style="966" hidden="1" customWidth="1" outlineLevel="2"/>
    <col min="51" max="51" width="7.875" style="967" hidden="1" customWidth="1" outlineLevel="2"/>
    <col min="52" max="52" width="13.25" style="966" customWidth="1" collapsed="1"/>
    <col min="53" max="53" width="7.875" style="1224" customWidth="1"/>
    <col min="54" max="54" width="11.5" style="1085" customWidth="1"/>
    <col min="55" max="55" width="4.25" style="968" customWidth="1"/>
    <col min="56" max="56" width="13.125" style="943" hidden="1" customWidth="1" outlineLevel="2"/>
    <col min="57" max="57" width="8.25" style="964" hidden="1" customWidth="1" outlineLevel="2"/>
    <col min="58" max="58" width="12.875" style="963" customWidth="1" collapsed="1"/>
    <col min="59" max="59" width="8.25" style="1230" customWidth="1"/>
    <col min="60" max="60" width="11.375" style="837" customWidth="1"/>
    <col min="61" max="61" width="4.375" style="965" customWidth="1"/>
    <col min="62" max="62" width="14.75" style="969" hidden="1" customWidth="1" outlineLevel="2"/>
    <col min="63" max="63" width="11.25" style="967" hidden="1" customWidth="1" outlineLevel="2"/>
    <col min="64" max="64" width="13.25" style="966" customWidth="1" collapsed="1"/>
    <col min="65" max="65" width="10.5" style="1224" bestFit="1" customWidth="1"/>
    <col min="66" max="66" width="10.25" style="1085" customWidth="1"/>
    <col min="67" max="67" width="4.375" style="968" customWidth="1"/>
    <col min="68" max="68" width="9.375" style="943" hidden="1" customWidth="1" outlineLevel="2"/>
    <col min="69" max="69" width="12.125" style="964" hidden="1" customWidth="1" outlineLevel="2"/>
    <col min="70" max="70" width="11.375" style="943" customWidth="1" collapsed="1"/>
    <col min="71" max="71" width="8.125" style="1230" customWidth="1"/>
    <col min="72" max="72" width="9.25" style="837" customWidth="1"/>
    <col min="73" max="73" width="4.625" style="965" customWidth="1"/>
    <col min="74" max="74" width="11.125" style="969" hidden="1" customWidth="1" outlineLevel="2"/>
    <col min="75" max="75" width="11.25" style="967" hidden="1" customWidth="1" outlineLevel="2"/>
    <col min="76" max="76" width="12.125" style="969" customWidth="1" collapsed="1"/>
    <col min="77" max="77" width="10.5" style="1224" bestFit="1" customWidth="1"/>
    <col min="78" max="78" width="10.125" style="1085" customWidth="1"/>
    <col min="79" max="79" width="9" style="969" customWidth="1"/>
    <col min="80" max="80" width="8.5" style="1080" bestFit="1" customWidth="1"/>
    <col min="81" max="89" width="8.875" style="943"/>
    <col min="90" max="16384" width="8.875" style="873"/>
  </cols>
  <sheetData>
    <row r="1" spans="1:89">
      <c r="A1" s="956"/>
      <c r="B1" s="957"/>
      <c r="C1" s="958" t="s">
        <v>1080</v>
      </c>
      <c r="D1" s="959"/>
      <c r="E1" s="960"/>
      <c r="F1" s="879"/>
      <c r="G1" s="879"/>
      <c r="H1" s="961"/>
      <c r="I1" s="879"/>
      <c r="J1" s="961"/>
      <c r="K1" s="875" t="s">
        <v>1637</v>
      </c>
      <c r="L1" s="961"/>
      <c r="N1" s="875"/>
      <c r="O1" s="962"/>
      <c r="P1" s="962"/>
      <c r="Q1" s="962"/>
      <c r="R1" s="962"/>
      <c r="S1" s="962"/>
      <c r="CB1" s="970"/>
    </row>
    <row r="2" spans="1:89">
      <c r="A2" s="971"/>
      <c r="B2" s="957"/>
      <c r="E2" s="960"/>
      <c r="F2" s="879"/>
      <c r="G2" s="879"/>
      <c r="H2" s="961"/>
      <c r="J2" s="1664" t="s">
        <v>1543</v>
      </c>
      <c r="K2" s="1670"/>
      <c r="L2" s="1670"/>
      <c r="M2" s="1670"/>
      <c r="N2" s="1670"/>
      <c r="O2" s="1670"/>
      <c r="P2" s="974"/>
      <c r="Q2" s="975"/>
      <c r="R2" s="975"/>
      <c r="S2" s="976"/>
      <c r="T2" s="1635" t="s">
        <v>2079</v>
      </c>
      <c r="U2" s="1636"/>
      <c r="V2" s="1636"/>
      <c r="W2" s="1636"/>
      <c r="X2" s="1637"/>
      <c r="Y2" s="977"/>
      <c r="Z2" s="1635" t="s">
        <v>1082</v>
      </c>
      <c r="AA2" s="1636"/>
      <c r="AB2" s="1636"/>
      <c r="AC2" s="1636"/>
      <c r="AD2" s="1637"/>
      <c r="AE2" s="977"/>
      <c r="AF2" s="1664" t="s">
        <v>1083</v>
      </c>
      <c r="AG2" s="1665"/>
      <c r="AH2" s="1665"/>
      <c r="AI2" s="1665"/>
      <c r="AJ2" s="1666"/>
      <c r="AK2" s="977"/>
      <c r="AL2" s="1635" t="s">
        <v>1084</v>
      </c>
      <c r="AM2" s="1636"/>
      <c r="AN2" s="1636"/>
      <c r="AO2" s="1636"/>
      <c r="AP2" s="1637"/>
      <c r="AQ2" s="977"/>
      <c r="AR2" s="1635" t="s">
        <v>1085</v>
      </c>
      <c r="AS2" s="1636"/>
      <c r="AT2" s="1636"/>
      <c r="AU2" s="1636"/>
      <c r="AV2" s="1637"/>
      <c r="AW2" s="977"/>
      <c r="AX2" s="1635" t="s">
        <v>1086</v>
      </c>
      <c r="AY2" s="1636"/>
      <c r="AZ2" s="1636"/>
      <c r="BA2" s="1636"/>
      <c r="BB2" s="1637"/>
      <c r="BC2" s="977"/>
      <c r="BD2" s="1635" t="s">
        <v>1087</v>
      </c>
      <c r="BE2" s="1636"/>
      <c r="BF2" s="1636"/>
      <c r="BG2" s="1636"/>
      <c r="BH2" s="1637"/>
      <c r="BI2" s="977"/>
      <c r="BJ2" s="1635" t="s">
        <v>1088</v>
      </c>
      <c r="BK2" s="1636"/>
      <c r="BL2" s="1636"/>
      <c r="BM2" s="1636"/>
      <c r="BN2" s="1637"/>
      <c r="BO2" s="977"/>
      <c r="BP2" s="1635" t="s">
        <v>1089</v>
      </c>
      <c r="BQ2" s="1636"/>
      <c r="BR2" s="1636"/>
      <c r="BS2" s="1636"/>
      <c r="BT2" s="1637"/>
      <c r="BU2" s="977"/>
      <c r="BV2" s="1635" t="s">
        <v>1663</v>
      </c>
      <c r="BW2" s="1636"/>
      <c r="BX2" s="1636"/>
      <c r="BY2" s="1636"/>
      <c r="BZ2" s="1637"/>
      <c r="CB2" s="970"/>
    </row>
    <row r="3" spans="1:89" s="985" customFormat="1">
      <c r="A3" s="880" t="s">
        <v>1093</v>
      </c>
      <c r="B3" s="974" t="s">
        <v>1094</v>
      </c>
      <c r="C3" s="880" t="s">
        <v>1091</v>
      </c>
      <c r="D3" s="974" t="s">
        <v>1092</v>
      </c>
      <c r="E3" s="974" t="s">
        <v>1467</v>
      </c>
      <c r="F3" s="974" t="s">
        <v>1470</v>
      </c>
      <c r="G3" s="974" t="s">
        <v>1469</v>
      </c>
      <c r="H3" s="974" t="s">
        <v>1468</v>
      </c>
      <c r="I3" s="974" t="s">
        <v>1471</v>
      </c>
      <c r="J3" s="880" t="s">
        <v>2427</v>
      </c>
      <c r="K3" s="978" t="s">
        <v>2429</v>
      </c>
      <c r="L3" s="1405" t="s">
        <v>2428</v>
      </c>
      <c r="M3" s="978" t="s">
        <v>2430</v>
      </c>
      <c r="N3" s="1319" t="s">
        <v>1544</v>
      </c>
      <c r="O3" s="979" t="s">
        <v>455</v>
      </c>
      <c r="P3" s="880" t="s">
        <v>1580</v>
      </c>
      <c r="Q3" s="980" t="s">
        <v>1581</v>
      </c>
      <c r="R3" s="980" t="s">
        <v>2381</v>
      </c>
      <c r="S3" s="981"/>
      <c r="T3" s="982" t="str">
        <f>J3</f>
        <v>Q2</v>
      </c>
      <c r="U3" s="1182" t="str">
        <f>K3</f>
        <v>Q2得分</v>
      </c>
      <c r="V3" s="983" t="str">
        <f>L3</f>
        <v>Q3</v>
      </c>
      <c r="W3" s="1182" t="str">
        <f>M3</f>
        <v>Q3得分</v>
      </c>
      <c r="X3" s="838" t="s">
        <v>1096</v>
      </c>
      <c r="Y3" s="974"/>
      <c r="Z3" s="974" t="str">
        <f>T3</f>
        <v>Q2</v>
      </c>
      <c r="AA3" s="974" t="str">
        <f>U3</f>
        <v>Q2得分</v>
      </c>
      <c r="AB3" s="983" t="str">
        <f>V3</f>
        <v>Q3</v>
      </c>
      <c r="AC3" s="1225" t="str">
        <f>W3</f>
        <v>Q3得分</v>
      </c>
      <c r="AD3" s="838" t="s">
        <v>1096</v>
      </c>
      <c r="AE3" s="974"/>
      <c r="AF3" s="974" t="str">
        <f>Z3</f>
        <v>Q2</v>
      </c>
      <c r="AG3" s="974" t="str">
        <f>AA3</f>
        <v>Q2得分</v>
      </c>
      <c r="AH3" s="983" t="str">
        <f>AB3</f>
        <v>Q3</v>
      </c>
      <c r="AI3" s="1225" t="str">
        <f>AC3</f>
        <v>Q3得分</v>
      </c>
      <c r="AJ3" s="838" t="s">
        <v>1096</v>
      </c>
      <c r="AK3" s="974"/>
      <c r="AL3" s="974" t="str">
        <f>AF3</f>
        <v>Q2</v>
      </c>
      <c r="AM3" s="974" t="str">
        <f>AG3</f>
        <v>Q2得分</v>
      </c>
      <c r="AN3" s="983" t="str">
        <f>AH3</f>
        <v>Q3</v>
      </c>
      <c r="AO3" s="1225" t="str">
        <f>AI3</f>
        <v>Q3得分</v>
      </c>
      <c r="AP3" s="838" t="s">
        <v>1096</v>
      </c>
      <c r="AQ3" s="974"/>
      <c r="AR3" s="974" t="str">
        <f>AL3</f>
        <v>Q2</v>
      </c>
      <c r="AS3" s="974" t="str">
        <f>AM3</f>
        <v>Q2得分</v>
      </c>
      <c r="AT3" s="983" t="str">
        <f>AN3</f>
        <v>Q3</v>
      </c>
      <c r="AU3" s="1225" t="str">
        <f>AO3</f>
        <v>Q3得分</v>
      </c>
      <c r="AV3" s="838" t="str">
        <f>AP3</f>
        <v>数据校验</v>
      </c>
      <c r="AW3" s="974"/>
      <c r="AX3" s="974" t="str">
        <f>AR3</f>
        <v>Q2</v>
      </c>
      <c r="AY3" s="974" t="str">
        <f>AS3</f>
        <v>Q2得分</v>
      </c>
      <c r="AZ3" s="983" t="str">
        <f>AT3</f>
        <v>Q3</v>
      </c>
      <c r="BA3" s="1225" t="str">
        <f>AU3</f>
        <v>Q3得分</v>
      </c>
      <c r="BB3" s="838" t="str">
        <f>AV3</f>
        <v>数据校验</v>
      </c>
      <c r="BC3" s="974"/>
      <c r="BD3" s="974" t="str">
        <f>AX3</f>
        <v>Q2</v>
      </c>
      <c r="BE3" s="974" t="str">
        <f>AY3</f>
        <v>Q2得分</v>
      </c>
      <c r="BF3" s="983" t="str">
        <f>AZ3</f>
        <v>Q3</v>
      </c>
      <c r="BG3" s="1225" t="str">
        <f>BA3</f>
        <v>Q3得分</v>
      </c>
      <c r="BH3" s="838" t="s">
        <v>1096</v>
      </c>
      <c r="BI3" s="974"/>
      <c r="BJ3" s="974" t="str">
        <f>BD3</f>
        <v>Q2</v>
      </c>
      <c r="BK3" s="974" t="str">
        <f>BE3</f>
        <v>Q2得分</v>
      </c>
      <c r="BL3" s="983" t="str">
        <f>BF3</f>
        <v>Q3</v>
      </c>
      <c r="BM3" s="1225" t="str">
        <f>BG3</f>
        <v>Q3得分</v>
      </c>
      <c r="BN3" s="838" t="s">
        <v>1096</v>
      </c>
      <c r="BO3" s="974"/>
      <c r="BP3" s="974" t="str">
        <f>BJ3</f>
        <v>Q2</v>
      </c>
      <c r="BQ3" s="974" t="str">
        <f>BK3</f>
        <v>Q2得分</v>
      </c>
      <c r="BR3" s="983" t="str">
        <f>BL3</f>
        <v>Q3</v>
      </c>
      <c r="BS3" s="1225" t="str">
        <f>BM3</f>
        <v>Q3得分</v>
      </c>
      <c r="BT3" s="838" t="str">
        <f>BN3</f>
        <v>数据校验</v>
      </c>
      <c r="BU3" s="974"/>
      <c r="BV3" s="974" t="str">
        <f>BP3</f>
        <v>Q2</v>
      </c>
      <c r="BW3" s="974" t="str">
        <f>BQ3</f>
        <v>Q2得分</v>
      </c>
      <c r="BX3" s="983" t="str">
        <f>BR3</f>
        <v>Q3</v>
      </c>
      <c r="BY3" s="1225" t="str">
        <f>BS3</f>
        <v>Q3得分</v>
      </c>
      <c r="BZ3" s="838" t="s">
        <v>1096</v>
      </c>
      <c r="CA3" s="984"/>
    </row>
    <row r="4" spans="1:89" s="886" customFormat="1" ht="14.25">
      <c r="A4" s="1657" t="s">
        <v>2454</v>
      </c>
      <c r="B4" s="1656" t="s">
        <v>1457</v>
      </c>
      <c r="C4" s="899">
        <v>1</v>
      </c>
      <c r="D4" s="1033" t="s">
        <v>1099</v>
      </c>
      <c r="E4" s="987"/>
      <c r="F4" s="988"/>
      <c r="G4" s="988" t="s">
        <v>399</v>
      </c>
      <c r="H4" s="989" t="s">
        <v>229</v>
      </c>
      <c r="I4" s="990">
        <v>3</v>
      </c>
      <c r="J4" s="1212">
        <f>AVERAGE(BV4,BP4,BJ4,BD4,AX4,AR4,AL4,AF4,Z4,T4)</f>
        <v>0.1226190476190476</v>
      </c>
      <c r="K4" s="1309">
        <f>AVERAGE(BW4,BQ4,BK4,BE4,AY4,AS4,AM4,AG4,AA4,U4)</f>
        <v>2.85</v>
      </c>
      <c r="L4" s="1212">
        <f>AVERAGE(BX4,BR4,BL4,BF4,AZ4,AT4,AN4,AH4,AB4,V4)</f>
        <v>5.4200244200244198E-2</v>
      </c>
      <c r="M4" s="1309">
        <f>AVERAGE(BY4,BS4,BM4,BG4,BA4,AU4,AO4,AI4,AC4,W4)</f>
        <v>3</v>
      </c>
      <c r="N4" s="1320">
        <f>M4-K4</f>
        <v>0.14999999999999991</v>
      </c>
      <c r="O4" s="1257">
        <f t="shared" ref="O4:O35" si="0">I4-M4</f>
        <v>0</v>
      </c>
      <c r="P4" s="1257">
        <f>O4*0.7</f>
        <v>0</v>
      </c>
      <c r="Q4" s="1257">
        <f>P4/9</f>
        <v>0</v>
      </c>
      <c r="R4" s="1257">
        <f>Q4/2</f>
        <v>0</v>
      </c>
      <c r="S4" s="992"/>
      <c r="T4" s="1180">
        <v>0</v>
      </c>
      <c r="U4" s="1183">
        <f>IF(T4&lt;=0.3,3,IF(T4&lt;=0.5,1.5,0))</f>
        <v>3</v>
      </c>
      <c r="V4" s="1180">
        <f>IF(SUM(V5:V6)=0,"",V5/SUM(V5:V6))</f>
        <v>0</v>
      </c>
      <c r="W4" s="1183">
        <f>IF(V4&lt;=0.3,3,IF(V4&lt;=0.5,1.5,0))</f>
        <v>3</v>
      </c>
      <c r="X4" s="154">
        <f t="shared" ref="X4:X67" si="1">IF(AND(T4=0,V4&lt;&gt;0),1,IF(AND(T4=0,V4=0),0,V4/T4-1))</f>
        <v>0</v>
      </c>
      <c r="Y4" s="992"/>
      <c r="Z4" s="1180">
        <v>0</v>
      </c>
      <c r="AA4" s="988">
        <f>IF(Z4&lt;=0.3,3,IF(Z4&lt;=0.5,1.5,0))</f>
        <v>3</v>
      </c>
      <c r="AB4" s="1180">
        <f>IF(SUM(AB5:AB6)=0,"",AB5/SUM(AB5:AB6))</f>
        <v>0</v>
      </c>
      <c r="AC4" s="1213">
        <f>IF(AB4&lt;=0.3,3,IF(AB4&lt;=0.5,1.5,0))</f>
        <v>3</v>
      </c>
      <c r="AD4" s="154">
        <f t="shared" ref="AD4:AD67" si="2">IF(AND(Z4=0,AB4&lt;&gt;0),1,IF(AND(Z4=0,AB4=0),0,AB4/Z4-1))</f>
        <v>0</v>
      </c>
      <c r="AE4" s="992"/>
      <c r="AF4" s="1180">
        <v>0</v>
      </c>
      <c r="AG4" s="988">
        <f>IF(AF4&lt;=0.3,3,IF(AF4&lt;=0.5,1.5,0))</f>
        <v>3</v>
      </c>
      <c r="AH4" s="1180">
        <f>IF(SUM(AH5:AH6)=0,"",AH5/SUM(AH5:AH6))</f>
        <v>0</v>
      </c>
      <c r="AI4" s="1213">
        <f>IF(AH4&lt;=0.3,3,IF(AH4&lt;=0.5,1.5,0))</f>
        <v>3</v>
      </c>
      <c r="AJ4" s="154">
        <f t="shared" ref="AJ4:AJ67" si="3">IF(AND(AF4=0,AH4&lt;&gt;0),1,IF(AND(AF4=0,AH4=0),0,AH4/AF4-1))</f>
        <v>0</v>
      </c>
      <c r="AK4" s="992"/>
      <c r="AL4" s="1180">
        <v>0</v>
      </c>
      <c r="AM4" s="988">
        <f>IF(AL4&lt;=0.3,3,IF(AL4&lt;=0.5,1.5,0))</f>
        <v>3</v>
      </c>
      <c r="AN4" s="1180">
        <f>IF(SUM(AN5:AN6)=0,"",AN5/SUM(AN5:AN6))</f>
        <v>0</v>
      </c>
      <c r="AO4" s="1213">
        <f>IF(AN4&lt;=0.3,3,IF(AN4&lt;=0.5,1.5,0))</f>
        <v>3</v>
      </c>
      <c r="AP4" s="154">
        <f t="shared" ref="AP4:AP67" si="4">IF(AND(AL4=0,AN4&lt;&gt;0),1,IF(AND(AL4=0,AN4=0),0,AN4/AL4-1))</f>
        <v>0</v>
      </c>
      <c r="AQ4" s="992"/>
      <c r="AR4" s="1180">
        <v>0.2</v>
      </c>
      <c r="AS4" s="988">
        <f>IF(AR4&lt;=0.3,3,IF(AR4&lt;=0.5,1.5,0))</f>
        <v>3</v>
      </c>
      <c r="AT4" s="1180">
        <f>IF(SUM(AT5:AT6)=0,"",AT5/SUM(AT5:AT6))</f>
        <v>0.22222222222222221</v>
      </c>
      <c r="AU4" s="1213">
        <f>IF(AT4&lt;=0.3,3,IF(AT4&lt;=0.5,1.5,0))</f>
        <v>3</v>
      </c>
      <c r="AV4" s="154">
        <f t="shared" ref="AV4:AV67" si="5">IF(AND(AR4=0,AT4&lt;&gt;0),1,IF(AND(AR4=0,AT4=0),0,AT4/AR4-1))</f>
        <v>0.11111111111111094</v>
      </c>
      <c r="AW4" s="992"/>
      <c r="AX4" s="1180">
        <v>0.13333333333333333</v>
      </c>
      <c r="AY4" s="988">
        <f>IF(AX4&lt;=0.3,3,IF(AX4&lt;=0.5,1.5,0))</f>
        <v>3</v>
      </c>
      <c r="AZ4" s="1180">
        <f>IF(SUM(AZ5:AZ6)=0,"",AZ5/SUM(AZ5:AZ6))</f>
        <v>7.6923076923076927E-2</v>
      </c>
      <c r="BA4" s="1213">
        <f>IF(AZ4&lt;=0.3,3,IF(AZ4&lt;=0.5,1.5,0))</f>
        <v>3</v>
      </c>
      <c r="BB4" s="154">
        <f t="shared" ref="BB4:BB67" si="6">IF(AND(AX4=0,AZ4&lt;&gt;0),1,IF(AND(AX4=0,AZ4=0),0,AZ4/AX4-1))</f>
        <v>-0.42307692307692302</v>
      </c>
      <c r="BC4" s="992"/>
      <c r="BD4" s="1207">
        <v>0.33333333333333331</v>
      </c>
      <c r="BE4" s="988">
        <f>IF(BD4&lt;=0.3,3,IF(BD4&lt;=0.5,1.5,0))</f>
        <v>1.5</v>
      </c>
      <c r="BF4" s="1207">
        <f>IF(SUM(BF5:BF6)=0,"",BF5/SUM(BF5:BF6))</f>
        <v>0</v>
      </c>
      <c r="BG4" s="1213">
        <f>IF(BF4&lt;=0.3,3,IF(BF4&lt;=0.5,1.5,0))</f>
        <v>3</v>
      </c>
      <c r="BH4" s="154">
        <f t="shared" ref="BH4:BH67" si="7">IF(AND(BD4=0,BF4&lt;&gt;0),1,IF(AND(BD4=0,BF4=0),0,BF4/BD4-1))</f>
        <v>-1</v>
      </c>
      <c r="BI4" s="992"/>
      <c r="BJ4" s="1180">
        <v>0.25</v>
      </c>
      <c r="BK4" s="988">
        <f>IF(BJ4&lt;=0.3,3,IF(BJ4&lt;=0.5,1.5,0))</f>
        <v>3</v>
      </c>
      <c r="BL4" s="1180">
        <f>IF(SUM(BL5:BL6)=0,"",BL5/SUM(BL5:BL6))</f>
        <v>0.1</v>
      </c>
      <c r="BM4" s="1213">
        <f>IF(BL4&lt;=0.3,3,IF(BL4&lt;=0.5,1.5,0))</f>
        <v>3</v>
      </c>
      <c r="BN4" s="154">
        <f t="shared" ref="BN4:BN67" si="8">IF(AND(BJ4=0,BL4&lt;&gt;0),1,IF(AND(BJ4=0,BL4=0),0,BL4/BJ4-1))</f>
        <v>-0.6</v>
      </c>
      <c r="BO4" s="992"/>
      <c r="BP4" s="1180">
        <v>0.16666666666666666</v>
      </c>
      <c r="BQ4" s="988">
        <f>IF(BP4&lt;=0.3,3,IF(BP4&lt;=0.5,1.5,0))</f>
        <v>3</v>
      </c>
      <c r="BR4" s="1180">
        <f>IF(SUM(BR5:BR6)=0,"",BR5/SUM(BR5:BR6))</f>
        <v>0.14285714285714285</v>
      </c>
      <c r="BS4" s="1213">
        <f>IF(BR4&lt;=0.3,3,IF(BR4&lt;=0.5,1.5,0))</f>
        <v>3</v>
      </c>
      <c r="BT4" s="154">
        <f t="shared" ref="BT4:BT67" si="9">IF(AND(BP4=0,BR4&lt;&gt;0),1,IF(AND(BP4=0,BR4=0),0,BR4/BP4-1))</f>
        <v>-0.1428571428571429</v>
      </c>
      <c r="BU4" s="992"/>
      <c r="BV4" s="1180">
        <v>0.14285714285714285</v>
      </c>
      <c r="BW4" s="988">
        <f>IF(BV4&lt;=0.3,3,IF(BV4&lt;=0.5,1.5,0))</f>
        <v>3</v>
      </c>
      <c r="BX4" s="1180">
        <f>IF(SUM(BX5:BX6)=0,"",BX5/SUM(BX5:BX6))</f>
        <v>0</v>
      </c>
      <c r="BY4" s="1213">
        <f>IF(BX4&lt;=0.3,3,IF(BX4&lt;=0.5,1.5,0))</f>
        <v>3</v>
      </c>
      <c r="BZ4" s="154">
        <f t="shared" ref="BZ4:BZ67" si="10">IF(AND(BV4=0,BX4&lt;&gt;0),1,IF(AND(BV4=0,BX4=0),0,BX4/BV4-1))</f>
        <v>-1</v>
      </c>
      <c r="CA4" s="968"/>
      <c r="CC4" s="965"/>
      <c r="CD4" s="965"/>
      <c r="CE4" s="965"/>
      <c r="CF4" s="965"/>
      <c r="CG4" s="965"/>
      <c r="CH4" s="965"/>
      <c r="CI4" s="965"/>
      <c r="CJ4" s="965"/>
      <c r="CK4" s="965"/>
    </row>
    <row r="5" spans="1:89" s="886" customFormat="1" ht="28.5">
      <c r="A5" s="1658"/>
      <c r="B5" s="1655"/>
      <c r="C5" s="913">
        <v>1.1000000000000001</v>
      </c>
      <c r="D5" s="994" t="s">
        <v>2472</v>
      </c>
      <c r="E5" s="995" t="s">
        <v>1100</v>
      </c>
      <c r="F5" s="993" t="s">
        <v>1101</v>
      </c>
      <c r="G5" s="996"/>
      <c r="H5" s="997"/>
      <c r="I5" s="988"/>
      <c r="J5" s="991">
        <f t="shared" ref="J5:J14" si="11">AVERAGE(BV5,BP5,BJ5,BD5,AX5,AR5,AL5,AF5,Z5,T5)</f>
        <v>1</v>
      </c>
      <c r="K5" s="1310"/>
      <c r="L5" s="991">
        <f t="shared" ref="L5:L14" si="12">AVERAGE(BX5,BR5,BL5,BF5,AZ5,AT5,AN5,AH5,AB5,V5)</f>
        <v>0.5</v>
      </c>
      <c r="M5" s="1310"/>
      <c r="N5" s="1310">
        <f t="shared" ref="N5:N68" si="13">M5-K5</f>
        <v>0</v>
      </c>
      <c r="O5" s="1257">
        <f t="shared" si="0"/>
        <v>0</v>
      </c>
      <c r="P5" s="1257">
        <f t="shared" ref="P5:P68" si="14">O5*0.7</f>
        <v>0</v>
      </c>
      <c r="Q5" s="1257">
        <f t="shared" ref="Q5:Q68" si="15">P5/9</f>
        <v>0</v>
      </c>
      <c r="R5" s="1257">
        <f t="shared" ref="R5:R68" si="16">Q5/2</f>
        <v>0</v>
      </c>
      <c r="S5" s="992"/>
      <c r="T5" s="989">
        <v>0</v>
      </c>
      <c r="U5" s="1183"/>
      <c r="V5" s="989">
        <v>0</v>
      </c>
      <c r="W5" s="1183"/>
      <c r="X5" s="154">
        <f t="shared" si="1"/>
        <v>0</v>
      </c>
      <c r="Y5" s="992"/>
      <c r="Z5" s="989">
        <v>0</v>
      </c>
      <c r="AA5" s="988"/>
      <c r="AB5" s="989">
        <v>0</v>
      </c>
      <c r="AC5" s="1213"/>
      <c r="AD5" s="154">
        <f t="shared" si="2"/>
        <v>0</v>
      </c>
      <c r="AE5" s="992"/>
      <c r="AF5" s="989">
        <v>0</v>
      </c>
      <c r="AG5" s="988"/>
      <c r="AH5" s="989">
        <v>0</v>
      </c>
      <c r="AI5" s="1213"/>
      <c r="AJ5" s="154">
        <f t="shared" si="3"/>
        <v>0</v>
      </c>
      <c r="AK5" s="992"/>
      <c r="AL5" s="989">
        <v>0</v>
      </c>
      <c r="AM5" s="988"/>
      <c r="AN5" s="989">
        <v>0</v>
      </c>
      <c r="AO5" s="1213"/>
      <c r="AP5" s="154">
        <f t="shared" si="4"/>
        <v>0</v>
      </c>
      <c r="AQ5" s="992"/>
      <c r="AR5" s="989">
        <v>2</v>
      </c>
      <c r="AS5" s="988"/>
      <c r="AT5" s="989">
        <v>2</v>
      </c>
      <c r="AU5" s="1213"/>
      <c r="AV5" s="154">
        <f t="shared" si="5"/>
        <v>0</v>
      </c>
      <c r="AW5" s="992"/>
      <c r="AX5" s="989">
        <v>2</v>
      </c>
      <c r="AY5" s="988"/>
      <c r="AZ5" s="989">
        <v>1</v>
      </c>
      <c r="BA5" s="1213"/>
      <c r="BB5" s="154">
        <f t="shared" si="6"/>
        <v>-0.5</v>
      </c>
      <c r="BC5" s="992"/>
      <c r="BD5" s="989">
        <v>1</v>
      </c>
      <c r="BE5" s="988"/>
      <c r="BF5" s="989">
        <v>0</v>
      </c>
      <c r="BG5" s="1213"/>
      <c r="BH5" s="154">
        <f t="shared" si="7"/>
        <v>-1</v>
      </c>
      <c r="BI5" s="992"/>
      <c r="BJ5" s="989">
        <v>3</v>
      </c>
      <c r="BK5" s="988"/>
      <c r="BL5" s="989">
        <v>1</v>
      </c>
      <c r="BM5" s="1213"/>
      <c r="BN5" s="154">
        <f t="shared" si="8"/>
        <v>-0.66666666666666674</v>
      </c>
      <c r="BO5" s="992"/>
      <c r="BP5" s="989">
        <v>1</v>
      </c>
      <c r="BQ5" s="988"/>
      <c r="BR5" s="989">
        <v>1</v>
      </c>
      <c r="BS5" s="1213"/>
      <c r="BT5" s="154">
        <f t="shared" si="9"/>
        <v>0</v>
      </c>
      <c r="BU5" s="992"/>
      <c r="BV5" s="989">
        <v>1</v>
      </c>
      <c r="BW5" s="988"/>
      <c r="BX5" s="989">
        <v>0</v>
      </c>
      <c r="BY5" s="1213"/>
      <c r="BZ5" s="154">
        <f t="shared" si="10"/>
        <v>-1</v>
      </c>
      <c r="CA5" s="968"/>
      <c r="CC5" s="965"/>
      <c r="CD5" s="965"/>
      <c r="CE5" s="965"/>
      <c r="CF5" s="965"/>
      <c r="CG5" s="965"/>
      <c r="CH5" s="965"/>
      <c r="CI5" s="965"/>
      <c r="CJ5" s="965"/>
      <c r="CK5" s="965"/>
    </row>
    <row r="6" spans="1:89" s="886" customFormat="1" ht="28.5">
      <c r="A6" s="1659"/>
      <c r="B6" s="1655"/>
      <c r="C6" s="913">
        <v>1.2</v>
      </c>
      <c r="D6" s="1414" t="s">
        <v>2473</v>
      </c>
      <c r="E6" s="995" t="s">
        <v>1100</v>
      </c>
      <c r="F6" s="993" t="s">
        <v>1101</v>
      </c>
      <c r="G6" s="996"/>
      <c r="H6" s="997"/>
      <c r="I6" s="988"/>
      <c r="J6" s="991">
        <f t="shared" si="11"/>
        <v>6.7</v>
      </c>
      <c r="K6" s="1310"/>
      <c r="L6" s="991">
        <f t="shared" si="12"/>
        <v>7</v>
      </c>
      <c r="M6" s="1310"/>
      <c r="N6" s="1310">
        <f t="shared" si="13"/>
        <v>0</v>
      </c>
      <c r="O6" s="1257">
        <f t="shared" si="0"/>
        <v>0</v>
      </c>
      <c r="P6" s="1257">
        <f t="shared" si="14"/>
        <v>0</v>
      </c>
      <c r="Q6" s="1257">
        <f t="shared" si="15"/>
        <v>0</v>
      </c>
      <c r="R6" s="1257">
        <f t="shared" si="16"/>
        <v>0</v>
      </c>
      <c r="S6" s="992"/>
      <c r="T6" s="989">
        <v>5</v>
      </c>
      <c r="U6" s="1183"/>
      <c r="V6" s="989">
        <v>5</v>
      </c>
      <c r="W6" s="1183"/>
      <c r="X6" s="154">
        <f t="shared" si="1"/>
        <v>0</v>
      </c>
      <c r="Y6" s="992"/>
      <c r="Z6" s="989">
        <v>2</v>
      </c>
      <c r="AA6" s="988"/>
      <c r="AB6" s="989">
        <v>4</v>
      </c>
      <c r="AC6" s="1213"/>
      <c r="AD6" s="154">
        <f t="shared" si="2"/>
        <v>1</v>
      </c>
      <c r="AE6" s="992"/>
      <c r="AF6" s="989">
        <v>14</v>
      </c>
      <c r="AG6" s="988"/>
      <c r="AH6" s="989">
        <v>15</v>
      </c>
      <c r="AI6" s="1213"/>
      <c r="AJ6" s="154">
        <f t="shared" si="3"/>
        <v>7.1428571428571397E-2</v>
      </c>
      <c r="AK6" s="992"/>
      <c r="AL6" s="989">
        <v>3</v>
      </c>
      <c r="AM6" s="988"/>
      <c r="AN6" s="989">
        <v>3</v>
      </c>
      <c r="AO6" s="1213"/>
      <c r="AP6" s="154">
        <f t="shared" si="4"/>
        <v>0</v>
      </c>
      <c r="AQ6" s="992"/>
      <c r="AR6" s="989">
        <v>8</v>
      </c>
      <c r="AS6" s="988"/>
      <c r="AT6" s="989">
        <v>7</v>
      </c>
      <c r="AU6" s="1213"/>
      <c r="AV6" s="154">
        <f t="shared" si="5"/>
        <v>-0.125</v>
      </c>
      <c r="AW6" s="992"/>
      <c r="AX6" s="989">
        <v>13</v>
      </c>
      <c r="AY6" s="988"/>
      <c r="AZ6" s="989">
        <v>12</v>
      </c>
      <c r="BA6" s="1213"/>
      <c r="BB6" s="154">
        <f t="shared" si="6"/>
        <v>-7.6923076923076872E-2</v>
      </c>
      <c r="BC6" s="992"/>
      <c r="BD6" s="989">
        <v>2</v>
      </c>
      <c r="BE6" s="988"/>
      <c r="BF6" s="989">
        <v>2</v>
      </c>
      <c r="BG6" s="1213"/>
      <c r="BH6" s="154">
        <f t="shared" si="7"/>
        <v>0</v>
      </c>
      <c r="BI6" s="992"/>
      <c r="BJ6" s="989">
        <v>9</v>
      </c>
      <c r="BK6" s="988"/>
      <c r="BL6" s="989">
        <v>9</v>
      </c>
      <c r="BM6" s="1213"/>
      <c r="BN6" s="154">
        <f t="shared" si="8"/>
        <v>0</v>
      </c>
      <c r="BO6" s="992"/>
      <c r="BP6" s="989">
        <v>5</v>
      </c>
      <c r="BQ6" s="988"/>
      <c r="BR6" s="989">
        <v>6</v>
      </c>
      <c r="BS6" s="1213"/>
      <c r="BT6" s="154">
        <f t="shared" si="9"/>
        <v>0.19999999999999996</v>
      </c>
      <c r="BU6" s="992"/>
      <c r="BV6" s="989">
        <v>6</v>
      </c>
      <c r="BW6" s="988"/>
      <c r="BX6" s="989">
        <v>7</v>
      </c>
      <c r="BY6" s="1213"/>
      <c r="BZ6" s="154">
        <f t="shared" si="10"/>
        <v>0.16666666666666674</v>
      </c>
      <c r="CA6" s="968"/>
      <c r="CC6" s="965"/>
      <c r="CD6" s="965"/>
      <c r="CE6" s="965"/>
      <c r="CF6" s="965"/>
      <c r="CG6" s="965"/>
      <c r="CH6" s="965"/>
      <c r="CI6" s="965"/>
      <c r="CJ6" s="965"/>
      <c r="CK6" s="965"/>
    </row>
    <row r="7" spans="1:89" s="886" customFormat="1" ht="28.5">
      <c r="A7" s="1653" t="s">
        <v>2455</v>
      </c>
      <c r="B7" s="1653" t="s">
        <v>2446</v>
      </c>
      <c r="C7" s="899">
        <v>2</v>
      </c>
      <c r="D7" s="986" t="s">
        <v>1722</v>
      </c>
      <c r="E7" s="987"/>
      <c r="F7" s="988"/>
      <c r="G7" s="988" t="s">
        <v>396</v>
      </c>
      <c r="H7" s="989" t="s">
        <v>229</v>
      </c>
      <c r="I7" s="990">
        <v>2</v>
      </c>
      <c r="J7" s="1212">
        <f t="shared" si="11"/>
        <v>0.97619047619047628</v>
      </c>
      <c r="K7" s="1310">
        <f>AVERAGE(BW7,BQ7,BK7,BE7,AY7,AS7,AM7,AG7,AA7,U7)</f>
        <v>2</v>
      </c>
      <c r="L7" s="1212">
        <f t="shared" si="12"/>
        <v>0.99285714285714288</v>
      </c>
      <c r="M7" s="1310">
        <f>AVERAGE(BY7,BS7,BM7,BG7,BA7,AU7,AO7,AI7,AC7,W7)</f>
        <v>2</v>
      </c>
      <c r="N7" s="1310">
        <f t="shared" si="13"/>
        <v>0</v>
      </c>
      <c r="O7" s="1257">
        <f t="shared" si="0"/>
        <v>0</v>
      </c>
      <c r="P7" s="1257">
        <f t="shared" si="14"/>
        <v>0</v>
      </c>
      <c r="Q7" s="1257">
        <f t="shared" si="15"/>
        <v>0</v>
      </c>
      <c r="R7" s="1257">
        <f t="shared" si="16"/>
        <v>0</v>
      </c>
      <c r="S7" s="992"/>
      <c r="T7" s="1180">
        <v>1</v>
      </c>
      <c r="U7" s="1184">
        <f>IF(T7&gt;=0.8,2,IF(T7&gt;=50%,1,0))</f>
        <v>2</v>
      </c>
      <c r="V7" s="1180">
        <f>IF(V9=0,"",V8/V9)</f>
        <v>1</v>
      </c>
      <c r="W7" s="1184">
        <f>IF(V7&gt;=0.8,2,IF(V7&gt;=0.5,1,0))</f>
        <v>2</v>
      </c>
      <c r="X7" s="154">
        <f t="shared" si="1"/>
        <v>0</v>
      </c>
      <c r="Y7" s="992"/>
      <c r="Z7" s="1180">
        <v>1</v>
      </c>
      <c r="AA7" s="999">
        <f>IF(Z7&gt;=0.8,2,IF(Z7&gt;=50%,1,0))</f>
        <v>2</v>
      </c>
      <c r="AB7" s="1180">
        <f>IF(AB9=0,"",AB8/AB9)</f>
        <v>1</v>
      </c>
      <c r="AC7" s="1222">
        <f>IF(AB7&gt;=0.8,2,IF(AB7&gt;=0.5,1,0))</f>
        <v>2</v>
      </c>
      <c r="AD7" s="154">
        <f t="shared" si="2"/>
        <v>0</v>
      </c>
      <c r="AE7" s="992"/>
      <c r="AF7" s="1180">
        <v>1</v>
      </c>
      <c r="AG7" s="999">
        <f>IF(AF7&gt;=0.8,2,IF(AF7&gt;=50%,1,0))</f>
        <v>2</v>
      </c>
      <c r="AH7" s="1180">
        <f>IF(AH9=0,"",AH8/AH9)</f>
        <v>1</v>
      </c>
      <c r="AI7" s="1222">
        <f>IF(AH7&gt;=0.8,2,IF(AH7&gt;=0.5,1,0))</f>
        <v>2</v>
      </c>
      <c r="AJ7" s="154">
        <f t="shared" si="3"/>
        <v>0</v>
      </c>
      <c r="AK7" s="992"/>
      <c r="AL7" s="1180">
        <v>1</v>
      </c>
      <c r="AM7" s="999">
        <f>IF(AL7&gt;=0.8,2,IF(AL7&gt;=50%,1,0))</f>
        <v>2</v>
      </c>
      <c r="AN7" s="1180">
        <f>IF(AN9=0,"",AN8/AN9)</f>
        <v>1</v>
      </c>
      <c r="AO7" s="1222">
        <f>IF(AN7&gt;=0.8,2,IF(AN7&gt;=0.5,1,0))</f>
        <v>2</v>
      </c>
      <c r="AP7" s="154">
        <f t="shared" si="4"/>
        <v>0</v>
      </c>
      <c r="AQ7" s="992"/>
      <c r="AR7" s="1180">
        <v>1</v>
      </c>
      <c r="AS7" s="999">
        <f>IF(AR7&gt;=0.8,2,IF(AR7&gt;=50%,1,0))</f>
        <v>2</v>
      </c>
      <c r="AT7" s="1180">
        <f>IF(AT9=0,"",AT8/AT9)</f>
        <v>1</v>
      </c>
      <c r="AU7" s="1222">
        <f>IF(AT7&gt;=0.8,2,IF(AT7&gt;=0.5,1,0))</f>
        <v>2</v>
      </c>
      <c r="AV7" s="154">
        <f t="shared" si="5"/>
        <v>0</v>
      </c>
      <c r="AW7" s="992"/>
      <c r="AX7" s="1180">
        <v>1</v>
      </c>
      <c r="AY7" s="999">
        <f>IF(AX7&gt;=0.8,2,IF(AX7&gt;=50%,1,0))</f>
        <v>2</v>
      </c>
      <c r="AZ7" s="1180">
        <f>IF(AZ9=0,"",AZ8/AZ9)</f>
        <v>1</v>
      </c>
      <c r="BA7" s="1222">
        <f>IF(AZ7&gt;=0.8,2,IF(AZ7&gt;=0.5,1,0))</f>
        <v>2</v>
      </c>
      <c r="BB7" s="154">
        <f t="shared" si="6"/>
        <v>0</v>
      </c>
      <c r="BC7" s="992"/>
      <c r="BD7" s="1180">
        <v>0.83333333333333337</v>
      </c>
      <c r="BE7" s="999">
        <f>IF(BD7&gt;=0.8,2,IF(BD7&gt;=50%,1,0))</f>
        <v>2</v>
      </c>
      <c r="BF7" s="1180">
        <f>IF(BF9=0,"",BF8/BF9)</f>
        <v>1</v>
      </c>
      <c r="BG7" s="1222">
        <f>IF(BF7&gt;=0.8,2,IF(BF7&gt;=0.5,1,0))</f>
        <v>2</v>
      </c>
      <c r="BH7" s="154">
        <f t="shared" si="7"/>
        <v>0.19999999999999996</v>
      </c>
      <c r="BI7" s="992"/>
      <c r="BJ7" s="1180">
        <v>1</v>
      </c>
      <c r="BK7" s="999">
        <f>IF(BJ7&gt;=0.8,2,IF(BJ7&gt;=50%,1,0))</f>
        <v>2</v>
      </c>
      <c r="BL7" s="1180">
        <f>IF(BL9=0,"",BL8/BL9)</f>
        <v>1</v>
      </c>
      <c r="BM7" s="1222">
        <f>IF(BL7&gt;=0.8,2,IF(BL7&gt;=0.5,1,0))</f>
        <v>2</v>
      </c>
      <c r="BN7" s="154">
        <f t="shared" si="8"/>
        <v>0</v>
      </c>
      <c r="BO7" s="992"/>
      <c r="BP7" s="1180">
        <v>0.9285714285714286</v>
      </c>
      <c r="BQ7" s="999">
        <f>IF(BP7&gt;=0.8,2,IF(BP7&gt;=50%,1,0))</f>
        <v>2</v>
      </c>
      <c r="BR7" s="1180">
        <f>IF(BR9=0,"",BR8/BR9)</f>
        <v>0.9285714285714286</v>
      </c>
      <c r="BS7" s="1222">
        <f>IF(BR7&gt;=0.8,2,IF(BR7&gt;=0.5,1,0))</f>
        <v>2</v>
      </c>
      <c r="BT7" s="154">
        <f t="shared" si="9"/>
        <v>0</v>
      </c>
      <c r="BU7" s="992"/>
      <c r="BV7" s="1180">
        <v>1</v>
      </c>
      <c r="BW7" s="999">
        <f>IF(BV7&gt;=0.8,2,IF(BV7&gt;=50%,1,0))</f>
        <v>2</v>
      </c>
      <c r="BX7" s="1180">
        <f>IF(BX9=0,"",BX8/BX9)</f>
        <v>1</v>
      </c>
      <c r="BY7" s="1222">
        <f>IF(BX7&gt;=0.8,2,IF(BX7&gt;=0.5,1,0))</f>
        <v>2</v>
      </c>
      <c r="BZ7" s="154">
        <f t="shared" si="10"/>
        <v>0</v>
      </c>
      <c r="CA7" s="968"/>
      <c r="CC7" s="965"/>
      <c r="CD7" s="965"/>
      <c r="CE7" s="965"/>
      <c r="CF7" s="965"/>
      <c r="CG7" s="965"/>
      <c r="CH7" s="965"/>
      <c r="CI7" s="965"/>
      <c r="CJ7" s="965"/>
      <c r="CK7" s="965"/>
    </row>
    <row r="8" spans="1:89" s="886" customFormat="1" ht="42.75">
      <c r="A8" s="1655"/>
      <c r="B8" s="1655"/>
      <c r="C8" s="913">
        <v>2.1</v>
      </c>
      <c r="D8" s="1413" t="s">
        <v>2387</v>
      </c>
      <c r="E8" s="995" t="s">
        <v>1102</v>
      </c>
      <c r="F8" s="996"/>
      <c r="G8" s="996"/>
      <c r="H8" s="997"/>
      <c r="I8" s="988"/>
      <c r="J8" s="991">
        <f t="shared" si="11"/>
        <v>12.7</v>
      </c>
      <c r="K8" s="1310"/>
      <c r="L8" s="991">
        <f t="shared" si="12"/>
        <v>13</v>
      </c>
      <c r="M8" s="1310"/>
      <c r="N8" s="1310">
        <f t="shared" si="13"/>
        <v>0</v>
      </c>
      <c r="O8" s="1257">
        <f t="shared" si="0"/>
        <v>0</v>
      </c>
      <c r="P8" s="1257">
        <f t="shared" si="14"/>
        <v>0</v>
      </c>
      <c r="Q8" s="1257">
        <f t="shared" si="15"/>
        <v>0</v>
      </c>
      <c r="R8" s="1257">
        <f t="shared" si="16"/>
        <v>0</v>
      </c>
      <c r="S8" s="992"/>
      <c r="T8" s="989">
        <v>6</v>
      </c>
      <c r="U8" s="1183"/>
      <c r="V8" s="989">
        <v>6</v>
      </c>
      <c r="W8" s="1183"/>
      <c r="X8" s="154">
        <f t="shared" si="1"/>
        <v>0</v>
      </c>
      <c r="Y8" s="992"/>
      <c r="Z8" s="989">
        <v>9</v>
      </c>
      <c r="AA8" s="988"/>
      <c r="AB8" s="989">
        <v>9</v>
      </c>
      <c r="AC8" s="1213"/>
      <c r="AD8" s="154">
        <f t="shared" si="2"/>
        <v>0</v>
      </c>
      <c r="AE8" s="992"/>
      <c r="AF8" s="989">
        <v>21</v>
      </c>
      <c r="AG8" s="988"/>
      <c r="AH8" s="989">
        <v>18</v>
      </c>
      <c r="AI8" s="1213"/>
      <c r="AJ8" s="154">
        <f t="shared" si="3"/>
        <v>-0.1428571428571429</v>
      </c>
      <c r="AK8" s="992"/>
      <c r="AL8" s="989">
        <v>6</v>
      </c>
      <c r="AM8" s="988"/>
      <c r="AN8" s="989">
        <v>6</v>
      </c>
      <c r="AO8" s="1213"/>
      <c r="AP8" s="154">
        <f t="shared" si="4"/>
        <v>0</v>
      </c>
      <c r="AQ8" s="992"/>
      <c r="AR8" s="989">
        <v>18</v>
      </c>
      <c r="AS8" s="988"/>
      <c r="AT8" s="989">
        <v>21</v>
      </c>
      <c r="AU8" s="1213"/>
      <c r="AV8" s="154">
        <f t="shared" si="5"/>
        <v>0.16666666666666674</v>
      </c>
      <c r="AW8" s="992"/>
      <c r="AX8" s="989">
        <v>20</v>
      </c>
      <c r="AY8" s="988"/>
      <c r="AZ8" s="989">
        <v>22</v>
      </c>
      <c r="BA8" s="1213"/>
      <c r="BB8" s="154">
        <f t="shared" si="6"/>
        <v>0.10000000000000009</v>
      </c>
      <c r="BC8" s="992"/>
      <c r="BD8" s="989">
        <v>5</v>
      </c>
      <c r="BE8" s="988"/>
      <c r="BF8" s="989">
        <v>6</v>
      </c>
      <c r="BG8" s="1213"/>
      <c r="BH8" s="154">
        <f t="shared" si="7"/>
        <v>0.19999999999999996</v>
      </c>
      <c r="BI8" s="992"/>
      <c r="BJ8" s="989">
        <v>14</v>
      </c>
      <c r="BK8" s="988"/>
      <c r="BL8" s="989">
        <v>14</v>
      </c>
      <c r="BM8" s="1213"/>
      <c r="BN8" s="154">
        <f t="shared" si="8"/>
        <v>0</v>
      </c>
      <c r="BO8" s="992"/>
      <c r="BP8" s="989">
        <v>13</v>
      </c>
      <c r="BQ8" s="988"/>
      <c r="BR8" s="989">
        <v>13</v>
      </c>
      <c r="BS8" s="1213"/>
      <c r="BT8" s="154">
        <f t="shared" si="9"/>
        <v>0</v>
      </c>
      <c r="BU8" s="992"/>
      <c r="BV8" s="989">
        <v>15</v>
      </c>
      <c r="BW8" s="988"/>
      <c r="BX8" s="989">
        <v>15</v>
      </c>
      <c r="BY8" s="1213"/>
      <c r="BZ8" s="154">
        <f>IF(AND(BV8=0,BX8&lt;&gt;0),1,IF(AND(BV8=0,BX8=0),0,BX8/BV8-1))</f>
        <v>0</v>
      </c>
      <c r="CA8" s="968"/>
      <c r="CC8" s="965"/>
      <c r="CD8" s="965"/>
      <c r="CE8" s="965"/>
      <c r="CF8" s="965"/>
      <c r="CG8" s="965"/>
      <c r="CH8" s="965"/>
      <c r="CI8" s="965"/>
      <c r="CJ8" s="965"/>
      <c r="CK8" s="965"/>
    </row>
    <row r="9" spans="1:89" s="886" customFormat="1" ht="28.5">
      <c r="A9" s="1655"/>
      <c r="B9" s="1655"/>
      <c r="C9" s="913">
        <v>2.2000000000000002</v>
      </c>
      <c r="D9" s="1413" t="s">
        <v>2453</v>
      </c>
      <c r="E9" s="995" t="s">
        <v>1102</v>
      </c>
      <c r="F9" s="996"/>
      <c r="G9" s="996"/>
      <c r="H9" s="997"/>
      <c r="I9" s="988"/>
      <c r="J9" s="991">
        <f t="shared" si="11"/>
        <v>12.9</v>
      </c>
      <c r="K9" s="1310"/>
      <c r="L9" s="991">
        <f t="shared" si="12"/>
        <v>13.1</v>
      </c>
      <c r="M9" s="1310"/>
      <c r="N9" s="1310">
        <f t="shared" si="13"/>
        <v>0</v>
      </c>
      <c r="O9" s="1257">
        <f t="shared" si="0"/>
        <v>0</v>
      </c>
      <c r="P9" s="1257">
        <f t="shared" si="14"/>
        <v>0</v>
      </c>
      <c r="Q9" s="1257">
        <f t="shared" si="15"/>
        <v>0</v>
      </c>
      <c r="R9" s="1257">
        <f t="shared" si="16"/>
        <v>0</v>
      </c>
      <c r="S9" s="992"/>
      <c r="T9" s="989">
        <v>6</v>
      </c>
      <c r="U9" s="1183"/>
      <c r="V9" s="989">
        <v>6</v>
      </c>
      <c r="W9" s="1183"/>
      <c r="X9" s="154">
        <f t="shared" si="1"/>
        <v>0</v>
      </c>
      <c r="Y9" s="992"/>
      <c r="Z9" s="989">
        <v>9</v>
      </c>
      <c r="AA9" s="988"/>
      <c r="AB9" s="989">
        <v>9</v>
      </c>
      <c r="AC9" s="1213"/>
      <c r="AD9" s="154">
        <f t="shared" si="2"/>
        <v>0</v>
      </c>
      <c r="AE9" s="992"/>
      <c r="AF9" s="989">
        <v>21</v>
      </c>
      <c r="AG9" s="988"/>
      <c r="AH9" s="989">
        <v>18</v>
      </c>
      <c r="AI9" s="1213"/>
      <c r="AJ9" s="154">
        <f t="shared" si="3"/>
        <v>-0.1428571428571429</v>
      </c>
      <c r="AK9" s="992"/>
      <c r="AL9" s="989">
        <v>6</v>
      </c>
      <c r="AM9" s="988"/>
      <c r="AN9" s="989">
        <v>6</v>
      </c>
      <c r="AO9" s="1213"/>
      <c r="AP9" s="154">
        <f t="shared" si="4"/>
        <v>0</v>
      </c>
      <c r="AQ9" s="992"/>
      <c r="AR9" s="989">
        <v>18</v>
      </c>
      <c r="AS9" s="988"/>
      <c r="AT9" s="989">
        <v>21</v>
      </c>
      <c r="AU9" s="1213"/>
      <c r="AV9" s="154">
        <f t="shared" si="5"/>
        <v>0.16666666666666674</v>
      </c>
      <c r="AW9" s="992"/>
      <c r="AX9" s="989">
        <v>20</v>
      </c>
      <c r="AY9" s="988"/>
      <c r="AZ9" s="989">
        <v>22</v>
      </c>
      <c r="BA9" s="1213"/>
      <c r="BB9" s="154">
        <f t="shared" si="6"/>
        <v>0.10000000000000009</v>
      </c>
      <c r="BC9" s="992"/>
      <c r="BD9" s="989">
        <v>6</v>
      </c>
      <c r="BE9" s="988"/>
      <c r="BF9" s="989">
        <v>6</v>
      </c>
      <c r="BG9" s="1213"/>
      <c r="BH9" s="154">
        <f t="shared" si="7"/>
        <v>0</v>
      </c>
      <c r="BI9" s="992"/>
      <c r="BJ9" s="989">
        <v>14</v>
      </c>
      <c r="BK9" s="988"/>
      <c r="BL9" s="989">
        <v>14</v>
      </c>
      <c r="BM9" s="1213"/>
      <c r="BN9" s="154">
        <f t="shared" si="8"/>
        <v>0</v>
      </c>
      <c r="BO9" s="992"/>
      <c r="BP9" s="989">
        <v>14</v>
      </c>
      <c r="BQ9" s="988"/>
      <c r="BR9" s="989">
        <v>14</v>
      </c>
      <c r="BS9" s="1213"/>
      <c r="BT9" s="154">
        <f t="shared" si="9"/>
        <v>0</v>
      </c>
      <c r="BU9" s="992"/>
      <c r="BV9" s="989">
        <v>15</v>
      </c>
      <c r="BW9" s="988"/>
      <c r="BX9" s="989">
        <v>15</v>
      </c>
      <c r="BY9" s="1213"/>
      <c r="BZ9" s="154">
        <f t="shared" si="10"/>
        <v>0</v>
      </c>
      <c r="CA9" s="968"/>
      <c r="CC9" s="1000"/>
      <c r="CD9" s="965"/>
      <c r="CE9" s="965"/>
      <c r="CF9" s="965"/>
      <c r="CG9" s="965"/>
      <c r="CH9" s="965"/>
      <c r="CI9" s="965"/>
      <c r="CJ9" s="965"/>
      <c r="CK9" s="965"/>
    </row>
    <row r="10" spans="1:89" s="886" customFormat="1" ht="14.25">
      <c r="A10" s="1653" t="s">
        <v>2447</v>
      </c>
      <c r="B10" s="1653" t="s">
        <v>1103</v>
      </c>
      <c r="C10" s="899">
        <v>3</v>
      </c>
      <c r="D10" s="1033" t="s">
        <v>2486</v>
      </c>
      <c r="E10" s="987"/>
      <c r="F10" s="988"/>
      <c r="G10" s="988" t="s">
        <v>399</v>
      </c>
      <c r="H10" s="989" t="s">
        <v>229</v>
      </c>
      <c r="I10" s="990">
        <v>3</v>
      </c>
      <c r="J10" s="1212">
        <f t="shared" si="11"/>
        <v>0.25910913225493032</v>
      </c>
      <c r="K10" s="1309">
        <f>AVERAGE(BW10,BQ10,BK10,BE10,AY10,AS10,AM10,AG10,AA10,U10)</f>
        <v>1.2</v>
      </c>
      <c r="L10" s="1212">
        <f t="shared" si="12"/>
        <v>0.2366603495461824</v>
      </c>
      <c r="M10" s="1309">
        <f>AVERAGE(BY10,BS10,BM10,BG10,BA10,AU10,AO10,AI10,AC10,W10)</f>
        <v>1.65</v>
      </c>
      <c r="N10" s="1320">
        <f t="shared" si="13"/>
        <v>0.44999999999999996</v>
      </c>
      <c r="O10" s="1257">
        <f t="shared" si="0"/>
        <v>1.35</v>
      </c>
      <c r="P10" s="1257">
        <f t="shared" si="14"/>
        <v>0.94499999999999995</v>
      </c>
      <c r="Q10" s="1257">
        <f t="shared" si="15"/>
        <v>0.105</v>
      </c>
      <c r="R10" s="1257">
        <f t="shared" si="16"/>
        <v>5.2499999999999998E-2</v>
      </c>
      <c r="S10" s="992"/>
      <c r="T10" s="1180">
        <v>0.31343283582089554</v>
      </c>
      <c r="U10" s="1183">
        <f>IF(T10&lt;=0.15,3,IF(T10&lt;=0.3,1.5,0))</f>
        <v>0</v>
      </c>
      <c r="V10" s="1180">
        <f>IF(SUM(V12:V13)=0,"",V11/SUM(V12:V13))</f>
        <v>0.28169014084507044</v>
      </c>
      <c r="W10" s="1183">
        <f>IF(V10&lt;=0.15,3,IF(V10&lt;=0.3,1.5,0))</f>
        <v>1.5</v>
      </c>
      <c r="X10" s="154">
        <f t="shared" si="1"/>
        <v>-0.10127431254191821</v>
      </c>
      <c r="Y10" s="992"/>
      <c r="Z10" s="1180">
        <v>0.12209302325581395</v>
      </c>
      <c r="AA10" s="988">
        <f>IF(Z10&lt;=0.15,3,IF(Z10&lt;=0.3,1.5,0))</f>
        <v>3</v>
      </c>
      <c r="AB10" s="1180">
        <f>IF(SUM(AB12:AB13)=0,"",AB11/SUM(AB12:AB13))</f>
        <v>0.1276595744680851</v>
      </c>
      <c r="AC10" s="1213">
        <f>IF(AB10&lt;=0.15,3,IF(AB10&lt;=0.3,1.5,0))</f>
        <v>3</v>
      </c>
      <c r="AD10" s="154">
        <f t="shared" si="2"/>
        <v>4.5592705167173175E-2</v>
      </c>
      <c r="AE10" s="992"/>
      <c r="AF10" s="1180">
        <v>0.16535433070866143</v>
      </c>
      <c r="AG10" s="988">
        <f>IF(AF10&lt;=0.15,3,IF(AF10&lt;=0.3,1.5,0))</f>
        <v>1.5</v>
      </c>
      <c r="AH10" s="1180">
        <f>IF(SUM(AH12:AH13)=0,"",AH11/SUM(AH12:AH13))</f>
        <v>0.171875</v>
      </c>
      <c r="AI10" s="1213">
        <f>IF(AH10&lt;=0.15,3,IF(AH10&lt;=0.3,1.5,0))</f>
        <v>1.5</v>
      </c>
      <c r="AJ10" s="154">
        <f t="shared" si="3"/>
        <v>3.9434523809523725E-2</v>
      </c>
      <c r="AK10" s="992"/>
      <c r="AL10" s="1180">
        <v>0.29032258064516131</v>
      </c>
      <c r="AM10" s="988">
        <f>IF(AL10&lt;=0.15,3,IF(AL10&lt;=0.3,1.5,0))</f>
        <v>1.5</v>
      </c>
      <c r="AN10" s="1180">
        <f>IF(SUM(AN12:AN13)=0,"",AN11/SUM(AN12:AN13))</f>
        <v>0.25396825396825395</v>
      </c>
      <c r="AO10" s="1213">
        <f>IF(AN10&lt;=0.15,3,IF(AN10&lt;=0.3,1.5,0))</f>
        <v>1.5</v>
      </c>
      <c r="AP10" s="154">
        <f t="shared" si="4"/>
        <v>-0.12522045855379205</v>
      </c>
      <c r="AQ10" s="992"/>
      <c r="AR10" s="1180">
        <v>0.2807017543859649</v>
      </c>
      <c r="AS10" s="988">
        <f>IF(AR10&lt;=0.15,3,IF(AR10&lt;=0.3,1.5,0))</f>
        <v>1.5</v>
      </c>
      <c r="AT10" s="1180">
        <f>IF(SUM(AT12:AT13)=0,"",AT11/SUM(AT12:AT13))</f>
        <v>0.25149700598802394</v>
      </c>
      <c r="AU10" s="1213">
        <f>IF(AT10&lt;=0.15,3,IF(AT10&lt;=0.3,1.5,0))</f>
        <v>1.5</v>
      </c>
      <c r="AV10" s="154">
        <f t="shared" si="5"/>
        <v>-0.10404191616766467</v>
      </c>
      <c r="AW10" s="992"/>
      <c r="AX10" s="1180">
        <v>0.25291828793774318</v>
      </c>
      <c r="AY10" s="988">
        <f>IF(AX10&lt;=0.15,3,IF(AX10&lt;=0.3,1.5,0))</f>
        <v>1.5</v>
      </c>
      <c r="AZ10" s="1180">
        <f>IF(SUM(AZ12:AZ13)=0,"",AZ11/SUM(AZ12:AZ13))</f>
        <v>0.25098039215686274</v>
      </c>
      <c r="BA10" s="1213">
        <f>IF(AZ10&lt;=0.15,3,IF(AZ10&lt;=0.3,1.5,0))</f>
        <v>1.5</v>
      </c>
      <c r="BB10" s="154">
        <f t="shared" si="6"/>
        <v>-7.6621417797888558E-3</v>
      </c>
      <c r="BC10" s="992"/>
      <c r="BD10" s="1180">
        <v>0.31481481481481483</v>
      </c>
      <c r="BE10" s="988">
        <f>IF(BD10&lt;=0.15,3,IF(BD10&lt;=0.3,1.5,0))</f>
        <v>0</v>
      </c>
      <c r="BF10" s="1180">
        <f>IF(SUM(BF12:BF13)=0,"",BF11/SUM(BF12:BF13))</f>
        <v>0.25</v>
      </c>
      <c r="BG10" s="1213">
        <f>IF(BF10&lt;=0.15,3,IF(BF10&lt;=0.3,1.5,0))</f>
        <v>1.5</v>
      </c>
      <c r="BH10" s="154">
        <f t="shared" si="7"/>
        <v>-0.20588235294117652</v>
      </c>
      <c r="BI10" s="992"/>
      <c r="BJ10" s="1180">
        <v>0.28372093023255812</v>
      </c>
      <c r="BK10" s="988">
        <f>IF(BJ10&lt;=0.15,3,IF(BJ10&lt;=0.3,1.5,0))</f>
        <v>1.5</v>
      </c>
      <c r="BL10" s="1180">
        <f>IF(SUM(BL12:BL13)=0,"",BL11/SUM(BL12:BL13))</f>
        <v>0.29716981132075471</v>
      </c>
      <c r="BM10" s="1213">
        <f>IF(BL10&lt;=0.15,3,IF(BL10&lt;=0.3,1.5,0))</f>
        <v>1.5</v>
      </c>
      <c r="BN10" s="154">
        <f t="shared" si="8"/>
        <v>4.7401793999381381E-2</v>
      </c>
      <c r="BO10" s="992"/>
      <c r="BP10" s="1180">
        <v>0.35820895522388058</v>
      </c>
      <c r="BQ10" s="988">
        <f>IF(BP10&lt;=0.15,3,IF(BP10&lt;=0.3,1.5,0))</f>
        <v>0</v>
      </c>
      <c r="BR10" s="1180">
        <f>IF(SUM(BR12:BR13)=0,"",BR11/SUM(BR12:BR13))</f>
        <v>0.29729729729729731</v>
      </c>
      <c r="BS10" s="1213">
        <f>IF(BR10&lt;=0.15,3,IF(BR10&lt;=0.3,1.5,0))</f>
        <v>1.5</v>
      </c>
      <c r="BT10" s="154">
        <f t="shared" si="9"/>
        <v>-0.17004504504504492</v>
      </c>
      <c r="BU10" s="992"/>
      <c r="BV10" s="1180">
        <v>0.20952380952380953</v>
      </c>
      <c r="BW10" s="988">
        <f>IF(BV10&lt;=0.15,3,IF(BV10&lt;=0.3,1.5,0))</f>
        <v>1.5</v>
      </c>
      <c r="BX10" s="1180">
        <f>IF(SUM(BX12:BX13)=0,"",BX11/SUM(BX12:BX13))</f>
        <v>0.18446601941747573</v>
      </c>
      <c r="BY10" s="1213">
        <f>IF(BX10&lt;=0.15,3,IF(BX10&lt;=0.3,1.5,0))</f>
        <v>1.5</v>
      </c>
      <c r="BZ10" s="154">
        <f t="shared" si="10"/>
        <v>-0.1195939982347749</v>
      </c>
      <c r="CA10" s="968"/>
      <c r="CC10" s="1000"/>
      <c r="CD10" s="965"/>
      <c r="CE10" s="965"/>
      <c r="CF10" s="965"/>
      <c r="CG10" s="965"/>
      <c r="CH10" s="965"/>
      <c r="CI10" s="965"/>
      <c r="CJ10" s="965"/>
      <c r="CK10" s="965"/>
    </row>
    <row r="11" spans="1:89" s="886" customFormat="1" ht="28.5">
      <c r="A11" s="1655"/>
      <c r="B11" s="1655"/>
      <c r="C11" s="913">
        <v>3.1</v>
      </c>
      <c r="D11" s="1413" t="s">
        <v>2474</v>
      </c>
      <c r="E11" s="995" t="s">
        <v>1100</v>
      </c>
      <c r="F11" s="993" t="s">
        <v>1101</v>
      </c>
      <c r="G11" s="996"/>
      <c r="H11" s="997"/>
      <c r="I11" s="988"/>
      <c r="J11" s="991">
        <f t="shared" si="11"/>
        <v>31.8</v>
      </c>
      <c r="K11" s="1310"/>
      <c r="L11" s="991">
        <f t="shared" si="12"/>
        <v>30.7</v>
      </c>
      <c r="M11" s="1310"/>
      <c r="N11" s="1310">
        <f t="shared" si="13"/>
        <v>0</v>
      </c>
      <c r="O11" s="1257">
        <f t="shared" si="0"/>
        <v>0</v>
      </c>
      <c r="P11" s="1257">
        <f t="shared" si="14"/>
        <v>0</v>
      </c>
      <c r="Q11" s="1257">
        <f t="shared" si="15"/>
        <v>0</v>
      </c>
      <c r="R11" s="1257">
        <f t="shared" si="16"/>
        <v>0</v>
      </c>
      <c r="S11" s="992"/>
      <c r="T11" s="989">
        <v>21</v>
      </c>
      <c r="U11" s="1183"/>
      <c r="V11" s="989">
        <v>20</v>
      </c>
      <c r="W11" s="1183"/>
      <c r="X11" s="154">
        <f t="shared" si="1"/>
        <v>-4.7619047619047672E-2</v>
      </c>
      <c r="Y11" s="992"/>
      <c r="Z11" s="989">
        <v>21</v>
      </c>
      <c r="AA11" s="988"/>
      <c r="AB11" s="989">
        <v>24</v>
      </c>
      <c r="AC11" s="1213"/>
      <c r="AD11" s="154">
        <f t="shared" si="2"/>
        <v>0.14285714285714279</v>
      </c>
      <c r="AE11" s="992"/>
      <c r="AF11" s="989">
        <v>21</v>
      </c>
      <c r="AG11" s="988"/>
      <c r="AH11" s="989">
        <v>22</v>
      </c>
      <c r="AI11" s="1213"/>
      <c r="AJ11" s="154">
        <f t="shared" si="3"/>
        <v>4.7619047619047672E-2</v>
      </c>
      <c r="AK11" s="992"/>
      <c r="AL11" s="989">
        <v>18</v>
      </c>
      <c r="AM11" s="988"/>
      <c r="AN11" s="989">
        <v>16</v>
      </c>
      <c r="AO11" s="1213"/>
      <c r="AP11" s="154">
        <f t="shared" si="4"/>
        <v>-0.11111111111111116</v>
      </c>
      <c r="AQ11" s="992"/>
      <c r="AR11" s="989">
        <v>48</v>
      </c>
      <c r="AS11" s="988"/>
      <c r="AT11" s="989">
        <v>42</v>
      </c>
      <c r="AU11" s="1213"/>
      <c r="AV11" s="154">
        <f t="shared" si="5"/>
        <v>-0.125</v>
      </c>
      <c r="AW11" s="992"/>
      <c r="AX11" s="989">
        <v>65</v>
      </c>
      <c r="AY11" s="988"/>
      <c r="AZ11" s="989">
        <v>64</v>
      </c>
      <c r="BA11" s="1213"/>
      <c r="BB11" s="154">
        <f t="shared" si="6"/>
        <v>-1.538461538461533E-2</v>
      </c>
      <c r="BC11" s="992"/>
      <c r="BD11" s="989">
        <v>17</v>
      </c>
      <c r="BE11" s="988"/>
      <c r="BF11" s="989">
        <v>15</v>
      </c>
      <c r="BG11" s="1213"/>
      <c r="BH11" s="154">
        <f t="shared" si="7"/>
        <v>-0.11764705882352944</v>
      </c>
      <c r="BI11" s="992"/>
      <c r="BJ11" s="989">
        <v>61</v>
      </c>
      <c r="BK11" s="988"/>
      <c r="BL11" s="989">
        <v>63</v>
      </c>
      <c r="BM11" s="1213"/>
      <c r="BN11" s="154">
        <f t="shared" si="8"/>
        <v>3.2786885245901676E-2</v>
      </c>
      <c r="BO11" s="992"/>
      <c r="BP11" s="989">
        <v>24</v>
      </c>
      <c r="BQ11" s="988"/>
      <c r="BR11" s="989">
        <v>22</v>
      </c>
      <c r="BS11" s="1213"/>
      <c r="BT11" s="154">
        <f t="shared" si="9"/>
        <v>-8.333333333333337E-2</v>
      </c>
      <c r="BU11" s="992"/>
      <c r="BV11" s="989">
        <v>22</v>
      </c>
      <c r="BW11" s="988"/>
      <c r="BX11" s="989">
        <v>19</v>
      </c>
      <c r="BY11" s="1213"/>
      <c r="BZ11" s="154">
        <f t="shared" si="10"/>
        <v>-0.13636363636363635</v>
      </c>
      <c r="CA11" s="968"/>
      <c r="CC11" s="1000"/>
      <c r="CD11" s="965"/>
      <c r="CE11" s="965"/>
      <c r="CF11" s="965"/>
      <c r="CG11" s="965"/>
      <c r="CH11" s="965"/>
      <c r="CI11" s="965"/>
      <c r="CJ11" s="965"/>
      <c r="CK11" s="965"/>
    </row>
    <row r="12" spans="1:89" s="886" customFormat="1" ht="28.5">
      <c r="A12" s="1655"/>
      <c r="B12" s="1655"/>
      <c r="C12" s="913">
        <v>3.2</v>
      </c>
      <c r="D12" s="1416" t="s">
        <v>2398</v>
      </c>
      <c r="E12" s="995" t="s">
        <v>1100</v>
      </c>
      <c r="F12" s="993" t="s">
        <v>1101</v>
      </c>
      <c r="G12" s="996"/>
      <c r="H12" s="997"/>
      <c r="I12" s="988"/>
      <c r="J12" s="991">
        <f t="shared" si="11"/>
        <v>89.3</v>
      </c>
      <c r="K12" s="1310"/>
      <c r="L12" s="991">
        <f t="shared" si="12"/>
        <v>92.7</v>
      </c>
      <c r="M12" s="1310"/>
      <c r="N12" s="1310">
        <f t="shared" si="13"/>
        <v>0</v>
      </c>
      <c r="O12" s="1257">
        <f t="shared" si="0"/>
        <v>0</v>
      </c>
      <c r="P12" s="1257">
        <f t="shared" si="14"/>
        <v>0</v>
      </c>
      <c r="Q12" s="1257">
        <f t="shared" si="15"/>
        <v>0</v>
      </c>
      <c r="R12" s="1257">
        <f t="shared" si="16"/>
        <v>0</v>
      </c>
      <c r="S12" s="992"/>
      <c r="T12" s="989">
        <v>43</v>
      </c>
      <c r="U12" s="1183"/>
      <c r="V12" s="989">
        <v>55</v>
      </c>
      <c r="W12" s="1183"/>
      <c r="X12" s="154">
        <f t="shared" si="1"/>
        <v>0.27906976744186052</v>
      </c>
      <c r="Y12" s="992"/>
      <c r="Z12" s="989">
        <v>129</v>
      </c>
      <c r="AA12" s="988"/>
      <c r="AB12" s="989">
        <v>139</v>
      </c>
      <c r="AC12" s="1213"/>
      <c r="AD12" s="154">
        <f t="shared" si="2"/>
        <v>7.7519379844961156E-2</v>
      </c>
      <c r="AE12" s="992"/>
      <c r="AF12" s="989">
        <v>97</v>
      </c>
      <c r="AG12" s="988"/>
      <c r="AH12" s="989">
        <v>103</v>
      </c>
      <c r="AI12" s="1213"/>
      <c r="AJ12" s="154">
        <f t="shared" si="3"/>
        <v>6.1855670103092786E-2</v>
      </c>
      <c r="AK12" s="992"/>
      <c r="AL12" s="989">
        <v>40</v>
      </c>
      <c r="AM12" s="988"/>
      <c r="AN12" s="989">
        <v>44</v>
      </c>
      <c r="AO12" s="1213"/>
      <c r="AP12" s="154">
        <f t="shared" si="4"/>
        <v>0.10000000000000009</v>
      </c>
      <c r="AQ12" s="992"/>
      <c r="AR12" s="989">
        <v>120</v>
      </c>
      <c r="AS12" s="988"/>
      <c r="AT12" s="989">
        <v>120</v>
      </c>
      <c r="AU12" s="1213"/>
      <c r="AV12" s="154">
        <f t="shared" si="5"/>
        <v>0</v>
      </c>
      <c r="AW12" s="992"/>
      <c r="AX12" s="989">
        <v>178</v>
      </c>
      <c r="AY12" s="988"/>
      <c r="AZ12" s="989">
        <v>185</v>
      </c>
      <c r="BA12" s="1213"/>
      <c r="BB12" s="154">
        <f t="shared" si="6"/>
        <v>3.9325842696629199E-2</v>
      </c>
      <c r="BC12" s="992"/>
      <c r="BD12" s="989">
        <v>32</v>
      </c>
      <c r="BE12" s="988"/>
      <c r="BF12" s="989">
        <v>33</v>
      </c>
      <c r="BG12" s="1213"/>
      <c r="BH12" s="154">
        <f t="shared" si="7"/>
        <v>3.125E-2</v>
      </c>
      <c r="BI12" s="992"/>
      <c r="BJ12" s="989">
        <v>153</v>
      </c>
      <c r="BK12" s="988"/>
      <c r="BL12" s="989">
        <v>143</v>
      </c>
      <c r="BM12" s="1213"/>
      <c r="BN12" s="154">
        <f t="shared" si="8"/>
        <v>-6.5359477124182996E-2</v>
      </c>
      <c r="BO12" s="992"/>
      <c r="BP12" s="989">
        <v>36</v>
      </c>
      <c r="BQ12" s="988"/>
      <c r="BR12" s="989">
        <v>39</v>
      </c>
      <c r="BS12" s="1213"/>
      <c r="BT12" s="154">
        <f t="shared" si="9"/>
        <v>8.3333333333333259E-2</v>
      </c>
      <c r="BU12" s="992"/>
      <c r="BV12" s="989">
        <v>65</v>
      </c>
      <c r="BW12" s="988"/>
      <c r="BX12" s="989">
        <v>66</v>
      </c>
      <c r="BY12" s="1213"/>
      <c r="BZ12" s="154">
        <f t="shared" si="10"/>
        <v>1.538461538461533E-2</v>
      </c>
      <c r="CA12" s="968"/>
      <c r="CC12" s="1000"/>
      <c r="CD12" s="965"/>
      <c r="CE12" s="965"/>
      <c r="CF12" s="965"/>
      <c r="CG12" s="965"/>
      <c r="CH12" s="965"/>
      <c r="CI12" s="965"/>
      <c r="CJ12" s="965"/>
      <c r="CK12" s="965"/>
    </row>
    <row r="13" spans="1:89" s="886" customFormat="1" ht="28.5">
      <c r="A13" s="1655"/>
      <c r="B13" s="1655"/>
      <c r="C13" s="913">
        <v>3.3</v>
      </c>
      <c r="D13" s="1413" t="s">
        <v>2118</v>
      </c>
      <c r="E13" s="995" t="s">
        <v>1100</v>
      </c>
      <c r="F13" s="993" t="s">
        <v>1101</v>
      </c>
      <c r="G13" s="996"/>
      <c r="H13" s="997"/>
      <c r="I13" s="988"/>
      <c r="J13" s="991">
        <f t="shared" si="11"/>
        <v>40.4</v>
      </c>
      <c r="K13" s="1310"/>
      <c r="L13" s="991">
        <f t="shared" si="12"/>
        <v>39.4</v>
      </c>
      <c r="M13" s="1310"/>
      <c r="N13" s="1310">
        <f t="shared" si="13"/>
        <v>0</v>
      </c>
      <c r="O13" s="1257">
        <f t="shared" si="0"/>
        <v>0</v>
      </c>
      <c r="P13" s="1257">
        <f t="shared" si="14"/>
        <v>0</v>
      </c>
      <c r="Q13" s="1257">
        <f t="shared" si="15"/>
        <v>0</v>
      </c>
      <c r="R13" s="1257">
        <f t="shared" si="16"/>
        <v>0</v>
      </c>
      <c r="S13" s="992"/>
      <c r="T13" s="989">
        <v>24</v>
      </c>
      <c r="U13" s="1183"/>
      <c r="V13" s="989">
        <v>16</v>
      </c>
      <c r="W13" s="1183"/>
      <c r="X13" s="154">
        <f t="shared" si="1"/>
        <v>-0.33333333333333337</v>
      </c>
      <c r="Y13" s="992"/>
      <c r="Z13" s="989">
        <v>43</v>
      </c>
      <c r="AA13" s="988"/>
      <c r="AB13" s="989">
        <v>49</v>
      </c>
      <c r="AC13" s="1213"/>
      <c r="AD13" s="154">
        <f t="shared" si="2"/>
        <v>0.13953488372093026</v>
      </c>
      <c r="AE13" s="992"/>
      <c r="AF13" s="989">
        <v>30</v>
      </c>
      <c r="AG13" s="988"/>
      <c r="AH13" s="989">
        <v>25</v>
      </c>
      <c r="AI13" s="1213"/>
      <c r="AJ13" s="154">
        <f t="shared" si="3"/>
        <v>-0.16666666666666663</v>
      </c>
      <c r="AK13" s="992"/>
      <c r="AL13" s="989">
        <v>22</v>
      </c>
      <c r="AM13" s="988"/>
      <c r="AN13" s="989">
        <v>19</v>
      </c>
      <c r="AO13" s="1213"/>
      <c r="AP13" s="154">
        <f t="shared" si="4"/>
        <v>-0.13636363636363635</v>
      </c>
      <c r="AQ13" s="992"/>
      <c r="AR13" s="989">
        <v>51</v>
      </c>
      <c r="AS13" s="988"/>
      <c r="AT13" s="989">
        <v>47</v>
      </c>
      <c r="AU13" s="1213"/>
      <c r="AV13" s="154">
        <f t="shared" si="5"/>
        <v>-7.8431372549019662E-2</v>
      </c>
      <c r="AW13" s="992"/>
      <c r="AX13" s="989">
        <v>79</v>
      </c>
      <c r="AY13" s="988"/>
      <c r="AZ13" s="989">
        <v>70</v>
      </c>
      <c r="BA13" s="1213"/>
      <c r="BB13" s="154">
        <f t="shared" si="6"/>
        <v>-0.11392405063291144</v>
      </c>
      <c r="BC13" s="992"/>
      <c r="BD13" s="989">
        <v>22</v>
      </c>
      <c r="BE13" s="988"/>
      <c r="BF13" s="989">
        <v>27</v>
      </c>
      <c r="BG13" s="1213"/>
      <c r="BH13" s="154">
        <f t="shared" si="7"/>
        <v>0.22727272727272729</v>
      </c>
      <c r="BI13" s="992"/>
      <c r="BJ13" s="989">
        <v>62</v>
      </c>
      <c r="BK13" s="988"/>
      <c r="BL13" s="989">
        <v>69</v>
      </c>
      <c r="BM13" s="1213"/>
      <c r="BN13" s="154">
        <f t="shared" si="8"/>
        <v>0.11290322580645151</v>
      </c>
      <c r="BO13" s="992"/>
      <c r="BP13" s="989">
        <v>31</v>
      </c>
      <c r="BQ13" s="988"/>
      <c r="BR13" s="989">
        <v>35</v>
      </c>
      <c r="BS13" s="1213"/>
      <c r="BT13" s="154">
        <f t="shared" si="9"/>
        <v>0.12903225806451624</v>
      </c>
      <c r="BU13" s="992"/>
      <c r="BV13" s="989">
        <v>40</v>
      </c>
      <c r="BW13" s="988"/>
      <c r="BX13" s="989">
        <v>37</v>
      </c>
      <c r="BY13" s="1213"/>
      <c r="BZ13" s="154">
        <f t="shared" si="10"/>
        <v>-7.4999999999999956E-2</v>
      </c>
      <c r="CC13" s="1000"/>
      <c r="CD13" s="965"/>
      <c r="CE13" s="965"/>
      <c r="CF13" s="965"/>
      <c r="CG13" s="965"/>
      <c r="CH13" s="965"/>
      <c r="CI13" s="965"/>
      <c r="CJ13" s="965"/>
      <c r="CK13" s="965"/>
    </row>
    <row r="14" spans="1:89" s="886" customFormat="1" ht="40.5">
      <c r="A14" s="1001" t="s">
        <v>2456</v>
      </c>
      <c r="B14" s="1409" t="s">
        <v>2388</v>
      </c>
      <c r="C14" s="899">
        <v>4</v>
      </c>
      <c r="D14" s="986" t="s">
        <v>1783</v>
      </c>
      <c r="E14" s="995" t="s">
        <v>1102</v>
      </c>
      <c r="F14" s="1002"/>
      <c r="G14" s="1002" t="s">
        <v>1105</v>
      </c>
      <c r="H14" s="991" t="s">
        <v>229</v>
      </c>
      <c r="I14" s="990">
        <v>3</v>
      </c>
      <c r="J14" s="991">
        <f t="shared" si="11"/>
        <v>5.2</v>
      </c>
      <c r="K14" s="1310">
        <f>AVERAGE(BW14,BQ14,BK14,BE14,AY14,AS14,AM14,AG14,AA14,U14)</f>
        <v>3</v>
      </c>
      <c r="L14" s="991">
        <f t="shared" si="12"/>
        <v>4.8</v>
      </c>
      <c r="M14" s="1310">
        <f>AVERAGE(BY14,BS14,BM14,BG14,BA14,AU14,AO14,AI14,AC14,W14)</f>
        <v>3</v>
      </c>
      <c r="N14" s="1310">
        <f t="shared" si="13"/>
        <v>0</v>
      </c>
      <c r="O14" s="1257">
        <f t="shared" si="0"/>
        <v>0</v>
      </c>
      <c r="P14" s="1257">
        <f t="shared" si="14"/>
        <v>0</v>
      </c>
      <c r="Q14" s="1257">
        <f t="shared" si="15"/>
        <v>0</v>
      </c>
      <c r="R14" s="1257">
        <f t="shared" si="16"/>
        <v>0</v>
      </c>
      <c r="S14" s="992"/>
      <c r="T14" s="989">
        <v>4</v>
      </c>
      <c r="U14" s="1183">
        <f>IF(T14&gt;=3,3,IF(T14&gt;0,1.5,0))</f>
        <v>3</v>
      </c>
      <c r="V14" s="989">
        <v>4</v>
      </c>
      <c r="W14" s="1183">
        <v>3</v>
      </c>
      <c r="X14" s="154">
        <f t="shared" si="1"/>
        <v>0</v>
      </c>
      <c r="Y14" s="992"/>
      <c r="Z14" s="989">
        <v>4</v>
      </c>
      <c r="AA14" s="988">
        <f>IF(Z14&gt;=3,3,IF(Z14&gt;0,1.5,0))</f>
        <v>3</v>
      </c>
      <c r="AB14" s="989">
        <v>4</v>
      </c>
      <c r="AC14" s="1213">
        <v>3</v>
      </c>
      <c r="AD14" s="154">
        <f t="shared" si="2"/>
        <v>0</v>
      </c>
      <c r="AE14" s="992"/>
      <c r="AF14" s="989">
        <v>4</v>
      </c>
      <c r="AG14" s="988">
        <f>IF(AF14&gt;=3,3,IF(AF14&gt;0,1.5,0))</f>
        <v>3</v>
      </c>
      <c r="AH14" s="989">
        <v>4</v>
      </c>
      <c r="AI14" s="1213">
        <v>3</v>
      </c>
      <c r="AJ14" s="154">
        <f t="shared" si="3"/>
        <v>0</v>
      </c>
      <c r="AK14" s="992"/>
      <c r="AL14" s="989">
        <v>4</v>
      </c>
      <c r="AM14" s="988">
        <f>IF(AL14&gt;=3,3,IF(AL14&gt;0,1.5,0))</f>
        <v>3</v>
      </c>
      <c r="AN14" s="989">
        <v>4</v>
      </c>
      <c r="AO14" s="1213">
        <v>3</v>
      </c>
      <c r="AP14" s="154">
        <f t="shared" si="4"/>
        <v>0</v>
      </c>
      <c r="AQ14" s="992"/>
      <c r="AR14" s="989">
        <v>5</v>
      </c>
      <c r="AS14" s="988">
        <f>IF(AR14&gt;=3,3,IF(AR14&gt;0,1.5,0))</f>
        <v>3</v>
      </c>
      <c r="AT14" s="989">
        <v>5</v>
      </c>
      <c r="AU14" s="1213">
        <v>3</v>
      </c>
      <c r="AV14" s="154">
        <f t="shared" si="5"/>
        <v>0</v>
      </c>
      <c r="AW14" s="992"/>
      <c r="AX14" s="989">
        <v>4</v>
      </c>
      <c r="AY14" s="988">
        <f>IF(AX14&gt;=3,3,IF(AX14&gt;0,1.5,0))</f>
        <v>3</v>
      </c>
      <c r="AZ14" s="989">
        <v>4</v>
      </c>
      <c r="BA14" s="1213">
        <v>3</v>
      </c>
      <c r="BB14" s="154">
        <f t="shared" si="6"/>
        <v>0</v>
      </c>
      <c r="BC14" s="992"/>
      <c r="BD14" s="989">
        <v>4</v>
      </c>
      <c r="BE14" s="988">
        <f>IF(BD14&gt;=3,3,IF(BD14&gt;0,1.5,0))</f>
        <v>3</v>
      </c>
      <c r="BF14" s="989">
        <v>4</v>
      </c>
      <c r="BG14" s="1213">
        <v>3</v>
      </c>
      <c r="BH14" s="154">
        <f t="shared" si="7"/>
        <v>0</v>
      </c>
      <c r="BI14" s="992"/>
      <c r="BJ14" s="989">
        <v>4</v>
      </c>
      <c r="BK14" s="988">
        <f>IF(BJ14&gt;=3,3,IF(BJ14&gt;0,1.5,0))</f>
        <v>3</v>
      </c>
      <c r="BL14" s="989">
        <v>4</v>
      </c>
      <c r="BM14" s="1213">
        <v>3</v>
      </c>
      <c r="BN14" s="154">
        <f t="shared" si="8"/>
        <v>0</v>
      </c>
      <c r="BO14" s="992"/>
      <c r="BP14" s="989">
        <v>15</v>
      </c>
      <c r="BQ14" s="988">
        <f>IF(BP14&gt;=3,3,IF(BP14&gt;0,1.5,0))</f>
        <v>3</v>
      </c>
      <c r="BR14" s="989">
        <v>11</v>
      </c>
      <c r="BS14" s="1213">
        <v>3</v>
      </c>
      <c r="BT14" s="154">
        <f t="shared" si="9"/>
        <v>-0.26666666666666672</v>
      </c>
      <c r="BU14" s="992"/>
      <c r="BV14" s="989">
        <v>4</v>
      </c>
      <c r="BW14" s="988">
        <f>IF(BV14&gt;=3,3,IF(BV14&gt;0,1.5,0))</f>
        <v>3</v>
      </c>
      <c r="BX14" s="989">
        <v>4</v>
      </c>
      <c r="BY14" s="1213">
        <v>3</v>
      </c>
      <c r="BZ14" s="154">
        <f t="shared" si="10"/>
        <v>0</v>
      </c>
      <c r="CA14" s="968"/>
      <c r="CC14" s="1000"/>
      <c r="CD14" s="965"/>
      <c r="CE14" s="965"/>
      <c r="CF14" s="965"/>
      <c r="CG14" s="965"/>
      <c r="CH14" s="965"/>
      <c r="CI14" s="965"/>
      <c r="CJ14" s="965"/>
      <c r="CK14" s="965"/>
    </row>
    <row r="15" spans="1:89" s="1007" customFormat="1" ht="27">
      <c r="A15" s="1003" t="s">
        <v>1459</v>
      </c>
      <c r="B15" s="1004" t="s">
        <v>1107</v>
      </c>
      <c r="C15" s="899">
        <v>5</v>
      </c>
      <c r="D15" s="1005" t="s">
        <v>1106</v>
      </c>
      <c r="E15" s="995" t="s">
        <v>1100</v>
      </c>
      <c r="F15" s="988"/>
      <c r="G15" s="988" t="s">
        <v>396</v>
      </c>
      <c r="H15" s="991" t="s">
        <v>229</v>
      </c>
      <c r="I15" s="990">
        <v>4</v>
      </c>
      <c r="J15" s="1006" t="s">
        <v>1108</v>
      </c>
      <c r="K15" s="1310">
        <f>AVERAGE(BW15,BQ15,BK15,BE15,AY15,AS15,AM15,AG15,AA15,U15)</f>
        <v>4</v>
      </c>
      <c r="L15" s="1006" t="s">
        <v>1108</v>
      </c>
      <c r="M15" s="1310">
        <f>AVERAGE(BY15,BS15,BM15,BG15,BA15,AU15,AO15,AI15,AC15,W15)</f>
        <v>4</v>
      </c>
      <c r="N15" s="1310">
        <f t="shared" si="13"/>
        <v>0</v>
      </c>
      <c r="O15" s="1257">
        <f t="shared" si="0"/>
        <v>0</v>
      </c>
      <c r="P15" s="1257">
        <f t="shared" si="14"/>
        <v>0</v>
      </c>
      <c r="Q15" s="1257">
        <f t="shared" si="15"/>
        <v>0</v>
      </c>
      <c r="R15" s="1257">
        <f t="shared" si="16"/>
        <v>0</v>
      </c>
      <c r="S15" s="992" t="s">
        <v>1473</v>
      </c>
      <c r="T15" s="989" t="s">
        <v>1108</v>
      </c>
      <c r="U15" s="1183">
        <v>4</v>
      </c>
      <c r="V15" s="989" t="s">
        <v>1108</v>
      </c>
      <c r="W15" s="1183">
        <v>4</v>
      </c>
      <c r="X15" s="154">
        <f>IF((V15=T15)=TRUE,0,1)</f>
        <v>0</v>
      </c>
      <c r="Y15" s="992"/>
      <c r="Z15" s="989" t="s">
        <v>1108</v>
      </c>
      <c r="AA15" s="988">
        <v>4</v>
      </c>
      <c r="AB15" s="989" t="s">
        <v>1108</v>
      </c>
      <c r="AC15" s="1213">
        <v>4</v>
      </c>
      <c r="AD15" s="154">
        <f>IF((AB15=Z15)=TRUE,0,1)</f>
        <v>0</v>
      </c>
      <c r="AE15" s="992"/>
      <c r="AF15" s="989" t="s">
        <v>1108</v>
      </c>
      <c r="AG15" s="988">
        <v>4</v>
      </c>
      <c r="AH15" s="989" t="s">
        <v>1108</v>
      </c>
      <c r="AI15" s="1213">
        <v>4</v>
      </c>
      <c r="AJ15" s="154">
        <f>IF((AH15=AF15)=TRUE,0,1)</f>
        <v>0</v>
      </c>
      <c r="AK15" s="992"/>
      <c r="AL15" s="989" t="s">
        <v>1108</v>
      </c>
      <c r="AM15" s="988">
        <v>4</v>
      </c>
      <c r="AN15" s="989" t="s">
        <v>1108</v>
      </c>
      <c r="AO15" s="1213">
        <v>4</v>
      </c>
      <c r="AP15" s="154">
        <f>IF((AN15=AL15)=TRUE,0,1)</f>
        <v>0</v>
      </c>
      <c r="AQ15" s="992"/>
      <c r="AR15" s="989" t="s">
        <v>1108</v>
      </c>
      <c r="AS15" s="988">
        <v>4</v>
      </c>
      <c r="AT15" s="989" t="s">
        <v>1108</v>
      </c>
      <c r="AU15" s="1213">
        <v>4</v>
      </c>
      <c r="AV15" s="154">
        <f>IF((AT15=AR15)=TRUE,0,1)</f>
        <v>0</v>
      </c>
      <c r="AW15" s="992"/>
      <c r="AX15" s="989" t="s">
        <v>1108</v>
      </c>
      <c r="AY15" s="988">
        <v>4</v>
      </c>
      <c r="AZ15" s="989" t="s">
        <v>1108</v>
      </c>
      <c r="BA15" s="1213">
        <v>4</v>
      </c>
      <c r="BB15" s="154">
        <f>IF((AZ15=AX15)=TRUE,0,1)</f>
        <v>0</v>
      </c>
      <c r="BC15" s="992"/>
      <c r="BD15" s="989" t="s">
        <v>1108</v>
      </c>
      <c r="BE15" s="988">
        <v>4</v>
      </c>
      <c r="BF15" s="989" t="s">
        <v>1108</v>
      </c>
      <c r="BG15" s="1213">
        <v>4</v>
      </c>
      <c r="BH15" s="154">
        <f>IF((BF15=BD15)=TRUE,0,1)</f>
        <v>0</v>
      </c>
      <c r="BI15" s="992"/>
      <c r="BJ15" s="989" t="s">
        <v>1108</v>
      </c>
      <c r="BK15" s="988">
        <v>4</v>
      </c>
      <c r="BL15" s="989" t="s">
        <v>1108</v>
      </c>
      <c r="BM15" s="1213">
        <v>4</v>
      </c>
      <c r="BN15" s="154">
        <f>IF((BL15=BJ15)=TRUE,0,1)</f>
        <v>0</v>
      </c>
      <c r="BO15" s="992"/>
      <c r="BP15" s="989" t="s">
        <v>1108</v>
      </c>
      <c r="BQ15" s="988">
        <v>4</v>
      </c>
      <c r="BR15" s="989" t="s">
        <v>1108</v>
      </c>
      <c r="BS15" s="1213">
        <v>4</v>
      </c>
      <c r="BT15" s="154">
        <f>IF((BR15=BP15)=TRUE,0,1)</f>
        <v>0</v>
      </c>
      <c r="BU15" s="992"/>
      <c r="BV15" s="989" t="s">
        <v>1108</v>
      </c>
      <c r="BW15" s="988">
        <v>4</v>
      </c>
      <c r="BX15" s="989" t="s">
        <v>1108</v>
      </c>
      <c r="BY15" s="1213">
        <v>4</v>
      </c>
      <c r="BZ15" s="154">
        <f>IF((BX15=BV15)=TRUE,0,1)</f>
        <v>0</v>
      </c>
      <c r="CA15" s="968"/>
      <c r="CC15" s="965"/>
      <c r="CD15" s="965"/>
      <c r="CE15" s="965"/>
      <c r="CF15" s="965"/>
      <c r="CG15" s="965"/>
      <c r="CH15" s="965"/>
      <c r="CI15" s="965"/>
      <c r="CJ15" s="965"/>
      <c r="CK15" s="965"/>
    </row>
    <row r="16" spans="1:89" s="886" customFormat="1" ht="14.25">
      <c r="A16" s="1656" t="s">
        <v>1110</v>
      </c>
      <c r="B16" s="1656" t="s">
        <v>2444</v>
      </c>
      <c r="C16" s="899">
        <v>6</v>
      </c>
      <c r="D16" s="986" t="s">
        <v>1109</v>
      </c>
      <c r="E16" s="987"/>
      <c r="F16" s="988"/>
      <c r="G16" s="988" t="s">
        <v>396</v>
      </c>
      <c r="H16" s="989" t="s">
        <v>229</v>
      </c>
      <c r="I16" s="990">
        <v>1</v>
      </c>
      <c r="J16" s="991">
        <f>AVERAGE(BV16,BP16,BJ16,BD16,AX16,AR16,AL16,AF16,Z16,T16)</f>
        <v>1</v>
      </c>
      <c r="K16" s="1310">
        <f>AVERAGE(BW16,BQ16,BK16,BE16,AY16,AS16,AM16,AG16,AA16,U16)</f>
        <v>1</v>
      </c>
      <c r="L16" s="991">
        <f>AVERAGE(BX16,BR16,BL16,BF16,AZ16,AT16,AN16,AH16,AB16,V16)</f>
        <v>1</v>
      </c>
      <c r="M16" s="1310">
        <f>AVERAGE(BY16,BS16,BM16,BG16,BA16,AU16,AO16,AI16,AC16,W16)</f>
        <v>1</v>
      </c>
      <c r="N16" s="1310">
        <f t="shared" si="13"/>
        <v>0</v>
      </c>
      <c r="O16" s="1257">
        <f t="shared" si="0"/>
        <v>0</v>
      </c>
      <c r="P16" s="1257">
        <f t="shared" si="14"/>
        <v>0</v>
      </c>
      <c r="Q16" s="1257">
        <f t="shared" si="15"/>
        <v>0</v>
      </c>
      <c r="R16" s="1257">
        <f t="shared" si="16"/>
        <v>0</v>
      </c>
      <c r="S16" s="992"/>
      <c r="T16" s="1180">
        <v>1</v>
      </c>
      <c r="U16" s="1183">
        <f>IF(T16=1,1,0)</f>
        <v>1</v>
      </c>
      <c r="V16" s="1180">
        <f>IF(V18=0,"",V17/V18)</f>
        <v>1</v>
      </c>
      <c r="W16" s="1183">
        <f>IF(V16=1,1,0)</f>
        <v>1</v>
      </c>
      <c r="X16" s="154">
        <f t="shared" si="1"/>
        <v>0</v>
      </c>
      <c r="Y16" s="992"/>
      <c r="Z16" s="1180">
        <v>1</v>
      </c>
      <c r="AA16" s="988">
        <f>IF(Z16=1,1,0)</f>
        <v>1</v>
      </c>
      <c r="AB16" s="1180">
        <f>IF(AB18=0,"",AB17/AB18)</f>
        <v>1</v>
      </c>
      <c r="AC16" s="1213">
        <f>IF(AB16=1,1,0)</f>
        <v>1</v>
      </c>
      <c r="AD16" s="154">
        <f t="shared" si="2"/>
        <v>0</v>
      </c>
      <c r="AE16" s="992"/>
      <c r="AF16" s="1180">
        <v>1</v>
      </c>
      <c r="AG16" s="988">
        <f>IF(AF16=1,1,0)</f>
        <v>1</v>
      </c>
      <c r="AH16" s="1180">
        <f>IF(AH18=0,"",AH17/AH18)</f>
        <v>1</v>
      </c>
      <c r="AI16" s="1213">
        <f>IF(AH16=1,1,0)</f>
        <v>1</v>
      </c>
      <c r="AJ16" s="154">
        <f t="shared" si="3"/>
        <v>0</v>
      </c>
      <c r="AK16" s="992"/>
      <c r="AL16" s="1180">
        <v>1</v>
      </c>
      <c r="AM16" s="988">
        <f>IF(AL16=1,1,0)</f>
        <v>1</v>
      </c>
      <c r="AN16" s="1180">
        <f>IF(AN18=0,"",AN17/AN18)</f>
        <v>1</v>
      </c>
      <c r="AO16" s="1213">
        <f>IF(AN16=1,1,0)</f>
        <v>1</v>
      </c>
      <c r="AP16" s="154">
        <f t="shared" si="4"/>
        <v>0</v>
      </c>
      <c r="AQ16" s="992"/>
      <c r="AR16" s="1180">
        <v>1</v>
      </c>
      <c r="AS16" s="988">
        <f>IF(AR16=1,1,0)</f>
        <v>1</v>
      </c>
      <c r="AT16" s="1180">
        <f>IF(AT18=0,"",AT17/AT18)</f>
        <v>1</v>
      </c>
      <c r="AU16" s="1213">
        <f>IF(AT16=1,1,0)</f>
        <v>1</v>
      </c>
      <c r="AV16" s="154">
        <f t="shared" si="5"/>
        <v>0</v>
      </c>
      <c r="AW16" s="992"/>
      <c r="AX16" s="1180">
        <v>1</v>
      </c>
      <c r="AY16" s="988">
        <f>IF(AX16=1,1,0)</f>
        <v>1</v>
      </c>
      <c r="AZ16" s="1180">
        <f>IF(AZ18=0,"",AZ17/AZ18)</f>
        <v>1</v>
      </c>
      <c r="BA16" s="1213">
        <f>IF(AZ16=1,1,0)</f>
        <v>1</v>
      </c>
      <c r="BB16" s="154">
        <f t="shared" si="6"/>
        <v>0</v>
      </c>
      <c r="BC16" s="992"/>
      <c r="BD16" s="1180">
        <v>1</v>
      </c>
      <c r="BE16" s="988">
        <f>IF(BD16=1,1,0)</f>
        <v>1</v>
      </c>
      <c r="BF16" s="1180">
        <f>IF(BF18=0,"",BF17/BF18)</f>
        <v>1</v>
      </c>
      <c r="BG16" s="1213">
        <f>IF(BF16=1,1,0)</f>
        <v>1</v>
      </c>
      <c r="BH16" s="154">
        <f t="shared" si="7"/>
        <v>0</v>
      </c>
      <c r="BI16" s="992"/>
      <c r="BJ16" s="1180">
        <v>1</v>
      </c>
      <c r="BK16" s="988">
        <f>IF(BJ16=1,1,0)</f>
        <v>1</v>
      </c>
      <c r="BL16" s="1180">
        <f>IF(BL18=0,"",BL17/BL18)</f>
        <v>1</v>
      </c>
      <c r="BM16" s="1213">
        <f>IF(BL16=1,1,0)</f>
        <v>1</v>
      </c>
      <c r="BN16" s="154">
        <f t="shared" si="8"/>
        <v>0</v>
      </c>
      <c r="BO16" s="992"/>
      <c r="BP16" s="1180">
        <v>1</v>
      </c>
      <c r="BQ16" s="988">
        <f>IF(BP16=1,1,0)</f>
        <v>1</v>
      </c>
      <c r="BR16" s="1180">
        <f>IF(BR18=0,"",BR17/BR18)</f>
        <v>1</v>
      </c>
      <c r="BS16" s="1213">
        <f>IF(BR16=1,1,0)</f>
        <v>1</v>
      </c>
      <c r="BT16" s="154">
        <f t="shared" si="9"/>
        <v>0</v>
      </c>
      <c r="BU16" s="992"/>
      <c r="BV16" s="1180">
        <v>1</v>
      </c>
      <c r="BW16" s="988">
        <f>IF(BV16=1,1,0)</f>
        <v>1</v>
      </c>
      <c r="BX16" s="1180">
        <f>IF(BX18=0,"",BX17/BX18)</f>
        <v>1</v>
      </c>
      <c r="BY16" s="1213">
        <f>IF(BX16=1,1,0)</f>
        <v>1</v>
      </c>
      <c r="BZ16" s="154">
        <f t="shared" si="10"/>
        <v>0</v>
      </c>
      <c r="CA16" s="968"/>
      <c r="CC16" s="965"/>
      <c r="CD16" s="965"/>
      <c r="CE16" s="965"/>
      <c r="CF16" s="965"/>
      <c r="CG16" s="965"/>
      <c r="CH16" s="965"/>
      <c r="CI16" s="965"/>
      <c r="CJ16" s="965"/>
      <c r="CK16" s="965"/>
    </row>
    <row r="17" spans="1:89" s="886" customFormat="1" ht="28.5">
      <c r="A17" s="1655"/>
      <c r="B17" s="1655"/>
      <c r="C17" s="913">
        <v>6.1</v>
      </c>
      <c r="D17" s="1286" t="s">
        <v>2445</v>
      </c>
      <c r="E17" s="1008" t="s">
        <v>1102</v>
      </c>
      <c r="F17" s="1009"/>
      <c r="G17" s="1009"/>
      <c r="H17" s="1010"/>
      <c r="I17" s="988"/>
      <c r="J17" s="991">
        <f t="shared" ref="J17:J33" si="17">AVERAGE(BV17,BP17,BJ17,BD17,AX17,AR17,AL17,AF17,Z17,T17)</f>
        <v>31.9</v>
      </c>
      <c r="K17" s="1310"/>
      <c r="L17" s="991">
        <f>AVERAGE(BX17,BR17,BL17,BF17,AZ17,AT17,AN17,AH17,AB17,V17)</f>
        <v>32.799999999999997</v>
      </c>
      <c r="M17" s="1310"/>
      <c r="N17" s="1310">
        <f t="shared" si="13"/>
        <v>0</v>
      </c>
      <c r="O17" s="1257">
        <f t="shared" si="0"/>
        <v>0</v>
      </c>
      <c r="P17" s="1257">
        <f t="shared" si="14"/>
        <v>0</v>
      </c>
      <c r="Q17" s="1257">
        <f t="shared" si="15"/>
        <v>0</v>
      </c>
      <c r="R17" s="1257">
        <f t="shared" si="16"/>
        <v>0</v>
      </c>
      <c r="S17" s="992"/>
      <c r="T17" s="989">
        <v>40</v>
      </c>
      <c r="U17" s="1183"/>
      <c r="V17" s="989">
        <v>41</v>
      </c>
      <c r="W17" s="1183"/>
      <c r="X17" s="154">
        <f t="shared" si="1"/>
        <v>2.4999999999999911E-2</v>
      </c>
      <c r="Y17" s="992"/>
      <c r="Z17" s="989">
        <v>9</v>
      </c>
      <c r="AA17" s="988"/>
      <c r="AB17" s="989">
        <v>7</v>
      </c>
      <c r="AC17" s="1213"/>
      <c r="AD17" s="154">
        <f t="shared" si="2"/>
        <v>-0.22222222222222221</v>
      </c>
      <c r="AE17" s="992"/>
      <c r="AF17" s="989">
        <v>27</v>
      </c>
      <c r="AG17" s="988"/>
      <c r="AH17" s="989">
        <v>32</v>
      </c>
      <c r="AI17" s="1213"/>
      <c r="AJ17" s="154">
        <f t="shared" si="3"/>
        <v>0.18518518518518512</v>
      </c>
      <c r="AK17" s="992"/>
      <c r="AL17" s="989">
        <v>4</v>
      </c>
      <c r="AM17" s="988"/>
      <c r="AN17" s="989">
        <v>4</v>
      </c>
      <c r="AO17" s="1213"/>
      <c r="AP17" s="154">
        <f t="shared" si="4"/>
        <v>0</v>
      </c>
      <c r="AQ17" s="992"/>
      <c r="AR17" s="989">
        <v>49</v>
      </c>
      <c r="AS17" s="988"/>
      <c r="AT17" s="989">
        <v>44</v>
      </c>
      <c r="AU17" s="1213"/>
      <c r="AV17" s="154">
        <f t="shared" si="5"/>
        <v>-0.10204081632653061</v>
      </c>
      <c r="AW17" s="992"/>
      <c r="AX17" s="989">
        <v>63</v>
      </c>
      <c r="AY17" s="988"/>
      <c r="AZ17" s="989">
        <v>60</v>
      </c>
      <c r="BA17" s="1213"/>
      <c r="BB17" s="154">
        <f t="shared" si="6"/>
        <v>-4.7619047619047672E-2</v>
      </c>
      <c r="BC17" s="992"/>
      <c r="BD17" s="989">
        <v>5</v>
      </c>
      <c r="BE17" s="988"/>
      <c r="BF17" s="989">
        <v>12</v>
      </c>
      <c r="BG17" s="1213"/>
      <c r="BH17" s="154">
        <f t="shared" si="7"/>
        <v>1.4</v>
      </c>
      <c r="BI17" s="992"/>
      <c r="BJ17" s="989">
        <v>40</v>
      </c>
      <c r="BK17" s="988"/>
      <c r="BL17" s="989">
        <v>36</v>
      </c>
      <c r="BM17" s="1213"/>
      <c r="BN17" s="154">
        <f t="shared" si="8"/>
        <v>-9.9999999999999978E-2</v>
      </c>
      <c r="BO17" s="992"/>
      <c r="BP17" s="989">
        <v>29</v>
      </c>
      <c r="BQ17" s="988"/>
      <c r="BR17" s="989">
        <v>32</v>
      </c>
      <c r="BS17" s="1213"/>
      <c r="BT17" s="154">
        <f t="shared" si="9"/>
        <v>0.10344827586206895</v>
      </c>
      <c r="BU17" s="992"/>
      <c r="BV17" s="989">
        <v>53</v>
      </c>
      <c r="BW17" s="988"/>
      <c r="BX17" s="989">
        <v>60</v>
      </c>
      <c r="BY17" s="1213"/>
      <c r="BZ17" s="154">
        <f t="shared" si="10"/>
        <v>0.13207547169811318</v>
      </c>
      <c r="CA17" s="968"/>
      <c r="CC17" s="965"/>
      <c r="CD17" s="965"/>
      <c r="CE17" s="965"/>
      <c r="CF17" s="965"/>
      <c r="CG17" s="965"/>
      <c r="CH17" s="965"/>
      <c r="CI17" s="965"/>
      <c r="CJ17" s="965"/>
      <c r="CK17" s="965"/>
    </row>
    <row r="18" spans="1:89" s="886" customFormat="1">
      <c r="A18" s="1655"/>
      <c r="B18" s="1655"/>
      <c r="C18" s="1011">
        <v>6.2</v>
      </c>
      <c r="D18" s="1286" t="s">
        <v>2109</v>
      </c>
      <c r="E18" s="1008" t="s">
        <v>1102</v>
      </c>
      <c r="F18" s="1009"/>
      <c r="G18" s="1009"/>
      <c r="H18" s="1010"/>
      <c r="I18" s="988"/>
      <c r="J18" s="991">
        <f t="shared" si="17"/>
        <v>31.9</v>
      </c>
      <c r="K18" s="1310"/>
      <c r="L18" s="991">
        <f>AVERAGE(BX18,BR18,BL18,BF18,AZ18,AT18,AN18,AH18,AB18,V18)</f>
        <v>32.799999999999997</v>
      </c>
      <c r="M18" s="1310"/>
      <c r="N18" s="1310">
        <f t="shared" si="13"/>
        <v>0</v>
      </c>
      <c r="O18" s="1257">
        <f t="shared" si="0"/>
        <v>0</v>
      </c>
      <c r="P18" s="1257">
        <f t="shared" si="14"/>
        <v>0</v>
      </c>
      <c r="Q18" s="1257">
        <f t="shared" si="15"/>
        <v>0</v>
      </c>
      <c r="R18" s="1257">
        <f t="shared" si="16"/>
        <v>0</v>
      </c>
      <c r="S18" s="992"/>
      <c r="T18" s="989">
        <v>40</v>
      </c>
      <c r="U18" s="1183"/>
      <c r="V18" s="989">
        <v>41</v>
      </c>
      <c r="W18" s="1183"/>
      <c r="X18" s="154">
        <f t="shared" si="1"/>
        <v>2.4999999999999911E-2</v>
      </c>
      <c r="Y18" s="992"/>
      <c r="Z18" s="989">
        <v>9</v>
      </c>
      <c r="AA18" s="988"/>
      <c r="AB18" s="989">
        <v>7</v>
      </c>
      <c r="AC18" s="1213"/>
      <c r="AD18" s="154">
        <f t="shared" si="2"/>
        <v>-0.22222222222222221</v>
      </c>
      <c r="AE18" s="992"/>
      <c r="AF18" s="989">
        <v>27</v>
      </c>
      <c r="AG18" s="988"/>
      <c r="AH18" s="989">
        <v>32</v>
      </c>
      <c r="AI18" s="1213"/>
      <c r="AJ18" s="154">
        <f t="shared" si="3"/>
        <v>0.18518518518518512</v>
      </c>
      <c r="AK18" s="992"/>
      <c r="AL18" s="989">
        <v>4</v>
      </c>
      <c r="AM18" s="988"/>
      <c r="AN18" s="989">
        <v>4</v>
      </c>
      <c r="AO18" s="1213"/>
      <c r="AP18" s="154">
        <f t="shared" si="4"/>
        <v>0</v>
      </c>
      <c r="AQ18" s="992"/>
      <c r="AR18" s="989">
        <v>49</v>
      </c>
      <c r="AS18" s="988"/>
      <c r="AT18" s="989">
        <v>44</v>
      </c>
      <c r="AU18" s="1213"/>
      <c r="AV18" s="154">
        <f t="shared" si="5"/>
        <v>-0.10204081632653061</v>
      </c>
      <c r="AW18" s="992"/>
      <c r="AX18" s="989">
        <v>63</v>
      </c>
      <c r="AY18" s="988"/>
      <c r="AZ18" s="989">
        <v>60</v>
      </c>
      <c r="BA18" s="1213"/>
      <c r="BB18" s="154">
        <f t="shared" si="6"/>
        <v>-4.7619047619047672E-2</v>
      </c>
      <c r="BC18" s="992"/>
      <c r="BD18" s="989">
        <v>5</v>
      </c>
      <c r="BE18" s="988"/>
      <c r="BF18" s="989">
        <v>12</v>
      </c>
      <c r="BG18" s="1213"/>
      <c r="BH18" s="154">
        <f t="shared" si="7"/>
        <v>1.4</v>
      </c>
      <c r="BI18" s="992"/>
      <c r="BJ18" s="989">
        <v>40</v>
      </c>
      <c r="BK18" s="988"/>
      <c r="BL18" s="989">
        <v>36</v>
      </c>
      <c r="BM18" s="1213"/>
      <c r="BN18" s="154">
        <f t="shared" si="8"/>
        <v>-9.9999999999999978E-2</v>
      </c>
      <c r="BO18" s="992"/>
      <c r="BP18" s="989">
        <v>29</v>
      </c>
      <c r="BQ18" s="988"/>
      <c r="BR18" s="989">
        <v>32</v>
      </c>
      <c r="BS18" s="1213"/>
      <c r="BT18" s="154">
        <f t="shared" si="9"/>
        <v>0.10344827586206895</v>
      </c>
      <c r="BU18" s="992"/>
      <c r="BV18" s="989">
        <v>53</v>
      </c>
      <c r="BW18" s="988"/>
      <c r="BX18" s="989">
        <v>60</v>
      </c>
      <c r="BY18" s="1213"/>
      <c r="BZ18" s="154">
        <f t="shared" si="10"/>
        <v>0.13207547169811318</v>
      </c>
      <c r="CA18" s="968"/>
      <c r="CC18" s="965"/>
      <c r="CD18" s="965"/>
      <c r="CE18" s="965"/>
      <c r="CF18" s="965"/>
      <c r="CG18" s="965"/>
      <c r="CH18" s="965"/>
      <c r="CI18" s="965"/>
      <c r="CJ18" s="965"/>
      <c r="CK18" s="965"/>
    </row>
    <row r="19" spans="1:89" s="886" customFormat="1" ht="14.25">
      <c r="A19" s="1656" t="s">
        <v>2107</v>
      </c>
      <c r="B19" s="1656" t="s">
        <v>1112</v>
      </c>
      <c r="C19" s="899">
        <v>7</v>
      </c>
      <c r="D19" s="986" t="s">
        <v>2162</v>
      </c>
      <c r="E19" s="987"/>
      <c r="F19" s="988"/>
      <c r="G19" s="988" t="s">
        <v>396</v>
      </c>
      <c r="H19" s="989" t="s">
        <v>229</v>
      </c>
      <c r="I19" s="990">
        <v>2</v>
      </c>
      <c r="J19" s="991">
        <f t="shared" si="17"/>
        <v>1</v>
      </c>
      <c r="K19" s="1310">
        <f>AVERAGE(BW19,BQ19,BK19,BE19,AY19,AS19,AM19,AG19,AA19,U19)</f>
        <v>2</v>
      </c>
      <c r="L19" s="991">
        <f t="shared" ref="L19:L33" si="18">AVERAGE(BX19,BR19,BL19,BF19,AZ19,AT19,AN19,AH19,AB19,V19)</f>
        <v>1</v>
      </c>
      <c r="M19" s="1310">
        <f>AVERAGE(BY19,BS19,BM19,BG19,BA19,AU19,AO19,AI19,AC19,W19)</f>
        <v>2</v>
      </c>
      <c r="N19" s="1310">
        <f>M19-K19</f>
        <v>0</v>
      </c>
      <c r="O19" s="1257">
        <f t="shared" si="0"/>
        <v>0</v>
      </c>
      <c r="P19" s="1257">
        <f t="shared" si="14"/>
        <v>0</v>
      </c>
      <c r="Q19" s="1257">
        <f t="shared" si="15"/>
        <v>0</v>
      </c>
      <c r="R19" s="1257">
        <f t="shared" si="16"/>
        <v>0</v>
      </c>
      <c r="S19" s="992"/>
      <c r="T19" s="1180">
        <v>1</v>
      </c>
      <c r="U19" s="1183">
        <f>IF(T19=1,2,0)</f>
        <v>2</v>
      </c>
      <c r="V19" s="1180">
        <f>IF(V21=0,"",V20/V21)</f>
        <v>1</v>
      </c>
      <c r="W19" s="1183">
        <f>IF(V19=1,2,0)</f>
        <v>2</v>
      </c>
      <c r="X19" s="154">
        <f t="shared" si="1"/>
        <v>0</v>
      </c>
      <c r="Y19" s="992"/>
      <c r="Z19" s="1180">
        <v>1</v>
      </c>
      <c r="AA19" s="988">
        <f>IF(Z19=1,2,0)</f>
        <v>2</v>
      </c>
      <c r="AB19" s="1180">
        <f>IF(AB21=0,"",AB20/AB21)</f>
        <v>1</v>
      </c>
      <c r="AC19" s="1213">
        <f>IF(AB19=1,2,0)</f>
        <v>2</v>
      </c>
      <c r="AD19" s="154">
        <f t="shared" si="2"/>
        <v>0</v>
      </c>
      <c r="AE19" s="992"/>
      <c r="AF19" s="1180">
        <v>1</v>
      </c>
      <c r="AG19" s="988">
        <f>IF(AF19=1,2,0)</f>
        <v>2</v>
      </c>
      <c r="AH19" s="1180">
        <f>IF(AH21=0,"",AH20/AH21)</f>
        <v>1</v>
      </c>
      <c r="AI19" s="1213">
        <f>IF(AH19=1,2,0)</f>
        <v>2</v>
      </c>
      <c r="AJ19" s="154">
        <f t="shared" si="3"/>
        <v>0</v>
      </c>
      <c r="AK19" s="992"/>
      <c r="AL19" s="1180">
        <v>1</v>
      </c>
      <c r="AM19" s="988">
        <f>IF(AL19=1,2,0)</f>
        <v>2</v>
      </c>
      <c r="AN19" s="1180">
        <v>1</v>
      </c>
      <c r="AO19" s="1213">
        <f>IF(AN19=1,2,0)</f>
        <v>2</v>
      </c>
      <c r="AP19" s="154">
        <f t="shared" si="4"/>
        <v>0</v>
      </c>
      <c r="AQ19" s="992"/>
      <c r="AR19" s="1180">
        <v>1</v>
      </c>
      <c r="AS19" s="988">
        <f>IF(AR19=1,2,0)</f>
        <v>2</v>
      </c>
      <c r="AT19" s="1180">
        <f>IF(AT21=0,"",AT20/AT21)</f>
        <v>1</v>
      </c>
      <c r="AU19" s="1213">
        <f>IF(AT19=1,2,0)</f>
        <v>2</v>
      </c>
      <c r="AV19" s="154">
        <f t="shared" si="5"/>
        <v>0</v>
      </c>
      <c r="AW19" s="992"/>
      <c r="AX19" s="1180">
        <v>1</v>
      </c>
      <c r="AY19" s="988">
        <f>IF(AX19=1,2,0)</f>
        <v>2</v>
      </c>
      <c r="AZ19" s="1180">
        <f>IF(AZ21=0,"",AZ20/AZ21)</f>
        <v>1</v>
      </c>
      <c r="BA19" s="1213">
        <f>IF(AZ19=1,2,0)</f>
        <v>2</v>
      </c>
      <c r="BB19" s="154">
        <f t="shared" si="6"/>
        <v>0</v>
      </c>
      <c r="BC19" s="992"/>
      <c r="BD19" s="1180">
        <v>1</v>
      </c>
      <c r="BE19" s="988">
        <f>IF(BD19=1,2,0)</f>
        <v>2</v>
      </c>
      <c r="BF19" s="1180">
        <f>IF(BF21=0,"",BF20/BF21)</f>
        <v>1</v>
      </c>
      <c r="BG19" s="1213">
        <f>IF(BF19=1,2,0)</f>
        <v>2</v>
      </c>
      <c r="BH19" s="154">
        <f t="shared" si="7"/>
        <v>0</v>
      </c>
      <c r="BI19" s="992"/>
      <c r="BJ19" s="1180">
        <v>1</v>
      </c>
      <c r="BK19" s="988">
        <f>IF(BJ19=1,2,0)</f>
        <v>2</v>
      </c>
      <c r="BL19" s="1180">
        <f>IF(BL21=0,"",BL20/BL21)</f>
        <v>1</v>
      </c>
      <c r="BM19" s="1213">
        <f>IF(BL19=1,2,0)</f>
        <v>2</v>
      </c>
      <c r="BN19" s="154">
        <f t="shared" si="8"/>
        <v>0</v>
      </c>
      <c r="BO19" s="992"/>
      <c r="BP19" s="1180">
        <v>1</v>
      </c>
      <c r="BQ19" s="988">
        <f>IF(BP19=1,2,0)</f>
        <v>2</v>
      </c>
      <c r="BR19" s="1180">
        <f>IF(BR21=0,"",BR20/BR21)</f>
        <v>1</v>
      </c>
      <c r="BS19" s="1213">
        <f>IF(BR19=1,2,0)</f>
        <v>2</v>
      </c>
      <c r="BT19" s="154">
        <f t="shared" si="9"/>
        <v>0</v>
      </c>
      <c r="BU19" s="992"/>
      <c r="BV19" s="1180">
        <v>1</v>
      </c>
      <c r="BW19" s="988">
        <f>IF(BV19=1,2,0)</f>
        <v>2</v>
      </c>
      <c r="BX19" s="1180">
        <f>IF(BX21=0,"",BX20/BX21)</f>
        <v>1</v>
      </c>
      <c r="BY19" s="1213">
        <f>IF(BX19=1,2,0)</f>
        <v>2</v>
      </c>
      <c r="BZ19" s="154">
        <f t="shared" si="10"/>
        <v>0</v>
      </c>
      <c r="CA19" s="968"/>
      <c r="CC19" s="965"/>
      <c r="CD19" s="965"/>
      <c r="CE19" s="965"/>
      <c r="CF19" s="965"/>
      <c r="CG19" s="965"/>
      <c r="CH19" s="965"/>
      <c r="CI19" s="965"/>
      <c r="CJ19" s="965"/>
      <c r="CK19" s="965"/>
    </row>
    <row r="20" spans="1:89" s="886" customFormat="1" ht="28.5">
      <c r="A20" s="1655"/>
      <c r="B20" s="1655"/>
      <c r="C20" s="913">
        <v>7.1</v>
      </c>
      <c r="D20" s="1413" t="s">
        <v>2432</v>
      </c>
      <c r="E20" s="1008" t="s">
        <v>1102</v>
      </c>
      <c r="F20" s="1009"/>
      <c r="G20" s="1009"/>
      <c r="H20" s="1010"/>
      <c r="I20" s="988"/>
      <c r="J20" s="991">
        <f t="shared" si="17"/>
        <v>575.70000000000005</v>
      </c>
      <c r="K20" s="1310"/>
      <c r="L20" s="991">
        <f t="shared" si="18"/>
        <v>550.1</v>
      </c>
      <c r="M20" s="1310"/>
      <c r="N20" s="1310">
        <f t="shared" si="13"/>
        <v>0</v>
      </c>
      <c r="O20" s="1257">
        <f t="shared" si="0"/>
        <v>0</v>
      </c>
      <c r="P20" s="1257">
        <f t="shared" si="14"/>
        <v>0</v>
      </c>
      <c r="Q20" s="1257">
        <f t="shared" si="15"/>
        <v>0</v>
      </c>
      <c r="R20" s="1257">
        <f t="shared" si="16"/>
        <v>0</v>
      </c>
      <c r="S20" s="992"/>
      <c r="T20" s="989">
        <v>117</v>
      </c>
      <c r="U20" s="1183"/>
      <c r="V20" s="1012">
        <v>142</v>
      </c>
      <c r="W20" s="1183"/>
      <c r="X20" s="154">
        <f t="shared" si="1"/>
        <v>0.21367521367521358</v>
      </c>
      <c r="Y20" s="992"/>
      <c r="Z20" s="989">
        <v>809</v>
      </c>
      <c r="AA20" s="988"/>
      <c r="AB20" s="989">
        <v>734</v>
      </c>
      <c r="AC20" s="1213"/>
      <c r="AD20" s="154">
        <f t="shared" si="2"/>
        <v>-9.2707045735475946E-2</v>
      </c>
      <c r="AE20" s="992"/>
      <c r="AF20" s="989">
        <v>1173</v>
      </c>
      <c r="AG20" s="988"/>
      <c r="AH20" s="989">
        <v>1153</v>
      </c>
      <c r="AI20" s="1213"/>
      <c r="AJ20" s="154">
        <f t="shared" si="3"/>
        <v>-1.7050298380221651E-2</v>
      </c>
      <c r="AK20" s="992"/>
      <c r="AL20" s="989">
        <v>163</v>
      </c>
      <c r="AM20" s="988"/>
      <c r="AN20" s="989">
        <v>177</v>
      </c>
      <c r="AO20" s="1213"/>
      <c r="AP20" s="154">
        <f t="shared" si="4"/>
        <v>8.5889570552147187E-2</v>
      </c>
      <c r="AQ20" s="992"/>
      <c r="AR20" s="989">
        <v>908</v>
      </c>
      <c r="AS20" s="988"/>
      <c r="AT20" s="989">
        <v>985</v>
      </c>
      <c r="AU20" s="1213"/>
      <c r="AV20" s="154">
        <f t="shared" si="5"/>
        <v>8.4801762114537382E-2</v>
      </c>
      <c r="AW20" s="992"/>
      <c r="AX20" s="989">
        <v>873</v>
      </c>
      <c r="AY20" s="988"/>
      <c r="AZ20" s="989">
        <v>752</v>
      </c>
      <c r="BA20" s="1213"/>
      <c r="BB20" s="154">
        <f t="shared" si="6"/>
        <v>-0.13860252004581897</v>
      </c>
      <c r="BC20" s="992"/>
      <c r="BD20" s="989">
        <v>281</v>
      </c>
      <c r="BE20" s="988"/>
      <c r="BF20" s="989">
        <v>241</v>
      </c>
      <c r="BG20" s="1213"/>
      <c r="BH20" s="154">
        <f t="shared" si="7"/>
        <v>-0.14234875444839856</v>
      </c>
      <c r="BI20" s="992"/>
      <c r="BJ20" s="989">
        <v>755</v>
      </c>
      <c r="BK20" s="988"/>
      <c r="BL20" s="989">
        <v>729</v>
      </c>
      <c r="BM20" s="1213"/>
      <c r="BN20" s="154">
        <f t="shared" si="8"/>
        <v>-3.443708609271523E-2</v>
      </c>
      <c r="BO20" s="992"/>
      <c r="BP20" s="989">
        <v>229</v>
      </c>
      <c r="BQ20" s="988"/>
      <c r="BR20" s="989">
        <v>215</v>
      </c>
      <c r="BS20" s="1213"/>
      <c r="BT20" s="154">
        <f t="shared" si="9"/>
        <v>-6.1135371179039333E-2</v>
      </c>
      <c r="BU20" s="992"/>
      <c r="BV20" s="989">
        <v>449</v>
      </c>
      <c r="BW20" s="988"/>
      <c r="BX20" s="989">
        <v>373</v>
      </c>
      <c r="BY20" s="1213"/>
      <c r="BZ20" s="154">
        <f t="shared" si="10"/>
        <v>-0.16926503340757237</v>
      </c>
      <c r="CA20" s="968"/>
      <c r="CC20" s="965"/>
      <c r="CD20" s="965"/>
      <c r="CE20" s="965"/>
      <c r="CF20" s="965"/>
      <c r="CG20" s="965"/>
      <c r="CH20" s="965"/>
      <c r="CI20" s="965"/>
      <c r="CJ20" s="965"/>
      <c r="CK20" s="965"/>
    </row>
    <row r="21" spans="1:89" s="886" customFormat="1">
      <c r="A21" s="1655"/>
      <c r="B21" s="1655"/>
      <c r="C21" s="913">
        <v>7.2</v>
      </c>
      <c r="D21" s="1413" t="s">
        <v>2431</v>
      </c>
      <c r="E21" s="1008" t="s">
        <v>1102</v>
      </c>
      <c r="F21" s="1009" t="s">
        <v>1975</v>
      </c>
      <c r="G21" s="1009"/>
      <c r="I21" s="988"/>
      <c r="J21" s="991">
        <f t="shared" si="17"/>
        <v>575.70000000000005</v>
      </c>
      <c r="K21" s="1310"/>
      <c r="L21" s="991">
        <f t="shared" si="18"/>
        <v>550.1</v>
      </c>
      <c r="M21" s="1310"/>
      <c r="N21" s="1310">
        <f t="shared" si="13"/>
        <v>0</v>
      </c>
      <c r="O21" s="1257">
        <f t="shared" si="0"/>
        <v>0</v>
      </c>
      <c r="P21" s="1257">
        <f t="shared" si="14"/>
        <v>0</v>
      </c>
      <c r="Q21" s="1257">
        <f t="shared" si="15"/>
        <v>0</v>
      </c>
      <c r="R21" s="1257">
        <f t="shared" si="16"/>
        <v>0</v>
      </c>
      <c r="S21" s="992"/>
      <c r="T21" s="989">
        <v>117</v>
      </c>
      <c r="U21" s="1183"/>
      <c r="V21" s="1012">
        <v>142</v>
      </c>
      <c r="W21" s="1183"/>
      <c r="X21" s="154">
        <f t="shared" si="1"/>
        <v>0.21367521367521358</v>
      </c>
      <c r="Y21" s="992"/>
      <c r="Z21" s="989">
        <v>809</v>
      </c>
      <c r="AA21" s="988"/>
      <c r="AB21" s="989">
        <v>734</v>
      </c>
      <c r="AC21" s="1213"/>
      <c r="AD21" s="154">
        <f t="shared" si="2"/>
        <v>-9.2707045735475946E-2</v>
      </c>
      <c r="AE21" s="992"/>
      <c r="AF21" s="989">
        <v>1173</v>
      </c>
      <c r="AG21" s="988"/>
      <c r="AH21" s="989">
        <v>1153</v>
      </c>
      <c r="AI21" s="1213"/>
      <c r="AJ21" s="154">
        <f t="shared" si="3"/>
        <v>-1.7050298380221651E-2</v>
      </c>
      <c r="AK21" s="992"/>
      <c r="AL21" s="989">
        <v>163</v>
      </c>
      <c r="AM21" s="988"/>
      <c r="AN21" s="989">
        <v>177</v>
      </c>
      <c r="AO21" s="1213"/>
      <c r="AP21" s="154">
        <f t="shared" si="4"/>
        <v>8.5889570552147187E-2</v>
      </c>
      <c r="AQ21" s="992"/>
      <c r="AR21" s="989">
        <v>908</v>
      </c>
      <c r="AS21" s="988"/>
      <c r="AT21" s="989">
        <v>985</v>
      </c>
      <c r="AU21" s="1213"/>
      <c r="AV21" s="154">
        <f t="shared" si="5"/>
        <v>8.4801762114537382E-2</v>
      </c>
      <c r="AW21" s="992"/>
      <c r="AX21" s="989">
        <v>873</v>
      </c>
      <c r="AY21" s="988"/>
      <c r="AZ21" s="989">
        <v>752</v>
      </c>
      <c r="BA21" s="1213"/>
      <c r="BB21" s="154">
        <f t="shared" si="6"/>
        <v>-0.13860252004581897</v>
      </c>
      <c r="BC21" s="992"/>
      <c r="BD21" s="989">
        <v>281</v>
      </c>
      <c r="BE21" s="988"/>
      <c r="BF21" s="989">
        <v>241</v>
      </c>
      <c r="BG21" s="1213"/>
      <c r="BH21" s="154">
        <f t="shared" si="7"/>
        <v>-0.14234875444839856</v>
      </c>
      <c r="BI21" s="992"/>
      <c r="BJ21" s="989">
        <v>755</v>
      </c>
      <c r="BK21" s="988"/>
      <c r="BL21" s="989">
        <v>729</v>
      </c>
      <c r="BM21" s="1213"/>
      <c r="BN21" s="154">
        <f t="shared" si="8"/>
        <v>-3.443708609271523E-2</v>
      </c>
      <c r="BO21" s="992"/>
      <c r="BP21" s="989">
        <v>229</v>
      </c>
      <c r="BQ21" s="988"/>
      <c r="BR21" s="989">
        <v>215</v>
      </c>
      <c r="BS21" s="1213"/>
      <c r="BT21" s="154">
        <f t="shared" si="9"/>
        <v>-6.1135371179039333E-2</v>
      </c>
      <c r="BU21" s="992"/>
      <c r="BV21" s="989">
        <v>449</v>
      </c>
      <c r="BW21" s="988"/>
      <c r="BX21" s="989">
        <v>373</v>
      </c>
      <c r="BY21" s="1213"/>
      <c r="BZ21" s="154">
        <f t="shared" si="10"/>
        <v>-0.16926503340757237</v>
      </c>
      <c r="CA21" s="968"/>
      <c r="CC21" s="965"/>
      <c r="CD21" s="965"/>
      <c r="CE21" s="965"/>
      <c r="CF21" s="965"/>
      <c r="CG21" s="965"/>
      <c r="CH21" s="965"/>
      <c r="CI21" s="965"/>
      <c r="CJ21" s="965"/>
      <c r="CK21" s="965"/>
    </row>
    <row r="22" spans="1:89" s="886" customFormat="1" ht="14.25">
      <c r="A22" s="1656" t="s">
        <v>1113</v>
      </c>
      <c r="B22" s="1656" t="s">
        <v>1114</v>
      </c>
      <c r="C22" s="899">
        <v>8</v>
      </c>
      <c r="D22" s="1345" t="s">
        <v>2089</v>
      </c>
      <c r="E22" s="987"/>
      <c r="F22" s="988"/>
      <c r="G22" s="988" t="s">
        <v>394</v>
      </c>
      <c r="H22" s="989" t="s">
        <v>229</v>
      </c>
      <c r="I22" s="990">
        <v>2</v>
      </c>
      <c r="J22" s="1415">
        <f t="shared" si="17"/>
        <v>0.64037544190845996</v>
      </c>
      <c r="K22" s="1309">
        <f>AVERAGE(BW22,BQ22,BK22,BE22,AY22,AS22,AM22,AG22,AA22,U22)</f>
        <v>1.9</v>
      </c>
      <c r="L22" s="1415">
        <f t="shared" si="18"/>
        <v>0.62545911274491872</v>
      </c>
      <c r="M22" s="1309">
        <f>AVERAGE(BY22,BS22,BM22,BG22,BA22,AU22,AO22,AI22,AC22,W22)</f>
        <v>1.9</v>
      </c>
      <c r="N22" s="1320">
        <f t="shared" si="13"/>
        <v>0</v>
      </c>
      <c r="O22" s="1257">
        <f t="shared" si="0"/>
        <v>0.10000000000000009</v>
      </c>
      <c r="P22" s="1257">
        <f t="shared" si="14"/>
        <v>7.0000000000000062E-2</v>
      </c>
      <c r="Q22" s="1257">
        <f t="shared" si="15"/>
        <v>7.7777777777777845E-3</v>
      </c>
      <c r="R22" s="1257">
        <f t="shared" si="16"/>
        <v>3.8888888888888922E-3</v>
      </c>
      <c r="S22" s="992"/>
      <c r="T22" s="1180">
        <v>3.4005508892440577E-2</v>
      </c>
      <c r="U22" s="1183">
        <f>IF(T22&lt;=3,2,IF(T22&lt;=5,1,0))</f>
        <v>2</v>
      </c>
      <c r="V22" s="1209">
        <f>IF(V24=0,"",V23*1000/V24)</f>
        <v>3.8981542239749478E-2</v>
      </c>
      <c r="W22" s="1183">
        <f>IF(V22&lt;=3,2,IF(V22&lt;=5,1,0))</f>
        <v>2</v>
      </c>
      <c r="X22" s="154">
        <f t="shared" si="1"/>
        <v>0.1463302126443129</v>
      </c>
      <c r="Y22" s="992"/>
      <c r="Z22" s="1180">
        <v>6.8248293792655179E-2</v>
      </c>
      <c r="AA22" s="988">
        <f>IF(Z22&lt;=3,2,IF(Z22&lt;=5,1,0))</f>
        <v>2</v>
      </c>
      <c r="AB22" s="1209">
        <f>IF(AB24=0,"",AB23*1000/AB24)</f>
        <v>8.6355446869811309E-2</v>
      </c>
      <c r="AC22" s="1213">
        <f>IF(AB22&lt;=3,2,IF(AB22&lt;=5,1,0))</f>
        <v>2</v>
      </c>
      <c r="AD22" s="154">
        <f t="shared" si="2"/>
        <v>0.2653129048495686</v>
      </c>
      <c r="AE22" s="992"/>
      <c r="AF22" s="1180">
        <v>0.83236224404860992</v>
      </c>
      <c r="AG22" s="988">
        <f>IF(AF22&lt;=3,2,IF(AF22&lt;=5,1,0))</f>
        <v>2</v>
      </c>
      <c r="AH22" s="1209">
        <f>IF(AH24=0,"",AH23*1000/AH24)</f>
        <v>1.1620475277438846</v>
      </c>
      <c r="AI22" s="1213">
        <f>IF(AH22&lt;=3,2,IF(AH22&lt;=5,1,0))</f>
        <v>2</v>
      </c>
      <c r="AJ22" s="154">
        <f t="shared" si="3"/>
        <v>0.39608389983150305</v>
      </c>
      <c r="AK22" s="992"/>
      <c r="AL22" s="989">
        <v>4.8473097430925836E-2</v>
      </c>
      <c r="AM22" s="988">
        <f>IF(AL22&lt;=3,2,IF(AL22&lt;=5,1,0))</f>
        <v>2</v>
      </c>
      <c r="AN22" s="1209">
        <f>IF(AN24=0,"",AN23*1000/AN24)</f>
        <v>4.7721307563827246E-2</v>
      </c>
      <c r="AO22" s="1213">
        <f>IF(AN22&lt;=3,2,IF(AN22&lt;=5,1,0))</f>
        <v>2</v>
      </c>
      <c r="AP22" s="154">
        <f t="shared" si="4"/>
        <v>-1.5509424958243923E-2</v>
      </c>
      <c r="AQ22" s="992"/>
      <c r="AR22" s="989">
        <v>3.6619718309859155</v>
      </c>
      <c r="AS22" s="988">
        <f>IF(AR22&lt;=3,2,IF(AR22&lt;=5,1,0))</f>
        <v>1</v>
      </c>
      <c r="AT22" s="1209">
        <f>IF(AT24=0,"",AT23*1000/AT24)</f>
        <v>3.426226379079977</v>
      </c>
      <c r="AU22" s="1213">
        <f>IF(AT22&lt;=3,2,IF(AT22&lt;=5,1,0))</f>
        <v>1</v>
      </c>
      <c r="AV22" s="154">
        <f t="shared" si="5"/>
        <v>-6.437664263585241E-2</v>
      </c>
      <c r="AW22" s="992"/>
      <c r="AX22" s="989">
        <v>0.63605139295255053</v>
      </c>
      <c r="AY22" s="988">
        <f>IF(AX22&lt;=3,2,IF(AX22&lt;=5,1,0))</f>
        <v>2</v>
      </c>
      <c r="AZ22" s="1209">
        <f>IF(AZ24=0,"",AZ23*1000/AZ24)</f>
        <v>0.70494811374545152</v>
      </c>
      <c r="BA22" s="1213">
        <f>IF(AZ22&lt;=3,2,IF(AZ22&lt;=5,1,0))</f>
        <v>2</v>
      </c>
      <c r="BB22" s="154">
        <f t="shared" si="6"/>
        <v>0.10831942443059894</v>
      </c>
      <c r="BC22" s="992"/>
      <c r="BD22" s="1209">
        <v>0.13525089040169513</v>
      </c>
      <c r="BE22" s="988">
        <f>IF(BD22&lt;=3,2,IF(BD22&lt;=5,1,0))</f>
        <v>2</v>
      </c>
      <c r="BF22" s="1209">
        <f>IF(BF24=0,"",BF23*1000/BF24)</f>
        <v>0.35906642728904847</v>
      </c>
      <c r="BG22" s="1213">
        <f>IF(BF22&lt;=3,2,IF(BF22&lt;=5,1,0))</f>
        <v>2</v>
      </c>
      <c r="BH22" s="154">
        <f t="shared" si="7"/>
        <v>1.6548174745661282</v>
      </c>
      <c r="BI22" s="992"/>
      <c r="BJ22" s="1209">
        <v>0.16178088397075002</v>
      </c>
      <c r="BK22" s="988">
        <f>IF(BJ22&lt;=3,2,IF(BJ22&lt;=5,1,0))</f>
        <v>2</v>
      </c>
      <c r="BL22" s="1209">
        <f>IF(BL24=0,"",BL23*1000/BL24)</f>
        <v>0.3028660694360315</v>
      </c>
      <c r="BM22" s="1213">
        <f>IF(BL22&lt;=3,2,IF(BL22&lt;=5,1,0))</f>
        <v>2</v>
      </c>
      <c r="BN22" s="154">
        <f t="shared" si="8"/>
        <v>0.87207574839799795</v>
      </c>
      <c r="BO22" s="992"/>
      <c r="BP22" s="989">
        <v>0.72833211944646759</v>
      </c>
      <c r="BQ22" s="988">
        <f>IF(BP22&lt;=3,2,IF(BP22&lt;=5,1,0))</f>
        <v>2</v>
      </c>
      <c r="BR22" s="1209">
        <f>IF(BR24=0,"",BR23*1000/BR24)</f>
        <v>0</v>
      </c>
      <c r="BS22" s="1213">
        <f>IF(BR22&lt;=3,2,IF(BR22&lt;=5,1,0))</f>
        <v>2</v>
      </c>
      <c r="BT22" s="154">
        <f t="shared" si="9"/>
        <v>-1</v>
      </c>
      <c r="BU22" s="992"/>
      <c r="BV22" s="1209">
        <v>9.7278157162590709E-2</v>
      </c>
      <c r="BW22" s="988">
        <f>IF(BV22&lt;=3,2,IF(BV22&lt;=5,1,0))</f>
        <v>2</v>
      </c>
      <c r="BX22" s="1209">
        <f>IF(BX24=0,"",BX23*1000/BX24)</f>
        <v>0.1263783134814066</v>
      </c>
      <c r="BY22" s="1213">
        <f>IF(BX22&lt;=3,2,IF(BX22&lt;=5,1,0))</f>
        <v>2</v>
      </c>
      <c r="BZ22" s="154">
        <f t="shared" si="10"/>
        <v>0.29914378692616372</v>
      </c>
      <c r="CA22" s="968"/>
      <c r="CC22" s="965"/>
      <c r="CD22" s="965"/>
      <c r="CE22" s="965"/>
      <c r="CF22" s="965"/>
      <c r="CG22" s="965"/>
      <c r="CH22" s="965"/>
      <c r="CI22" s="965"/>
      <c r="CJ22" s="965"/>
      <c r="CK22" s="965"/>
    </row>
    <row r="23" spans="1:89" s="886" customFormat="1">
      <c r="A23" s="1655"/>
      <c r="B23" s="1655"/>
      <c r="C23" s="913">
        <v>8.1</v>
      </c>
      <c r="D23" s="1210" t="s">
        <v>2120</v>
      </c>
      <c r="E23" s="995" t="s">
        <v>1115</v>
      </c>
      <c r="F23" s="993" t="s">
        <v>1116</v>
      </c>
      <c r="G23" s="988" t="s">
        <v>394</v>
      </c>
      <c r="H23" s="997"/>
      <c r="I23" s="988"/>
      <c r="J23" s="991">
        <f t="shared" si="17"/>
        <v>60.7</v>
      </c>
      <c r="K23" s="1310"/>
      <c r="L23" s="991">
        <f t="shared" si="18"/>
        <v>61.1</v>
      </c>
      <c r="M23" s="1310"/>
      <c r="N23" s="1310">
        <f t="shared" si="13"/>
        <v>0</v>
      </c>
      <c r="O23" s="1257">
        <f t="shared" si="0"/>
        <v>0</v>
      </c>
      <c r="P23" s="1257">
        <f t="shared" si="14"/>
        <v>0</v>
      </c>
      <c r="Q23" s="1257">
        <f t="shared" si="15"/>
        <v>0</v>
      </c>
      <c r="R23" s="1257">
        <f t="shared" si="16"/>
        <v>0</v>
      </c>
      <c r="S23" s="992"/>
      <c r="T23" s="989">
        <v>6</v>
      </c>
      <c r="U23" s="1183"/>
      <c r="V23" s="989">
        <v>6</v>
      </c>
      <c r="W23" s="1183"/>
      <c r="X23" s="154">
        <f t="shared" si="1"/>
        <v>0</v>
      </c>
      <c r="Y23" s="992"/>
      <c r="Z23" s="913">
        <v>21</v>
      </c>
      <c r="AA23" s="988"/>
      <c r="AB23" s="913">
        <v>22</v>
      </c>
      <c r="AC23" s="1213"/>
      <c r="AD23" s="154">
        <f t="shared" si="2"/>
        <v>4.7619047619047672E-2</v>
      </c>
      <c r="AE23" s="992"/>
      <c r="AF23" s="913">
        <v>85</v>
      </c>
      <c r="AG23" s="988"/>
      <c r="AH23" s="913">
        <v>120</v>
      </c>
      <c r="AI23" s="1213"/>
      <c r="AJ23" s="154">
        <f t="shared" si="3"/>
        <v>0.41176470588235303</v>
      </c>
      <c r="AK23" s="992"/>
      <c r="AL23" s="913">
        <v>1</v>
      </c>
      <c r="AM23" s="988"/>
      <c r="AN23" s="913">
        <v>1</v>
      </c>
      <c r="AO23" s="1213"/>
      <c r="AP23" s="154">
        <f t="shared" si="4"/>
        <v>0</v>
      </c>
      <c r="AQ23" s="992"/>
      <c r="AR23" s="913">
        <v>403</v>
      </c>
      <c r="AS23" s="988"/>
      <c r="AT23" s="913">
        <v>359</v>
      </c>
      <c r="AU23" s="1213"/>
      <c r="AV23" s="154">
        <f t="shared" si="5"/>
        <v>-0.10918114143920599</v>
      </c>
      <c r="AW23" s="992"/>
      <c r="AX23" s="989">
        <v>60</v>
      </c>
      <c r="AY23" s="988"/>
      <c r="AZ23" s="989">
        <v>68</v>
      </c>
      <c r="BA23" s="1213"/>
      <c r="BB23" s="154">
        <f t="shared" si="6"/>
        <v>0.1333333333333333</v>
      </c>
      <c r="BC23" s="992"/>
      <c r="BD23" s="913">
        <v>3</v>
      </c>
      <c r="BE23" s="988"/>
      <c r="BF23" s="913">
        <v>8</v>
      </c>
      <c r="BG23" s="1213"/>
      <c r="BH23" s="154">
        <f t="shared" si="7"/>
        <v>1.6666666666666665</v>
      </c>
      <c r="BI23" s="992"/>
      <c r="BJ23" s="913">
        <v>10</v>
      </c>
      <c r="BK23" s="988"/>
      <c r="BL23" s="913">
        <v>19</v>
      </c>
      <c r="BM23" s="1213"/>
      <c r="BN23" s="154">
        <f t="shared" si="8"/>
        <v>0.89999999999999991</v>
      </c>
      <c r="BO23" s="992"/>
      <c r="BP23" s="913">
        <v>13</v>
      </c>
      <c r="BQ23" s="988"/>
      <c r="BR23" s="913">
        <v>0</v>
      </c>
      <c r="BS23" s="1213"/>
      <c r="BT23" s="154">
        <f t="shared" si="9"/>
        <v>-1</v>
      </c>
      <c r="BU23" s="992"/>
      <c r="BV23" s="913">
        <v>5</v>
      </c>
      <c r="BW23" s="988"/>
      <c r="BX23" s="913">
        <v>8</v>
      </c>
      <c r="BY23" s="1213"/>
      <c r="BZ23" s="154">
        <f t="shared" si="10"/>
        <v>0.60000000000000009</v>
      </c>
      <c r="CA23" s="968"/>
      <c r="CC23" s="965"/>
      <c r="CD23" s="965"/>
      <c r="CE23" s="965"/>
      <c r="CF23" s="965"/>
      <c r="CG23" s="965"/>
      <c r="CH23" s="965"/>
      <c r="CI23" s="965"/>
      <c r="CJ23" s="965"/>
      <c r="CK23" s="965"/>
    </row>
    <row r="24" spans="1:89" s="886" customFormat="1">
      <c r="A24" s="1655"/>
      <c r="B24" s="1655"/>
      <c r="C24" s="913">
        <v>8.1999999999999993</v>
      </c>
      <c r="D24" s="994" t="s">
        <v>2126</v>
      </c>
      <c r="E24" s="995" t="s">
        <v>1115</v>
      </c>
      <c r="F24" s="993" t="s">
        <v>1117</v>
      </c>
      <c r="G24" s="988" t="s">
        <v>396</v>
      </c>
      <c r="H24" s="997"/>
      <c r="I24" s="988"/>
      <c r="J24" s="991">
        <f t="shared" si="17"/>
        <v>96451.4</v>
      </c>
      <c r="K24" s="1310"/>
      <c r="L24" s="991">
        <f t="shared" si="18"/>
        <v>90085.1</v>
      </c>
      <c r="M24" s="1310"/>
      <c r="N24" s="1310">
        <f t="shared" si="13"/>
        <v>0</v>
      </c>
      <c r="O24" s="1257">
        <f t="shared" si="0"/>
        <v>0</v>
      </c>
      <c r="P24" s="1257">
        <f t="shared" si="14"/>
        <v>0</v>
      </c>
      <c r="Q24" s="1257">
        <f t="shared" si="15"/>
        <v>0</v>
      </c>
      <c r="R24" s="1257">
        <f t="shared" si="16"/>
        <v>0</v>
      </c>
      <c r="S24" s="992"/>
      <c r="T24" s="913">
        <v>176442</v>
      </c>
      <c r="U24" s="1183"/>
      <c r="V24" s="913">
        <v>153919</v>
      </c>
      <c r="W24" s="1183"/>
      <c r="X24" s="154">
        <f t="shared" si="1"/>
        <v>-0.12765101279740654</v>
      </c>
      <c r="Y24" s="992"/>
      <c r="Z24" s="913">
        <v>307700</v>
      </c>
      <c r="AA24" s="988"/>
      <c r="AB24" s="913">
        <v>254761</v>
      </c>
      <c r="AC24" s="1213"/>
      <c r="AD24" s="154">
        <f t="shared" si="2"/>
        <v>-0.17204744881377965</v>
      </c>
      <c r="AE24" s="992"/>
      <c r="AF24" s="913">
        <v>102119</v>
      </c>
      <c r="AG24" s="988"/>
      <c r="AH24" s="913">
        <v>103266</v>
      </c>
      <c r="AI24" s="1213"/>
      <c r="AJ24" s="154">
        <f t="shared" si="3"/>
        <v>1.123199404616182E-2</v>
      </c>
      <c r="AK24" s="992"/>
      <c r="AL24" s="913">
        <v>20630</v>
      </c>
      <c r="AM24" s="988"/>
      <c r="AN24" s="913">
        <v>20955</v>
      </c>
      <c r="AO24" s="1213"/>
      <c r="AP24" s="154">
        <f t="shared" si="4"/>
        <v>1.5753756665050966E-2</v>
      </c>
      <c r="AQ24" s="992"/>
      <c r="AR24" s="913">
        <v>110050</v>
      </c>
      <c r="AS24" s="988"/>
      <c r="AT24" s="913">
        <v>104780</v>
      </c>
      <c r="AU24" s="1213"/>
      <c r="AV24" s="154">
        <f t="shared" si="5"/>
        <v>-4.7887323943662019E-2</v>
      </c>
      <c r="AW24" s="992"/>
      <c r="AX24" s="913">
        <v>94332</v>
      </c>
      <c r="AY24" s="988"/>
      <c r="AZ24" s="913">
        <v>96461</v>
      </c>
      <c r="BA24" s="1213"/>
      <c r="BB24" s="154">
        <f t="shared" si="6"/>
        <v>2.2569223593266408E-2</v>
      </c>
      <c r="BC24" s="992"/>
      <c r="BD24" s="913">
        <v>22181</v>
      </c>
      <c r="BE24" s="988"/>
      <c r="BF24" s="913">
        <v>22280</v>
      </c>
      <c r="BG24" s="1213"/>
      <c r="BH24" s="154">
        <f t="shared" si="7"/>
        <v>4.4632793832559692E-3</v>
      </c>
      <c r="BI24" s="992"/>
      <c r="BJ24" s="913">
        <v>61812</v>
      </c>
      <c r="BK24" s="988"/>
      <c r="BL24" s="913">
        <v>62734</v>
      </c>
      <c r="BM24" s="1213"/>
      <c r="BN24" s="154">
        <f t="shared" si="8"/>
        <v>1.4916197502103046E-2</v>
      </c>
      <c r="BO24" s="992"/>
      <c r="BP24" s="913">
        <v>17849</v>
      </c>
      <c r="BQ24" s="988"/>
      <c r="BR24" s="913">
        <v>18393</v>
      </c>
      <c r="BS24" s="1213"/>
      <c r="BT24" s="154">
        <f t="shared" si="9"/>
        <v>3.0477897921452168E-2</v>
      </c>
      <c r="BU24" s="992"/>
      <c r="BV24" s="913">
        <v>51399</v>
      </c>
      <c r="BW24" s="988"/>
      <c r="BX24" s="913">
        <v>63302</v>
      </c>
      <c r="BY24" s="1213"/>
      <c r="BZ24" s="154">
        <f t="shared" si="10"/>
        <v>0.23158038094126354</v>
      </c>
      <c r="CA24" s="968"/>
      <c r="CC24" s="965"/>
      <c r="CD24" s="965"/>
      <c r="CE24" s="965"/>
      <c r="CF24" s="965"/>
      <c r="CG24" s="965"/>
      <c r="CH24" s="965"/>
      <c r="CI24" s="965"/>
      <c r="CJ24" s="965"/>
      <c r="CK24" s="965"/>
    </row>
    <row r="25" spans="1:89" s="886" customFormat="1" ht="14.25">
      <c r="A25" s="1656" t="s">
        <v>1118</v>
      </c>
      <c r="B25" s="1656" t="s">
        <v>1119</v>
      </c>
      <c r="C25" s="899">
        <v>9</v>
      </c>
      <c r="D25" s="1318" t="s">
        <v>1701</v>
      </c>
      <c r="E25" s="987"/>
      <c r="F25" s="988"/>
      <c r="G25" s="988" t="s">
        <v>396</v>
      </c>
      <c r="H25" s="989" t="s">
        <v>229</v>
      </c>
      <c r="I25" s="990">
        <v>2</v>
      </c>
      <c r="J25" s="1212">
        <f t="shared" si="17"/>
        <v>0.23508051216999695</v>
      </c>
      <c r="K25" s="1311">
        <f>AVERAGE(BW25,BQ25,BK25,BE25,AY25,AS25,AM25,AG25,AA25,U25)</f>
        <v>0.4701610243399939</v>
      </c>
      <c r="L25" s="1212">
        <f>AVERAGE(BX25,BR25,BL25,BF25,AZ25,AT25,AN25,AH25,AB25,V25)</f>
        <v>0.22290296197756782</v>
      </c>
      <c r="M25" s="1311">
        <f>AVERAGE(BY25,BS25,BM25,BG25,BA25,AU25,AO25,AI25,AC25,W25)</f>
        <v>0.44580592395513563</v>
      </c>
      <c r="N25" s="778">
        <f t="shared" si="13"/>
        <v>-2.4355100384858275E-2</v>
      </c>
      <c r="O25" s="1257">
        <f t="shared" si="0"/>
        <v>1.5541940760448645</v>
      </c>
      <c r="P25" s="1257">
        <f t="shared" si="14"/>
        <v>1.087935853231405</v>
      </c>
      <c r="Q25" s="1257">
        <f t="shared" si="15"/>
        <v>0.12088176147015611</v>
      </c>
      <c r="R25" s="1257">
        <f t="shared" si="16"/>
        <v>6.0440880735078056E-2</v>
      </c>
      <c r="S25" s="992"/>
      <c r="T25" s="1180">
        <v>0.36842105263157893</v>
      </c>
      <c r="U25" s="1185">
        <f>T25*2</f>
        <v>0.73684210526315785</v>
      </c>
      <c r="V25" s="1180">
        <f>IF(V27=0,"",V26/V27)</f>
        <v>0.2857142857142857</v>
      </c>
      <c r="W25" s="1185">
        <f>V25*2</f>
        <v>0.5714285714285714</v>
      </c>
      <c r="X25" s="154">
        <f t="shared" si="1"/>
        <v>-0.22448979591836737</v>
      </c>
      <c r="Y25" s="992"/>
      <c r="Z25" s="1180">
        <v>0.18300653594771241</v>
      </c>
      <c r="AA25" s="1013">
        <f>Z25*2</f>
        <v>0.36601307189542481</v>
      </c>
      <c r="AB25" s="1180">
        <f>IF(AB27=0,"",AB26/AB27)</f>
        <v>0.16319444444444445</v>
      </c>
      <c r="AC25" s="1223">
        <f>AB25*2</f>
        <v>0.3263888888888889</v>
      </c>
      <c r="AD25" s="154">
        <f t="shared" si="2"/>
        <v>-0.10825892857142849</v>
      </c>
      <c r="AE25" s="992"/>
      <c r="AF25" s="1180">
        <v>0.23660714285714285</v>
      </c>
      <c r="AG25" s="988">
        <f>AF25*2</f>
        <v>0.4732142857142857</v>
      </c>
      <c r="AH25" s="1180">
        <f>IF(AH27=0,"",AH26/AH27)</f>
        <v>0.22287390029325513</v>
      </c>
      <c r="AI25" s="1223">
        <f>AH25*2</f>
        <v>0.44574780058651026</v>
      </c>
      <c r="AJ25" s="154">
        <f t="shared" si="3"/>
        <v>-5.8042383666242481E-2</v>
      </c>
      <c r="AK25" s="992"/>
      <c r="AL25" s="1180">
        <v>0.22222222222222221</v>
      </c>
      <c r="AM25" s="1013">
        <f>AL25*2</f>
        <v>0.44444444444444442</v>
      </c>
      <c r="AN25" s="1180">
        <f>IF(AN27=0,"",AN26/AN27)</f>
        <v>0.16279069767441862</v>
      </c>
      <c r="AO25" s="1223">
        <f>AN25*2</f>
        <v>0.32558139534883723</v>
      </c>
      <c r="AP25" s="154">
        <f t="shared" si="4"/>
        <v>-0.2674418604651162</v>
      </c>
      <c r="AQ25" s="992"/>
      <c r="AR25" s="1180">
        <v>0.3983739837398374</v>
      </c>
      <c r="AS25" s="1013">
        <f>AR25*2</f>
        <v>0.7967479674796748</v>
      </c>
      <c r="AT25" s="1180">
        <f>IF(AT27=0,"",AT26/AT27)</f>
        <v>0.46153846153846156</v>
      </c>
      <c r="AU25" s="1223">
        <f>AT25*2</f>
        <v>0.92307692307692313</v>
      </c>
      <c r="AV25" s="154">
        <f t="shared" si="5"/>
        <v>0.15855572998430145</v>
      </c>
      <c r="AW25" s="992"/>
      <c r="AX25" s="1180">
        <v>0.27011494252873564</v>
      </c>
      <c r="AY25" s="1013">
        <f>AX25*2</f>
        <v>0.54022988505747127</v>
      </c>
      <c r="AZ25" s="1180">
        <f>IF(AZ27=0,"",AZ26/AZ27)</f>
        <v>0.23555555555555555</v>
      </c>
      <c r="BA25" s="1223">
        <f>AZ25*2</f>
        <v>0.47111111111111109</v>
      </c>
      <c r="BB25" s="154">
        <f t="shared" si="6"/>
        <v>-0.12794326241134757</v>
      </c>
      <c r="BC25" s="992"/>
      <c r="BD25" s="1180">
        <v>0.15094339622641509</v>
      </c>
      <c r="BE25" s="1013">
        <f>BD25*2</f>
        <v>0.30188679245283018</v>
      </c>
      <c r="BF25" s="1180">
        <f>IF(BF27=0,"",BF26/BF27)</f>
        <v>0.12345679012345678</v>
      </c>
      <c r="BG25" s="1223">
        <f>BF25*2</f>
        <v>0.24691358024691357</v>
      </c>
      <c r="BH25" s="154">
        <f t="shared" si="7"/>
        <v>-0.1820987654320988</v>
      </c>
      <c r="BI25" s="992"/>
      <c r="BJ25" s="1180">
        <v>0.24378109452736318</v>
      </c>
      <c r="BK25" s="1013">
        <f>BJ25*2</f>
        <v>0.48756218905472637</v>
      </c>
      <c r="BL25" s="1180">
        <f>IF(BL27=0,"",BL26/BL27)</f>
        <v>0.15438596491228071</v>
      </c>
      <c r="BM25" s="1223">
        <f>BL25*2</f>
        <v>0.30877192982456142</v>
      </c>
      <c r="BN25" s="154">
        <f t="shared" si="8"/>
        <v>-0.36670247046186888</v>
      </c>
      <c r="BO25" s="992"/>
      <c r="BP25" s="1180">
        <v>0.14814814814814814</v>
      </c>
      <c r="BQ25" s="1013">
        <f>BP25*2</f>
        <v>0.29629629629629628</v>
      </c>
      <c r="BR25" s="1180">
        <f>IF(BR27=0,"",BR26/BR27)</f>
        <v>0.23333333333333334</v>
      </c>
      <c r="BS25" s="1223">
        <f>BR25*2</f>
        <v>0.46666666666666667</v>
      </c>
      <c r="BT25" s="154">
        <f t="shared" si="9"/>
        <v>0.57500000000000018</v>
      </c>
      <c r="BU25" s="992"/>
      <c r="BV25" s="1180">
        <v>0.12918660287081341</v>
      </c>
      <c r="BW25" s="1013">
        <f>BV25*2</f>
        <v>0.25837320574162681</v>
      </c>
      <c r="BX25" s="1180">
        <f>IF(BX27=0,"",BX26/BX27)</f>
        <v>0.18618618618618618</v>
      </c>
      <c r="BY25" s="1223">
        <f>BX25*2</f>
        <v>0.37237237237237236</v>
      </c>
      <c r="BZ25" s="154">
        <f t="shared" si="10"/>
        <v>0.44121899677455212</v>
      </c>
      <c r="CA25" s="968"/>
      <c r="CC25" s="965"/>
      <c r="CD25" s="965"/>
      <c r="CE25" s="965"/>
      <c r="CF25" s="965"/>
      <c r="CG25" s="965"/>
      <c r="CH25" s="965"/>
      <c r="CI25" s="965"/>
      <c r="CJ25" s="965"/>
      <c r="CK25" s="965"/>
    </row>
    <row r="26" spans="1:89" s="886" customFormat="1" ht="28.5">
      <c r="A26" s="1655"/>
      <c r="B26" s="1655"/>
      <c r="C26" s="913">
        <v>9.1</v>
      </c>
      <c r="D26" s="994" t="s">
        <v>1973</v>
      </c>
      <c r="E26" s="1008" t="s">
        <v>1120</v>
      </c>
      <c r="F26" s="1009"/>
      <c r="G26" s="1009"/>
      <c r="H26" s="1010"/>
      <c r="I26" s="988"/>
      <c r="J26" s="991">
        <f t="shared" si="17"/>
        <v>31.8</v>
      </c>
      <c r="K26" s="1310"/>
      <c r="L26" s="991">
        <f>AVERAGE(BX26,BR26,BL26,BF26,AZ26,AT26,AN26,AH26,AB26,V26)</f>
        <v>43.1</v>
      </c>
      <c r="M26" s="1310"/>
      <c r="N26" s="1310">
        <f t="shared" si="13"/>
        <v>0</v>
      </c>
      <c r="O26" s="1257">
        <f t="shared" si="0"/>
        <v>0</v>
      </c>
      <c r="P26" s="1257">
        <f t="shared" si="14"/>
        <v>0</v>
      </c>
      <c r="Q26" s="1257">
        <f t="shared" si="15"/>
        <v>0</v>
      </c>
      <c r="R26" s="1257">
        <f t="shared" si="16"/>
        <v>0</v>
      </c>
      <c r="S26" s="992"/>
      <c r="T26" s="989">
        <v>7</v>
      </c>
      <c r="U26" s="1183"/>
      <c r="V26" s="989">
        <v>2</v>
      </c>
      <c r="W26" s="1183"/>
      <c r="X26" s="154">
        <f t="shared" si="1"/>
        <v>-0.7142857142857143</v>
      </c>
      <c r="Y26" s="992"/>
      <c r="Z26" s="989">
        <v>56</v>
      </c>
      <c r="AA26" s="988"/>
      <c r="AB26" s="989">
        <v>47</v>
      </c>
      <c r="AC26" s="1213"/>
      <c r="AD26" s="154">
        <f t="shared" si="2"/>
        <v>-0.1607142857142857</v>
      </c>
      <c r="AE26" s="992"/>
      <c r="AF26" s="989">
        <v>53</v>
      </c>
      <c r="AG26" s="988"/>
      <c r="AH26" s="989">
        <v>76</v>
      </c>
      <c r="AI26" s="1213"/>
      <c r="AJ26" s="154">
        <f t="shared" si="3"/>
        <v>0.4339622641509433</v>
      </c>
      <c r="AK26" s="992"/>
      <c r="AL26" s="989">
        <v>14</v>
      </c>
      <c r="AM26" s="988"/>
      <c r="AN26" s="989">
        <v>7</v>
      </c>
      <c r="AO26" s="1213"/>
      <c r="AP26" s="154">
        <f t="shared" si="4"/>
        <v>-0.5</v>
      </c>
      <c r="AQ26" s="992"/>
      <c r="AR26" s="989">
        <v>49</v>
      </c>
      <c r="AS26" s="988"/>
      <c r="AT26" s="989">
        <v>72</v>
      </c>
      <c r="AU26" s="1213"/>
      <c r="AV26" s="154">
        <f t="shared" si="5"/>
        <v>0.46938775510204089</v>
      </c>
      <c r="AW26" s="992"/>
      <c r="AX26" s="989">
        <v>47</v>
      </c>
      <c r="AY26" s="988"/>
      <c r="AZ26" s="989">
        <v>53</v>
      </c>
      <c r="BA26" s="1213"/>
      <c r="BB26" s="154">
        <f t="shared" si="6"/>
        <v>0.12765957446808507</v>
      </c>
      <c r="BC26" s="992"/>
      <c r="BD26" s="989">
        <v>8</v>
      </c>
      <c r="BE26" s="988"/>
      <c r="BF26" s="989">
        <v>10</v>
      </c>
      <c r="BG26" s="1213"/>
      <c r="BH26" s="154">
        <f t="shared" si="7"/>
        <v>0.25</v>
      </c>
      <c r="BI26" s="992"/>
      <c r="BJ26" s="989">
        <v>49</v>
      </c>
      <c r="BK26" s="988"/>
      <c r="BL26" s="989">
        <v>88</v>
      </c>
      <c r="BM26" s="1213"/>
      <c r="BN26" s="154">
        <f t="shared" si="8"/>
        <v>0.79591836734693877</v>
      </c>
      <c r="BO26" s="992"/>
      <c r="BP26" s="989">
        <v>8</v>
      </c>
      <c r="BQ26" s="988"/>
      <c r="BR26" s="989">
        <v>14</v>
      </c>
      <c r="BS26" s="1213"/>
      <c r="BT26" s="154">
        <f t="shared" si="9"/>
        <v>0.75</v>
      </c>
      <c r="BU26" s="992"/>
      <c r="BV26" s="989">
        <v>27</v>
      </c>
      <c r="BW26" s="988"/>
      <c r="BX26" s="989">
        <v>62</v>
      </c>
      <c r="BY26" s="1213"/>
      <c r="BZ26" s="154">
        <f t="shared" si="10"/>
        <v>1.2962962962962963</v>
      </c>
      <c r="CA26" s="968"/>
      <c r="CC26" s="965"/>
      <c r="CD26" s="965"/>
      <c r="CE26" s="965"/>
      <c r="CF26" s="965"/>
      <c r="CG26" s="965"/>
      <c r="CH26" s="965"/>
      <c r="CI26" s="965"/>
      <c r="CJ26" s="965"/>
      <c r="CK26" s="965"/>
    </row>
    <row r="27" spans="1:89" s="886" customFormat="1">
      <c r="A27" s="1655"/>
      <c r="B27" s="1655"/>
      <c r="C27" s="913">
        <v>9.1999999999999993</v>
      </c>
      <c r="D27" s="994" t="s">
        <v>1974</v>
      </c>
      <c r="E27" s="1008" t="s">
        <v>1120</v>
      </c>
      <c r="F27" s="1009"/>
      <c r="G27" s="1009"/>
      <c r="H27" s="1010"/>
      <c r="I27" s="988"/>
      <c r="J27" s="991">
        <f t="shared" si="17"/>
        <v>142.6</v>
      </c>
      <c r="K27" s="1310"/>
      <c r="L27" s="991">
        <f t="shared" si="18"/>
        <v>210.4</v>
      </c>
      <c r="M27" s="1310"/>
      <c r="N27" s="1310">
        <f t="shared" si="13"/>
        <v>0</v>
      </c>
      <c r="O27" s="1257">
        <f t="shared" si="0"/>
        <v>0</v>
      </c>
      <c r="P27" s="1257">
        <f t="shared" si="14"/>
        <v>0</v>
      </c>
      <c r="Q27" s="1257">
        <f t="shared" si="15"/>
        <v>0</v>
      </c>
      <c r="R27" s="1257">
        <f t="shared" si="16"/>
        <v>0</v>
      </c>
      <c r="S27" s="992"/>
      <c r="T27" s="989">
        <v>19</v>
      </c>
      <c r="U27" s="1183"/>
      <c r="V27" s="989">
        <v>7</v>
      </c>
      <c r="W27" s="1183"/>
      <c r="X27" s="154">
        <f t="shared" si="1"/>
        <v>-0.63157894736842102</v>
      </c>
      <c r="Y27" s="992"/>
      <c r="Z27" s="989">
        <v>306</v>
      </c>
      <c r="AA27" s="988"/>
      <c r="AB27" s="989">
        <v>288</v>
      </c>
      <c r="AC27" s="1213"/>
      <c r="AD27" s="154">
        <f t="shared" si="2"/>
        <v>-5.8823529411764719E-2</v>
      </c>
      <c r="AE27" s="992"/>
      <c r="AF27" s="989">
        <v>224</v>
      </c>
      <c r="AG27" s="988"/>
      <c r="AH27" s="989">
        <v>341</v>
      </c>
      <c r="AI27" s="1213"/>
      <c r="AJ27" s="154">
        <f t="shared" si="3"/>
        <v>0.5223214285714286</v>
      </c>
      <c r="AK27" s="992"/>
      <c r="AL27" s="989">
        <v>63</v>
      </c>
      <c r="AM27" s="988"/>
      <c r="AN27" s="989">
        <v>43</v>
      </c>
      <c r="AO27" s="1213"/>
      <c r="AP27" s="154">
        <f t="shared" si="4"/>
        <v>-0.31746031746031744</v>
      </c>
      <c r="AQ27" s="992"/>
      <c r="AR27" s="989">
        <v>123</v>
      </c>
      <c r="AS27" s="988"/>
      <c r="AT27" s="989">
        <v>156</v>
      </c>
      <c r="AU27" s="1213"/>
      <c r="AV27" s="154">
        <f t="shared" si="5"/>
        <v>0.26829268292682928</v>
      </c>
      <c r="AW27" s="992"/>
      <c r="AX27" s="989">
        <v>174</v>
      </c>
      <c r="AY27" s="988"/>
      <c r="AZ27" s="989">
        <v>225</v>
      </c>
      <c r="BA27" s="1213"/>
      <c r="BB27" s="154">
        <f t="shared" si="6"/>
        <v>0.2931034482758621</v>
      </c>
      <c r="BC27" s="992"/>
      <c r="BD27" s="989">
        <v>53</v>
      </c>
      <c r="BE27" s="988"/>
      <c r="BF27" s="989">
        <v>81</v>
      </c>
      <c r="BG27" s="1213"/>
      <c r="BH27" s="154">
        <f t="shared" si="7"/>
        <v>0.52830188679245293</v>
      </c>
      <c r="BI27" s="992"/>
      <c r="BJ27" s="989">
        <v>201</v>
      </c>
      <c r="BK27" s="988"/>
      <c r="BL27" s="989">
        <v>570</v>
      </c>
      <c r="BM27" s="1213"/>
      <c r="BN27" s="154">
        <f t="shared" si="8"/>
        <v>1.8358208955223883</v>
      </c>
      <c r="BO27" s="992"/>
      <c r="BP27" s="989">
        <v>54</v>
      </c>
      <c r="BQ27" s="988"/>
      <c r="BR27" s="989">
        <v>60</v>
      </c>
      <c r="BS27" s="1213"/>
      <c r="BT27" s="154">
        <f t="shared" si="9"/>
        <v>0.11111111111111116</v>
      </c>
      <c r="BU27" s="992"/>
      <c r="BV27" s="989">
        <v>209</v>
      </c>
      <c r="BW27" s="988"/>
      <c r="BX27" s="989">
        <v>333</v>
      </c>
      <c r="BY27" s="1213"/>
      <c r="BZ27" s="154">
        <f t="shared" si="10"/>
        <v>0.59330143540669855</v>
      </c>
      <c r="CA27" s="968"/>
      <c r="CC27" s="965"/>
      <c r="CD27" s="965"/>
      <c r="CE27" s="965"/>
      <c r="CF27" s="965"/>
      <c r="CG27" s="965"/>
      <c r="CH27" s="965"/>
      <c r="CI27" s="965"/>
      <c r="CJ27" s="965"/>
      <c r="CK27" s="965"/>
    </row>
    <row r="28" spans="1:89" s="886" customFormat="1" ht="28.5">
      <c r="A28" s="1656" t="s">
        <v>1121</v>
      </c>
      <c r="B28" s="1656" t="s">
        <v>1122</v>
      </c>
      <c r="C28" s="899">
        <v>10</v>
      </c>
      <c r="D28" s="1033" t="s">
        <v>1671</v>
      </c>
      <c r="E28" s="995" t="s">
        <v>1102</v>
      </c>
      <c r="F28" s="993" t="s">
        <v>1123</v>
      </c>
      <c r="G28" s="1002" t="s">
        <v>1105</v>
      </c>
      <c r="H28" s="991" t="s">
        <v>229</v>
      </c>
      <c r="I28" s="1652">
        <v>6</v>
      </c>
      <c r="J28" s="991">
        <f t="shared" si="17"/>
        <v>1.3</v>
      </c>
      <c r="K28" s="1660">
        <f>AVERAGE(BW28,BQ28,BK28,BE28,AY28,AS28,AM28,AG28,AA28,U28)</f>
        <v>4.95</v>
      </c>
      <c r="L28" s="991">
        <f t="shared" si="18"/>
        <v>1.4</v>
      </c>
      <c r="M28" s="1660">
        <f>AVERAGE(BY28,BS28,BM28,BG28,BA28,AU28,AO28,AI28,AC28,W28)</f>
        <v>5.3</v>
      </c>
      <c r="N28" s="1662">
        <f>M28-K28</f>
        <v>0.34999999999999964</v>
      </c>
      <c r="O28" s="1257">
        <f t="shared" si="0"/>
        <v>0.70000000000000018</v>
      </c>
      <c r="P28" s="1257">
        <f t="shared" si="14"/>
        <v>0.4900000000000001</v>
      </c>
      <c r="Q28" s="1257">
        <f t="shared" si="15"/>
        <v>5.4444444444444455E-2</v>
      </c>
      <c r="R28" s="1257">
        <f t="shared" si="16"/>
        <v>2.7222222222222228E-2</v>
      </c>
      <c r="S28" s="992"/>
      <c r="T28" s="989">
        <v>0</v>
      </c>
      <c r="U28" s="1654">
        <f>6-T28*0.5-T29*2</f>
        <v>6</v>
      </c>
      <c r="V28" s="989">
        <v>0</v>
      </c>
      <c r="W28" s="1654">
        <f>6-V28*0.5-V29*2</f>
        <v>6</v>
      </c>
      <c r="X28" s="154">
        <f t="shared" si="1"/>
        <v>0</v>
      </c>
      <c r="Y28" s="992"/>
      <c r="Z28" s="989">
        <v>3</v>
      </c>
      <c r="AA28" s="1631">
        <f>6-Z28*0.5-Z29*2</f>
        <v>4.5</v>
      </c>
      <c r="AB28" s="989">
        <v>3</v>
      </c>
      <c r="AC28" s="1630">
        <f>6-AB28*0.5-AB29*2</f>
        <v>4.5</v>
      </c>
      <c r="AD28" s="154">
        <f t="shared" si="2"/>
        <v>0</v>
      </c>
      <c r="AE28" s="992"/>
      <c r="AF28" s="989">
        <v>1</v>
      </c>
      <c r="AG28" s="1631">
        <f>6-AF28*0.5-AF29*2</f>
        <v>5.5</v>
      </c>
      <c r="AH28" s="989">
        <v>3</v>
      </c>
      <c r="AI28" s="1630">
        <f>6-AH28*0.5-AH29*2</f>
        <v>4.5</v>
      </c>
      <c r="AJ28" s="154">
        <f t="shared" si="3"/>
        <v>2</v>
      </c>
      <c r="AK28" s="992"/>
      <c r="AL28" s="989">
        <v>2</v>
      </c>
      <c r="AM28" s="1631">
        <f>6-AL28*0.5-AL29*2</f>
        <v>1</v>
      </c>
      <c r="AN28" s="989">
        <v>2</v>
      </c>
      <c r="AO28" s="1630">
        <f>6-AN28*0.5-AN29*2</f>
        <v>5</v>
      </c>
      <c r="AP28" s="154">
        <f t="shared" si="4"/>
        <v>0</v>
      </c>
      <c r="AQ28" s="992"/>
      <c r="AR28" s="989">
        <v>2</v>
      </c>
      <c r="AS28" s="1631">
        <f>6-AR28*0.5-AR29*2</f>
        <v>5</v>
      </c>
      <c r="AT28" s="989">
        <v>2</v>
      </c>
      <c r="AU28" s="1630">
        <f>6-AT28*0.5-AT29*2</f>
        <v>5</v>
      </c>
      <c r="AV28" s="154">
        <f t="shared" si="5"/>
        <v>0</v>
      </c>
      <c r="AW28" s="992"/>
      <c r="AX28" s="989">
        <v>2</v>
      </c>
      <c r="AY28" s="1631">
        <f>6-AX28*0.5-AX29*2</f>
        <v>5</v>
      </c>
      <c r="AZ28" s="989">
        <v>1</v>
      </c>
      <c r="BA28" s="1630">
        <f>6-AZ28*0.5-AZ29*2</f>
        <v>5.5</v>
      </c>
      <c r="BB28" s="154">
        <f t="shared" si="6"/>
        <v>-0.5</v>
      </c>
      <c r="BC28" s="992"/>
      <c r="BD28" s="989">
        <v>0</v>
      </c>
      <c r="BE28" s="1631">
        <f>6-BD28*0.5-BD29*2</f>
        <v>6</v>
      </c>
      <c r="BF28" s="989">
        <v>0</v>
      </c>
      <c r="BG28" s="1630">
        <f>6-BF28*0.5-BF29*2</f>
        <v>6</v>
      </c>
      <c r="BH28" s="154">
        <f t="shared" si="7"/>
        <v>0</v>
      </c>
      <c r="BI28" s="992"/>
      <c r="BJ28" s="989">
        <v>2</v>
      </c>
      <c r="BK28" s="1631">
        <f>6-BJ28*0.5-BJ29*2</f>
        <v>5</v>
      </c>
      <c r="BL28" s="989">
        <v>2</v>
      </c>
      <c r="BM28" s="1630">
        <f>6-BL28*0.5-BL29*2</f>
        <v>5</v>
      </c>
      <c r="BN28" s="154">
        <f t="shared" si="8"/>
        <v>0</v>
      </c>
      <c r="BO28" s="992"/>
      <c r="BP28" s="989">
        <v>0</v>
      </c>
      <c r="BQ28" s="1631">
        <f>6-BP28*0.5-BP29*2</f>
        <v>6</v>
      </c>
      <c r="BR28" s="989">
        <v>0</v>
      </c>
      <c r="BS28" s="1630">
        <f>6-BR28*0.5-BR29*2</f>
        <v>6</v>
      </c>
      <c r="BT28" s="154">
        <f t="shared" si="9"/>
        <v>0</v>
      </c>
      <c r="BU28" s="992"/>
      <c r="BV28" s="989">
        <v>1</v>
      </c>
      <c r="BW28" s="1631">
        <f>6-BV28*0.5-BV29*2</f>
        <v>5.5</v>
      </c>
      <c r="BX28" s="989">
        <v>1</v>
      </c>
      <c r="BY28" s="1630">
        <f>6-BX28*0.5-BX29*2</f>
        <v>5.5</v>
      </c>
      <c r="BZ28" s="154">
        <f t="shared" si="10"/>
        <v>0</v>
      </c>
      <c r="CA28" s="968"/>
      <c r="CC28" s="965"/>
      <c r="CD28" s="965"/>
      <c r="CE28" s="965"/>
      <c r="CF28" s="965"/>
      <c r="CG28" s="965"/>
      <c r="CH28" s="965"/>
      <c r="CI28" s="965"/>
      <c r="CJ28" s="965"/>
      <c r="CK28" s="965"/>
    </row>
    <row r="29" spans="1:89" s="886" customFormat="1" ht="28.5">
      <c r="A29" s="1655"/>
      <c r="B29" s="1655"/>
      <c r="C29" s="899">
        <v>11</v>
      </c>
      <c r="D29" s="1033" t="s">
        <v>2452</v>
      </c>
      <c r="E29" s="995" t="s">
        <v>1102</v>
      </c>
      <c r="F29" s="993" t="s">
        <v>1123</v>
      </c>
      <c r="G29" s="1002" t="s">
        <v>399</v>
      </c>
      <c r="H29" s="991" t="s">
        <v>229</v>
      </c>
      <c r="I29" s="1652"/>
      <c r="J29" s="991">
        <f t="shared" si="17"/>
        <v>0.2</v>
      </c>
      <c r="K29" s="1661"/>
      <c r="L29" s="991">
        <f t="shared" si="18"/>
        <v>0</v>
      </c>
      <c r="M29" s="1661"/>
      <c r="N29" s="1663"/>
      <c r="O29" s="1257">
        <f t="shared" si="0"/>
        <v>0</v>
      </c>
      <c r="P29" s="1257">
        <f t="shared" si="14"/>
        <v>0</v>
      </c>
      <c r="Q29" s="1257">
        <f t="shared" si="15"/>
        <v>0</v>
      </c>
      <c r="R29" s="1257">
        <f t="shared" si="16"/>
        <v>0</v>
      </c>
      <c r="S29" s="992"/>
      <c r="T29" s="989">
        <v>0</v>
      </c>
      <c r="U29" s="1654"/>
      <c r="V29" s="989">
        <v>0</v>
      </c>
      <c r="W29" s="1654"/>
      <c r="X29" s="154">
        <f t="shared" si="1"/>
        <v>0</v>
      </c>
      <c r="Y29" s="992"/>
      <c r="Z29" s="989">
        <v>0</v>
      </c>
      <c r="AA29" s="1631"/>
      <c r="AB29" s="989">
        <v>0</v>
      </c>
      <c r="AC29" s="1630"/>
      <c r="AD29" s="154">
        <f t="shared" si="2"/>
        <v>0</v>
      </c>
      <c r="AE29" s="992"/>
      <c r="AF29" s="989">
        <v>0</v>
      </c>
      <c r="AG29" s="1631"/>
      <c r="AH29" s="989">
        <v>0</v>
      </c>
      <c r="AI29" s="1630"/>
      <c r="AJ29" s="154">
        <f t="shared" si="3"/>
        <v>0</v>
      </c>
      <c r="AK29" s="992"/>
      <c r="AL29" s="989">
        <v>2</v>
      </c>
      <c r="AM29" s="1631"/>
      <c r="AN29" s="989">
        <v>0</v>
      </c>
      <c r="AO29" s="1630"/>
      <c r="AP29" s="154">
        <f t="shared" si="4"/>
        <v>-1</v>
      </c>
      <c r="AQ29" s="992"/>
      <c r="AR29" s="989">
        <v>0</v>
      </c>
      <c r="AS29" s="1631"/>
      <c r="AT29" s="989">
        <v>0</v>
      </c>
      <c r="AU29" s="1630"/>
      <c r="AV29" s="154">
        <f t="shared" si="5"/>
        <v>0</v>
      </c>
      <c r="AW29" s="992"/>
      <c r="AX29" s="989">
        <v>0</v>
      </c>
      <c r="AY29" s="1631"/>
      <c r="AZ29" s="989">
        <v>0</v>
      </c>
      <c r="BA29" s="1630"/>
      <c r="BB29" s="154">
        <f t="shared" si="6"/>
        <v>0</v>
      </c>
      <c r="BC29" s="992"/>
      <c r="BD29" s="989">
        <v>0</v>
      </c>
      <c r="BE29" s="1631"/>
      <c r="BF29" s="989">
        <v>0</v>
      </c>
      <c r="BG29" s="1630"/>
      <c r="BH29" s="154">
        <f t="shared" si="7"/>
        <v>0</v>
      </c>
      <c r="BI29" s="992"/>
      <c r="BJ29" s="989">
        <v>0</v>
      </c>
      <c r="BK29" s="1631"/>
      <c r="BL29" s="989">
        <v>0</v>
      </c>
      <c r="BM29" s="1630"/>
      <c r="BN29" s="154">
        <f t="shared" si="8"/>
        <v>0</v>
      </c>
      <c r="BO29" s="992"/>
      <c r="BP29" s="989">
        <v>0</v>
      </c>
      <c r="BQ29" s="1631"/>
      <c r="BR29" s="989">
        <v>0</v>
      </c>
      <c r="BS29" s="1630"/>
      <c r="BT29" s="154">
        <f t="shared" si="9"/>
        <v>0</v>
      </c>
      <c r="BU29" s="992"/>
      <c r="BV29" s="989">
        <v>0</v>
      </c>
      <c r="BW29" s="1631"/>
      <c r="BX29" s="989">
        <v>0</v>
      </c>
      <c r="BY29" s="1630"/>
      <c r="BZ29" s="154">
        <f t="shared" si="10"/>
        <v>0</v>
      </c>
      <c r="CA29" s="968"/>
      <c r="CC29" s="965"/>
      <c r="CD29" s="965"/>
      <c r="CE29" s="965"/>
      <c r="CF29" s="965"/>
      <c r="CG29" s="965"/>
      <c r="CH29" s="965"/>
      <c r="CI29" s="965"/>
      <c r="CJ29" s="965"/>
      <c r="CK29" s="965"/>
    </row>
    <row r="30" spans="1:89" s="886" customFormat="1" ht="28.5">
      <c r="A30" s="1656" t="s">
        <v>2075</v>
      </c>
      <c r="B30" s="1656" t="s">
        <v>2012</v>
      </c>
      <c r="C30" s="899">
        <v>12</v>
      </c>
      <c r="D30" s="986" t="s">
        <v>2346</v>
      </c>
      <c r="E30" s="995" t="s">
        <v>1102</v>
      </c>
      <c r="F30" s="993" t="s">
        <v>1123</v>
      </c>
      <c r="G30" s="1002" t="s">
        <v>1105</v>
      </c>
      <c r="H30" s="991" t="s">
        <v>229</v>
      </c>
      <c r="I30" s="1652">
        <v>6</v>
      </c>
      <c r="J30" s="991">
        <f t="shared" si="17"/>
        <v>0</v>
      </c>
      <c r="K30" s="1310">
        <f>AVERAGE(BW30,BQ30,BK30,BE30,AY30,AS30,AM30,AG30,AA30,U30)</f>
        <v>6</v>
      </c>
      <c r="L30" s="991">
        <f t="shared" si="18"/>
        <v>0</v>
      </c>
      <c r="M30" s="1310">
        <f>AVERAGE(BY30,BS30,BM30,BG30,BA30,AU30,AO30,AI30,AC30,W30)</f>
        <v>6</v>
      </c>
      <c r="N30" s="1310">
        <f t="shared" si="13"/>
        <v>0</v>
      </c>
      <c r="O30" s="1257">
        <f t="shared" si="0"/>
        <v>0</v>
      </c>
      <c r="P30" s="1257">
        <f t="shared" si="14"/>
        <v>0</v>
      </c>
      <c r="Q30" s="1257">
        <f t="shared" si="15"/>
        <v>0</v>
      </c>
      <c r="R30" s="1257">
        <f t="shared" si="16"/>
        <v>0</v>
      </c>
      <c r="S30" s="992"/>
      <c r="T30" s="989">
        <v>0</v>
      </c>
      <c r="U30" s="1654">
        <f>6-T30*0.5-T31*2</f>
        <v>6</v>
      </c>
      <c r="V30" s="989">
        <v>0</v>
      </c>
      <c r="W30" s="1654">
        <f>6-V30*0.5-V31*2</f>
        <v>6</v>
      </c>
      <c r="X30" s="154">
        <f t="shared" si="1"/>
        <v>0</v>
      </c>
      <c r="Y30" s="992"/>
      <c r="Z30" s="989">
        <v>0</v>
      </c>
      <c r="AA30" s="1631">
        <f>6-Z30*0.5-Z31*2</f>
        <v>6</v>
      </c>
      <c r="AB30" s="989">
        <v>0</v>
      </c>
      <c r="AC30" s="1630">
        <f>6-AB30*0.5-AB31*2</f>
        <v>6</v>
      </c>
      <c r="AD30" s="154">
        <f>IF(AND(Z30=0,AB30&lt;&gt;0),1,IF(AND(Z30=0,AB30=0),0,AB30/Z30-1))</f>
        <v>0</v>
      </c>
      <c r="AE30" s="992"/>
      <c r="AF30" s="989">
        <v>0</v>
      </c>
      <c r="AG30" s="1631">
        <f>6-AF30*0.5-AF31*2</f>
        <v>6</v>
      </c>
      <c r="AH30" s="989">
        <v>0</v>
      </c>
      <c r="AI30" s="1630">
        <f>6-AH30*0.5-AH31*2</f>
        <v>6</v>
      </c>
      <c r="AJ30" s="154">
        <f t="shared" si="3"/>
        <v>0</v>
      </c>
      <c r="AK30" s="992"/>
      <c r="AL30" s="989">
        <v>0</v>
      </c>
      <c r="AM30" s="1631">
        <f>6-AL30*0.5-AL31*2</f>
        <v>6</v>
      </c>
      <c r="AN30" s="989">
        <v>0</v>
      </c>
      <c r="AO30" s="1630">
        <f>6-AN30*0.5-AN31*2</f>
        <v>6</v>
      </c>
      <c r="AP30" s="154">
        <f t="shared" si="4"/>
        <v>0</v>
      </c>
      <c r="AQ30" s="992"/>
      <c r="AR30" s="989">
        <v>0</v>
      </c>
      <c r="AS30" s="1631">
        <f>6-AR30*0.5-AR31*2</f>
        <v>6</v>
      </c>
      <c r="AT30" s="989">
        <v>0</v>
      </c>
      <c r="AU30" s="1630">
        <f>6-AT30*0.5-AT31*2</f>
        <v>6</v>
      </c>
      <c r="AV30" s="154">
        <f t="shared" si="5"/>
        <v>0</v>
      </c>
      <c r="AW30" s="992"/>
      <c r="AX30" s="989">
        <v>0</v>
      </c>
      <c r="AY30" s="1631">
        <f>6-AX30*0.5-AX31*2</f>
        <v>6</v>
      </c>
      <c r="AZ30" s="989">
        <v>0</v>
      </c>
      <c r="BA30" s="1630">
        <f>6-AZ30*0.5-AZ31*2</f>
        <v>6</v>
      </c>
      <c r="BB30" s="154">
        <f t="shared" si="6"/>
        <v>0</v>
      </c>
      <c r="BC30" s="992"/>
      <c r="BD30" s="989">
        <v>0</v>
      </c>
      <c r="BE30" s="1631">
        <f>6-BD30*0.5-BD31*2</f>
        <v>6</v>
      </c>
      <c r="BF30" s="989">
        <v>0</v>
      </c>
      <c r="BG30" s="1630">
        <f>6-BF30*0.5-BF31*2</f>
        <v>6</v>
      </c>
      <c r="BH30" s="154">
        <f t="shared" si="7"/>
        <v>0</v>
      </c>
      <c r="BI30" s="992"/>
      <c r="BJ30" s="989">
        <v>0</v>
      </c>
      <c r="BK30" s="1631">
        <f>6-BJ30*0.5-BJ31*2</f>
        <v>6</v>
      </c>
      <c r="BL30" s="989">
        <v>0</v>
      </c>
      <c r="BM30" s="1630">
        <f>6-BL30*0.5-BL31*2</f>
        <v>6</v>
      </c>
      <c r="BN30" s="154">
        <f t="shared" si="8"/>
        <v>0</v>
      </c>
      <c r="BO30" s="992"/>
      <c r="BP30" s="989">
        <v>0</v>
      </c>
      <c r="BQ30" s="1631">
        <f>6-BP30*0.5-BP31*2</f>
        <v>6</v>
      </c>
      <c r="BR30" s="989">
        <v>0</v>
      </c>
      <c r="BS30" s="1630">
        <f>6-BR30*0.5-BR31*2</f>
        <v>6</v>
      </c>
      <c r="BT30" s="154">
        <f t="shared" si="9"/>
        <v>0</v>
      </c>
      <c r="BU30" s="992"/>
      <c r="BV30" s="989">
        <v>0</v>
      </c>
      <c r="BW30" s="1631">
        <f>6-BV30*0.5-BV31*2</f>
        <v>6</v>
      </c>
      <c r="BX30" s="989">
        <v>0</v>
      </c>
      <c r="BY30" s="1630">
        <f>6-BX30*0.5-BX31*2</f>
        <v>6</v>
      </c>
      <c r="BZ30" s="154">
        <f t="shared" si="10"/>
        <v>0</v>
      </c>
      <c r="CA30" s="968"/>
      <c r="CC30" s="965"/>
      <c r="CD30" s="965"/>
      <c r="CE30" s="965"/>
      <c r="CF30" s="965"/>
      <c r="CG30" s="965"/>
      <c r="CH30" s="965"/>
      <c r="CI30" s="965"/>
      <c r="CJ30" s="965"/>
      <c r="CK30" s="965"/>
    </row>
    <row r="31" spans="1:89" s="886" customFormat="1" ht="28.5">
      <c r="A31" s="1655"/>
      <c r="B31" s="1655"/>
      <c r="C31" s="899">
        <v>13</v>
      </c>
      <c r="D31" s="986" t="s">
        <v>1125</v>
      </c>
      <c r="E31" s="995" t="s">
        <v>1102</v>
      </c>
      <c r="F31" s="993" t="s">
        <v>1123</v>
      </c>
      <c r="G31" s="1002" t="s">
        <v>399</v>
      </c>
      <c r="H31" s="991" t="s">
        <v>229</v>
      </c>
      <c r="I31" s="1652"/>
      <c r="J31" s="991">
        <f t="shared" si="17"/>
        <v>0</v>
      </c>
      <c r="K31" s="1310">
        <v>0</v>
      </c>
      <c r="L31" s="991">
        <f t="shared" si="18"/>
        <v>0</v>
      </c>
      <c r="M31" s="1310"/>
      <c r="N31" s="1310">
        <f t="shared" si="13"/>
        <v>0</v>
      </c>
      <c r="O31" s="1257">
        <f t="shared" si="0"/>
        <v>0</v>
      </c>
      <c r="P31" s="1257">
        <f t="shared" si="14"/>
        <v>0</v>
      </c>
      <c r="Q31" s="1257">
        <f t="shared" si="15"/>
        <v>0</v>
      </c>
      <c r="R31" s="1257">
        <f t="shared" si="16"/>
        <v>0</v>
      </c>
      <c r="S31" s="992"/>
      <c r="T31" s="989">
        <v>0</v>
      </c>
      <c r="U31" s="1654"/>
      <c r="V31" s="989">
        <v>0</v>
      </c>
      <c r="W31" s="1654"/>
      <c r="X31" s="154">
        <f t="shared" si="1"/>
        <v>0</v>
      </c>
      <c r="Y31" s="992"/>
      <c r="Z31" s="989">
        <v>0</v>
      </c>
      <c r="AA31" s="1631"/>
      <c r="AB31" s="989">
        <v>0</v>
      </c>
      <c r="AC31" s="1630"/>
      <c r="AD31" s="154">
        <f t="shared" si="2"/>
        <v>0</v>
      </c>
      <c r="AE31" s="992"/>
      <c r="AF31" s="989">
        <v>0</v>
      </c>
      <c r="AG31" s="1631"/>
      <c r="AH31" s="989">
        <v>0</v>
      </c>
      <c r="AI31" s="1630"/>
      <c r="AJ31" s="154">
        <f t="shared" si="3"/>
        <v>0</v>
      </c>
      <c r="AK31" s="992"/>
      <c r="AL31" s="989">
        <v>0</v>
      </c>
      <c r="AM31" s="1631"/>
      <c r="AN31" s="989">
        <v>0</v>
      </c>
      <c r="AO31" s="1630"/>
      <c r="AP31" s="154"/>
      <c r="AQ31" s="992"/>
      <c r="AR31" s="989">
        <v>0</v>
      </c>
      <c r="AS31" s="1631"/>
      <c r="AT31" s="989">
        <v>0</v>
      </c>
      <c r="AU31" s="1630"/>
      <c r="AV31" s="154">
        <f t="shared" si="5"/>
        <v>0</v>
      </c>
      <c r="AW31" s="992"/>
      <c r="AX31" s="989">
        <v>0</v>
      </c>
      <c r="AY31" s="1631"/>
      <c r="AZ31" s="989">
        <v>0</v>
      </c>
      <c r="BA31" s="1630"/>
      <c r="BB31" s="154">
        <f t="shared" si="6"/>
        <v>0</v>
      </c>
      <c r="BC31" s="992"/>
      <c r="BD31" s="989">
        <v>0</v>
      </c>
      <c r="BE31" s="1631"/>
      <c r="BF31" s="989">
        <v>0</v>
      </c>
      <c r="BG31" s="1630"/>
      <c r="BH31" s="154">
        <f t="shared" si="7"/>
        <v>0</v>
      </c>
      <c r="BI31" s="992"/>
      <c r="BJ31" s="989">
        <v>0</v>
      </c>
      <c r="BK31" s="1631"/>
      <c r="BL31" s="989">
        <v>0</v>
      </c>
      <c r="BM31" s="1630"/>
      <c r="BN31" s="154">
        <f t="shared" si="8"/>
        <v>0</v>
      </c>
      <c r="BO31" s="992"/>
      <c r="BP31" s="989">
        <v>0</v>
      </c>
      <c r="BQ31" s="1631"/>
      <c r="BR31" s="989">
        <v>0</v>
      </c>
      <c r="BS31" s="1630"/>
      <c r="BT31" s="154">
        <f t="shared" si="9"/>
        <v>0</v>
      </c>
      <c r="BU31" s="992"/>
      <c r="BV31" s="989">
        <v>0</v>
      </c>
      <c r="BW31" s="1631"/>
      <c r="BX31" s="989">
        <v>0</v>
      </c>
      <c r="BY31" s="1630"/>
      <c r="BZ31" s="154">
        <f t="shared" si="10"/>
        <v>0</v>
      </c>
      <c r="CA31" s="968"/>
      <c r="CC31" s="965"/>
      <c r="CD31" s="965"/>
      <c r="CE31" s="965"/>
      <c r="CF31" s="965"/>
      <c r="CG31" s="965"/>
      <c r="CH31" s="965"/>
      <c r="CI31" s="965"/>
      <c r="CJ31" s="965"/>
      <c r="CK31" s="965"/>
    </row>
    <row r="32" spans="1:89" s="886" customFormat="1" ht="28.5">
      <c r="A32" s="1653" t="s">
        <v>1670</v>
      </c>
      <c r="B32" s="1653" t="s">
        <v>2099</v>
      </c>
      <c r="C32" s="899">
        <v>14</v>
      </c>
      <c r="D32" s="1345" t="s">
        <v>1462</v>
      </c>
      <c r="E32" s="995" t="s">
        <v>1102</v>
      </c>
      <c r="F32" s="993" t="s">
        <v>1123</v>
      </c>
      <c r="G32" s="1002" t="s">
        <v>1105</v>
      </c>
      <c r="H32" s="991" t="s">
        <v>229</v>
      </c>
      <c r="I32" s="1652">
        <v>6</v>
      </c>
      <c r="J32" s="991">
        <f t="shared" si="17"/>
        <v>0.1</v>
      </c>
      <c r="K32" s="1309">
        <f>AVERAGE(BW32,BQ32,BK32,BE32,AY32,AS32,AM32,AG32,AA32,U32)</f>
        <v>5.7</v>
      </c>
      <c r="L32" s="991">
        <f t="shared" si="18"/>
        <v>0.1</v>
      </c>
      <c r="M32" s="1309">
        <f>AVERAGE(BY32,BS32,BM32,BG32,BA32,AU32,AO32,AI32,AC32,W32)</f>
        <v>5.7</v>
      </c>
      <c r="N32" s="1320">
        <f>M32-K32</f>
        <v>0</v>
      </c>
      <c r="O32" s="1257">
        <f t="shared" si="0"/>
        <v>0.29999999999999982</v>
      </c>
      <c r="P32" s="1257">
        <f t="shared" si="14"/>
        <v>0.20999999999999985</v>
      </c>
      <c r="Q32" s="1257">
        <f t="shared" si="15"/>
        <v>2.3333333333333317E-2</v>
      </c>
      <c r="R32" s="1257">
        <f t="shared" si="16"/>
        <v>1.1666666666666659E-2</v>
      </c>
      <c r="S32" s="992"/>
      <c r="T32" s="989">
        <v>0</v>
      </c>
      <c r="U32" s="1654">
        <f>6-T32*3-T33*3</f>
        <v>6</v>
      </c>
      <c r="V32" s="989">
        <v>0</v>
      </c>
      <c r="W32" s="1654">
        <f>6-V32*3-V33*3</f>
        <v>6</v>
      </c>
      <c r="X32" s="154">
        <f t="shared" si="1"/>
        <v>0</v>
      </c>
      <c r="Y32" s="992"/>
      <c r="Z32" s="989">
        <v>0</v>
      </c>
      <c r="AA32" s="1631">
        <f>6-Z32*3-Z33*3</f>
        <v>6</v>
      </c>
      <c r="AB32" s="989">
        <v>0</v>
      </c>
      <c r="AC32" s="1630">
        <f>6-AB32*3-AB33*3</f>
        <v>6</v>
      </c>
      <c r="AD32" s="154">
        <f t="shared" si="2"/>
        <v>0</v>
      </c>
      <c r="AE32" s="992"/>
      <c r="AF32" s="989">
        <v>0</v>
      </c>
      <c r="AG32" s="1631">
        <f>6-AF32*3-AF33*3</f>
        <v>6</v>
      </c>
      <c r="AH32" s="989">
        <v>0</v>
      </c>
      <c r="AI32" s="1630">
        <f>6-AH32*3-AH33*3</f>
        <v>6</v>
      </c>
      <c r="AJ32" s="154">
        <f t="shared" si="3"/>
        <v>0</v>
      </c>
      <c r="AK32" s="992"/>
      <c r="AL32" s="989">
        <v>1</v>
      </c>
      <c r="AM32" s="1631">
        <f>6-AL32*3-AL33*3</f>
        <v>3</v>
      </c>
      <c r="AN32" s="989">
        <v>1</v>
      </c>
      <c r="AO32" s="1630">
        <f>6-AN32*3-AN33*3</f>
        <v>3</v>
      </c>
      <c r="AP32" s="154">
        <f t="shared" si="4"/>
        <v>0</v>
      </c>
      <c r="AQ32" s="992"/>
      <c r="AR32" s="989">
        <v>0</v>
      </c>
      <c r="AS32" s="1631">
        <f>6-AR32*3-AR33*3</f>
        <v>6</v>
      </c>
      <c r="AT32" s="989">
        <v>0</v>
      </c>
      <c r="AU32" s="1630">
        <f>6-AT32*3-AT33*3</f>
        <v>6</v>
      </c>
      <c r="AV32" s="154">
        <f t="shared" si="5"/>
        <v>0</v>
      </c>
      <c r="AW32" s="992"/>
      <c r="AX32" s="989">
        <v>0</v>
      </c>
      <c r="AY32" s="1631">
        <f>6-AX32*3-AX33*3</f>
        <v>6</v>
      </c>
      <c r="AZ32" s="989">
        <v>0</v>
      </c>
      <c r="BA32" s="1630">
        <f>6-AZ32*3-AZ33*3</f>
        <v>6</v>
      </c>
      <c r="BB32" s="154">
        <f t="shared" si="6"/>
        <v>0</v>
      </c>
      <c r="BC32" s="992"/>
      <c r="BD32" s="989">
        <v>0</v>
      </c>
      <c r="BE32" s="1631">
        <f>6-BD32*3-BD33*3</f>
        <v>6</v>
      </c>
      <c r="BF32" s="989">
        <v>0</v>
      </c>
      <c r="BG32" s="1630">
        <f>6-BF32*3-BF33*3</f>
        <v>6</v>
      </c>
      <c r="BH32" s="154">
        <f t="shared" si="7"/>
        <v>0</v>
      </c>
      <c r="BI32" s="992"/>
      <c r="BJ32" s="989">
        <v>0</v>
      </c>
      <c r="BK32" s="1631">
        <f>6-BJ32*3-BJ33*3</f>
        <v>6</v>
      </c>
      <c r="BL32" s="989">
        <v>0</v>
      </c>
      <c r="BM32" s="1630">
        <f>6-BL32*3-BL33*3</f>
        <v>6</v>
      </c>
      <c r="BN32" s="154">
        <f t="shared" si="8"/>
        <v>0</v>
      </c>
      <c r="BO32" s="992"/>
      <c r="BP32" s="989">
        <v>0</v>
      </c>
      <c r="BQ32" s="1631">
        <f>6-BP32*3-BP33*3</f>
        <v>6</v>
      </c>
      <c r="BR32" s="989">
        <v>0</v>
      </c>
      <c r="BS32" s="1630">
        <f>6-BR32*3-BR33*3</f>
        <v>6</v>
      </c>
      <c r="BT32" s="154">
        <f t="shared" si="9"/>
        <v>0</v>
      </c>
      <c r="BU32" s="992"/>
      <c r="BV32" s="989">
        <v>0</v>
      </c>
      <c r="BW32" s="1631">
        <f>6-BV32*3-BV33*3</f>
        <v>6</v>
      </c>
      <c r="BX32" s="989">
        <v>0</v>
      </c>
      <c r="BY32" s="1630">
        <f>6-BX32*3-BX33*3</f>
        <v>6</v>
      </c>
      <c r="BZ32" s="154">
        <f>IF(AND(BV32=0,BX32&lt;&gt;0),1,IF(AND(BV32=0,BX32=0),0,BX32/BV32-1))</f>
        <v>0</v>
      </c>
      <c r="CA32" s="968"/>
      <c r="CC32" s="965"/>
      <c r="CD32" s="965"/>
      <c r="CE32" s="965"/>
      <c r="CF32" s="965"/>
      <c r="CG32" s="965"/>
      <c r="CH32" s="965"/>
      <c r="CI32" s="965"/>
      <c r="CJ32" s="965"/>
      <c r="CK32" s="965"/>
    </row>
    <row r="33" spans="1:89" s="886" customFormat="1" ht="28.5">
      <c r="A33" s="1653"/>
      <c r="B33" s="1653"/>
      <c r="C33" s="899">
        <v>15</v>
      </c>
      <c r="D33" s="986" t="s">
        <v>2006</v>
      </c>
      <c r="E33" s="995" t="s">
        <v>1102</v>
      </c>
      <c r="F33" s="993" t="s">
        <v>1123</v>
      </c>
      <c r="G33" s="1002" t="s">
        <v>399</v>
      </c>
      <c r="H33" s="991" t="s">
        <v>229</v>
      </c>
      <c r="I33" s="1652"/>
      <c r="J33" s="991">
        <f t="shared" si="17"/>
        <v>0</v>
      </c>
      <c r="K33" s="1310">
        <v>0</v>
      </c>
      <c r="L33" s="991">
        <f t="shared" si="18"/>
        <v>0</v>
      </c>
      <c r="M33" s="1310"/>
      <c r="N33" s="1310">
        <f t="shared" si="13"/>
        <v>0</v>
      </c>
      <c r="O33" s="1257">
        <f t="shared" si="0"/>
        <v>0</v>
      </c>
      <c r="P33" s="1257">
        <f t="shared" si="14"/>
        <v>0</v>
      </c>
      <c r="Q33" s="1257">
        <f t="shared" si="15"/>
        <v>0</v>
      </c>
      <c r="R33" s="1257">
        <f t="shared" si="16"/>
        <v>0</v>
      </c>
      <c r="S33" s="992"/>
      <c r="T33" s="989">
        <v>0</v>
      </c>
      <c r="U33" s="1654"/>
      <c r="V33" s="989">
        <v>0</v>
      </c>
      <c r="W33" s="1654"/>
      <c r="X33" s="154">
        <f t="shared" si="1"/>
        <v>0</v>
      </c>
      <c r="Y33" s="992"/>
      <c r="Z33" s="989">
        <v>0</v>
      </c>
      <c r="AA33" s="1631"/>
      <c r="AB33" s="989">
        <v>0</v>
      </c>
      <c r="AC33" s="1630"/>
      <c r="AD33" s="154">
        <f t="shared" si="2"/>
        <v>0</v>
      </c>
      <c r="AE33" s="992"/>
      <c r="AF33" s="989">
        <v>0</v>
      </c>
      <c r="AG33" s="1631"/>
      <c r="AH33" s="989">
        <v>0</v>
      </c>
      <c r="AI33" s="1630"/>
      <c r="AJ33" s="154">
        <f t="shared" si="3"/>
        <v>0</v>
      </c>
      <c r="AK33" s="992"/>
      <c r="AL33" s="989">
        <v>0</v>
      </c>
      <c r="AM33" s="1631"/>
      <c r="AN33" s="989">
        <v>0</v>
      </c>
      <c r="AO33" s="1630"/>
      <c r="AP33" s="154">
        <f t="shared" si="4"/>
        <v>0</v>
      </c>
      <c r="AQ33" s="992"/>
      <c r="AR33" s="989">
        <v>0</v>
      </c>
      <c r="AS33" s="1631"/>
      <c r="AT33" s="989">
        <v>0</v>
      </c>
      <c r="AU33" s="1630"/>
      <c r="AV33" s="154">
        <f t="shared" si="5"/>
        <v>0</v>
      </c>
      <c r="AW33" s="992"/>
      <c r="AX33" s="989">
        <v>0</v>
      </c>
      <c r="AY33" s="1631"/>
      <c r="AZ33" s="989">
        <v>0</v>
      </c>
      <c r="BA33" s="1630"/>
      <c r="BB33" s="154">
        <f t="shared" si="6"/>
        <v>0</v>
      </c>
      <c r="BC33" s="992"/>
      <c r="BD33" s="989">
        <v>0</v>
      </c>
      <c r="BE33" s="1631"/>
      <c r="BF33" s="989">
        <v>0</v>
      </c>
      <c r="BG33" s="1630"/>
      <c r="BH33" s="154">
        <f t="shared" si="7"/>
        <v>0</v>
      </c>
      <c r="BI33" s="992"/>
      <c r="BJ33" s="989">
        <v>0</v>
      </c>
      <c r="BK33" s="1631"/>
      <c r="BL33" s="989">
        <v>0</v>
      </c>
      <c r="BM33" s="1630"/>
      <c r="BN33" s="154">
        <f t="shared" si="8"/>
        <v>0</v>
      </c>
      <c r="BO33" s="992"/>
      <c r="BP33" s="989">
        <v>0</v>
      </c>
      <c r="BQ33" s="1631"/>
      <c r="BR33" s="989">
        <v>0</v>
      </c>
      <c r="BS33" s="1630"/>
      <c r="BT33" s="154">
        <f t="shared" si="9"/>
        <v>0</v>
      </c>
      <c r="BU33" s="992"/>
      <c r="BV33" s="989">
        <v>0</v>
      </c>
      <c r="BW33" s="1631"/>
      <c r="BX33" s="989">
        <v>0</v>
      </c>
      <c r="BY33" s="1630"/>
      <c r="BZ33" s="154">
        <f t="shared" si="10"/>
        <v>0</v>
      </c>
      <c r="CA33" s="968"/>
      <c r="CC33" s="965"/>
      <c r="CD33" s="965"/>
      <c r="CE33" s="965"/>
      <c r="CF33" s="965"/>
      <c r="CG33" s="965"/>
      <c r="CH33" s="965"/>
      <c r="CI33" s="965"/>
      <c r="CJ33" s="965"/>
      <c r="CK33" s="965"/>
    </row>
    <row r="34" spans="1:89" s="1007" customFormat="1" ht="27">
      <c r="A34" s="1014" t="s">
        <v>1126</v>
      </c>
      <c r="B34" s="1015" t="s">
        <v>1127</v>
      </c>
      <c r="C34" s="899">
        <v>16</v>
      </c>
      <c r="D34" s="1016" t="s">
        <v>2127</v>
      </c>
      <c r="E34" s="995" t="s">
        <v>1115</v>
      </c>
      <c r="F34" s="1002"/>
      <c r="G34" s="1002" t="s">
        <v>396</v>
      </c>
      <c r="H34" s="991" t="s">
        <v>229</v>
      </c>
      <c r="I34" s="990">
        <v>1</v>
      </c>
      <c r="J34" s="1006" t="s">
        <v>1128</v>
      </c>
      <c r="K34" s="1310">
        <f>AVERAGE(BW34,BQ34,BK34,BE34,AY34,AS34,AM34,AG34,AA34,U34)</f>
        <v>1</v>
      </c>
      <c r="L34" s="1006" t="s">
        <v>1128</v>
      </c>
      <c r="M34" s="1310">
        <f>AVERAGE(BY34,BS34,BM34,BG34,BA34,AU34,AO34,AI34,AC34,W34)</f>
        <v>1</v>
      </c>
      <c r="N34" s="1310">
        <f t="shared" si="13"/>
        <v>0</v>
      </c>
      <c r="O34" s="1257">
        <f t="shared" si="0"/>
        <v>0</v>
      </c>
      <c r="P34" s="1257">
        <f t="shared" si="14"/>
        <v>0</v>
      </c>
      <c r="Q34" s="1257">
        <f t="shared" si="15"/>
        <v>0</v>
      </c>
      <c r="R34" s="1257">
        <f t="shared" si="16"/>
        <v>0</v>
      </c>
      <c r="S34" s="992" t="s">
        <v>1129</v>
      </c>
      <c r="T34" s="989" t="s">
        <v>1128</v>
      </c>
      <c r="U34" s="1183">
        <f>IF(LEFT(T34,1)="1",1,0)</f>
        <v>1</v>
      </c>
      <c r="V34" s="989" t="s">
        <v>1128</v>
      </c>
      <c r="W34" s="1183">
        <f>IF(LEFT(V34,1)="1",1,0)</f>
        <v>1</v>
      </c>
      <c r="X34" s="154">
        <f>IF((V34=T34)=TRUE,0,1)</f>
        <v>0</v>
      </c>
      <c r="Y34" s="992"/>
      <c r="Z34" s="989" t="s">
        <v>1128</v>
      </c>
      <c r="AA34" s="988">
        <f>IF(LEFT(Z34,1)="1",1,0)</f>
        <v>1</v>
      </c>
      <c r="AB34" s="989" t="s">
        <v>1128</v>
      </c>
      <c r="AC34" s="1213">
        <f>IF(LEFT(AB34,1)="1",1,0)</f>
        <v>1</v>
      </c>
      <c r="AD34" s="154">
        <f>IF((AB34=Z34)=TRUE,0,1)</f>
        <v>0</v>
      </c>
      <c r="AE34" s="992"/>
      <c r="AF34" s="989" t="s">
        <v>1128</v>
      </c>
      <c r="AG34" s="988">
        <f>IF(LEFT(AF34,1)="1",1,0)</f>
        <v>1</v>
      </c>
      <c r="AH34" s="989" t="s">
        <v>1128</v>
      </c>
      <c r="AI34" s="1213">
        <f>IF(LEFT(AH34,1)="1",1,0)</f>
        <v>1</v>
      </c>
      <c r="AJ34" s="154">
        <f>IF((AH34=AF34)=TRUE,0,1)</f>
        <v>0</v>
      </c>
      <c r="AK34" s="992"/>
      <c r="AL34" s="989" t="s">
        <v>1128</v>
      </c>
      <c r="AM34" s="988">
        <f>IF(LEFT(AL34,1)="1",1,0)</f>
        <v>1</v>
      </c>
      <c r="AN34" s="989" t="s">
        <v>1128</v>
      </c>
      <c r="AO34" s="1213">
        <f>IF(LEFT(AN34,1)="1",1,0)</f>
        <v>1</v>
      </c>
      <c r="AP34" s="154">
        <f>IF((AN34=AL34)=TRUE,0,1)</f>
        <v>0</v>
      </c>
      <c r="AQ34" s="992"/>
      <c r="AR34" s="989" t="s">
        <v>1128</v>
      </c>
      <c r="AS34" s="988">
        <f>IF(LEFT(AR34,1)="1",1,0)</f>
        <v>1</v>
      </c>
      <c r="AT34" s="989" t="s">
        <v>1128</v>
      </c>
      <c r="AU34" s="1213">
        <f>IF(LEFT(AT34,1)="1",1,0)</f>
        <v>1</v>
      </c>
      <c r="AV34" s="154">
        <f>IF((AT34=AR34)=TRUE,0,1)</f>
        <v>0</v>
      </c>
      <c r="AW34" s="992"/>
      <c r="AX34" s="989" t="s">
        <v>1128</v>
      </c>
      <c r="AY34" s="988">
        <f>IF(LEFT(AX34,1)="1",1,0)</f>
        <v>1</v>
      </c>
      <c r="AZ34" s="989" t="s">
        <v>1128</v>
      </c>
      <c r="BA34" s="1213">
        <f>IF(LEFT(AZ34,1)="1",1,0)</f>
        <v>1</v>
      </c>
      <c r="BB34" s="154">
        <f>IF((AZ34=AX34)=TRUE,0,1)</f>
        <v>0</v>
      </c>
      <c r="BC34" s="992"/>
      <c r="BD34" s="989" t="s">
        <v>1128</v>
      </c>
      <c r="BE34" s="988">
        <f>IF(LEFT(BD34,1)="1",1,0)</f>
        <v>1</v>
      </c>
      <c r="BF34" s="989" t="s">
        <v>1128</v>
      </c>
      <c r="BG34" s="1213">
        <f>IF(LEFT(BF34,1)="1",1,0)</f>
        <v>1</v>
      </c>
      <c r="BH34" s="154">
        <f>IF((BF34=BD34)=TRUE,0,1)</f>
        <v>0</v>
      </c>
      <c r="BI34" s="992"/>
      <c r="BJ34" s="989" t="s">
        <v>1128</v>
      </c>
      <c r="BK34" s="988">
        <f>IF(LEFT(BJ34,1)="1",1,0)</f>
        <v>1</v>
      </c>
      <c r="BL34" s="989" t="s">
        <v>1128</v>
      </c>
      <c r="BM34" s="1213">
        <f>IF(LEFT(BL34,1)="1",1,0)</f>
        <v>1</v>
      </c>
      <c r="BN34" s="154">
        <f>IF((BL34=BJ34)=TRUE,0,1)</f>
        <v>0</v>
      </c>
      <c r="BO34" s="992"/>
      <c r="BP34" s="989" t="s">
        <v>1128</v>
      </c>
      <c r="BQ34" s="988">
        <f>IF(LEFT(BP34,1)="1",1,0)</f>
        <v>1</v>
      </c>
      <c r="BR34" s="989" t="s">
        <v>1128</v>
      </c>
      <c r="BS34" s="1213">
        <f>IF(LEFT(BR34,1)="1",1,0)</f>
        <v>1</v>
      </c>
      <c r="BT34" s="154">
        <f>IF((BR34=BP34)=TRUE,0,1)</f>
        <v>0</v>
      </c>
      <c r="BU34" s="992"/>
      <c r="BV34" s="989" t="s">
        <v>1128</v>
      </c>
      <c r="BW34" s="988">
        <f>IF(LEFT(BV34,1)="1",1,0)</f>
        <v>1</v>
      </c>
      <c r="BX34" s="989" t="s">
        <v>1128</v>
      </c>
      <c r="BY34" s="1213">
        <f>IF(LEFT(BX34,1)="1",1,0)</f>
        <v>1</v>
      </c>
      <c r="BZ34" s="154">
        <f>IF((BX34=BV34)=TRUE,0,1)</f>
        <v>0</v>
      </c>
      <c r="CA34" s="968"/>
      <c r="CC34" s="965"/>
      <c r="CD34" s="965"/>
      <c r="CE34" s="965"/>
      <c r="CF34" s="965"/>
      <c r="CG34" s="965"/>
      <c r="CH34" s="965"/>
      <c r="CI34" s="965"/>
      <c r="CJ34" s="965"/>
      <c r="CK34" s="965"/>
    </row>
    <row r="35" spans="1:89" s="886" customFormat="1" ht="14.25">
      <c r="A35" s="1653" t="s">
        <v>1987</v>
      </c>
      <c r="B35" s="1653" t="s">
        <v>1458</v>
      </c>
      <c r="C35" s="899">
        <v>17</v>
      </c>
      <c r="D35" s="986" t="s">
        <v>1130</v>
      </c>
      <c r="E35" s="987"/>
      <c r="F35" s="988"/>
      <c r="G35" s="988" t="s">
        <v>394</v>
      </c>
      <c r="H35" s="989" t="s">
        <v>229</v>
      </c>
      <c r="I35" s="990">
        <v>2</v>
      </c>
      <c r="J35" s="1212">
        <f t="shared" ref="J35:J65" si="19">AVERAGE(BV35,BP35,BJ35,BD35,AX35,AR35,AL35,AF35,Z35,T35)</f>
        <v>0.98621555834625452</v>
      </c>
      <c r="K35" s="1310">
        <f>AVERAGE(BW35,BQ35,BK35,BE35,AY35,AS35,AM35,AG35,AA35,U35)</f>
        <v>2</v>
      </c>
      <c r="L35" s="1212">
        <f t="shared" ref="L35:L65" si="20">AVERAGE(BX35,BR35,BL35,BF35,AZ35,AT35,AN35,AH35,AB35,V35)</f>
        <v>0.9851836385441326</v>
      </c>
      <c r="M35" s="1310">
        <f>AVERAGE(BY35,BS35,BM35,BG35,BA35,AU35,AO35,AI35,AC35,W35)</f>
        <v>2</v>
      </c>
      <c r="N35" s="1310">
        <f t="shared" si="13"/>
        <v>0</v>
      </c>
      <c r="O35" s="1257">
        <f t="shared" si="0"/>
        <v>0</v>
      </c>
      <c r="P35" s="1257">
        <f t="shared" si="14"/>
        <v>0</v>
      </c>
      <c r="Q35" s="1257">
        <f t="shared" si="15"/>
        <v>0</v>
      </c>
      <c r="R35" s="1257">
        <f t="shared" si="16"/>
        <v>0</v>
      </c>
      <c r="S35" s="992"/>
      <c r="T35" s="1180">
        <v>0.9874476987447699</v>
      </c>
      <c r="U35" s="1183">
        <f>IF(T35&gt;0.9,2,IF(T35&gt;0.8,1,IF(T35&gt;0.7,0.5,0)))</f>
        <v>2</v>
      </c>
      <c r="V35" s="1180">
        <f>IF(V37=0,"",V36/V37)</f>
        <v>0.9785932721712538</v>
      </c>
      <c r="W35" s="1183">
        <f>IF(V35&gt;0.9,2,IF(V35&gt;0.8,1,IF(V35&gt;0.7,0.5,0)))</f>
        <v>2</v>
      </c>
      <c r="X35" s="154">
        <f t="shared" si="1"/>
        <v>-8.9669828435183785E-3</v>
      </c>
      <c r="Y35" s="992"/>
      <c r="Z35" s="1180">
        <v>0.99157054125998223</v>
      </c>
      <c r="AA35" s="988">
        <f>IF(Z35&gt;0.9,2,IF(Z35&gt;0.8,1,IF(Z35&gt;0.7,0.5,0)))</f>
        <v>2</v>
      </c>
      <c r="AB35" s="1180">
        <f>IF(AB37=0,"",AB36/AB37)</f>
        <v>0.99096657633243002</v>
      </c>
      <c r="AC35" s="1213">
        <f>IF(AB35&gt;0.9,2,IF(AB35&gt;0.8,1,IF(AB35&gt;0.7,0.5,0)))</f>
        <v>2</v>
      </c>
      <c r="AD35" s="154">
        <f t="shared" si="2"/>
        <v>-6.0909930501240606E-4</v>
      </c>
      <c r="AE35" s="992"/>
      <c r="AF35" s="1180">
        <v>0.9925864909390445</v>
      </c>
      <c r="AG35" s="988">
        <f>IF(AF35&gt;0.9,2,IF(AF35&gt;0.8,1,IF(AF35&gt;0.7,0.5,0)))</f>
        <v>2</v>
      </c>
      <c r="AH35" s="1180">
        <f>IF(AH37=0,"",AH36/AH37)</f>
        <v>0.99615014436958615</v>
      </c>
      <c r="AI35" s="1213">
        <f>IF(AH35&gt;0.9,2,IF(AH35&gt;0.8,1,IF(AH35&gt;0.7,0.5,0)))</f>
        <v>2</v>
      </c>
      <c r="AJ35" s="154">
        <f t="shared" si="3"/>
        <v>3.5902699291929796E-3</v>
      </c>
      <c r="AK35" s="992"/>
      <c r="AL35" s="1180">
        <v>0.98476454293628812</v>
      </c>
      <c r="AM35" s="988">
        <f>IF(AL35&gt;0.9,2,IF(AL35&gt;0.8,1,IF(AL35&gt;0.7,0.5,0)))</f>
        <v>2</v>
      </c>
      <c r="AN35" s="1180">
        <f>IF(AN37=0,"",AN36/AN37)</f>
        <v>0.98233695652173914</v>
      </c>
      <c r="AO35" s="1213">
        <f>IF(AN35&gt;0.9,2,IF(AN35&gt;0.8,1,IF(AN35&gt;0.7,0.5,0)))</f>
        <v>2</v>
      </c>
      <c r="AP35" s="154">
        <f t="shared" si="4"/>
        <v>-2.4651440102734234E-3</v>
      </c>
      <c r="AQ35" s="992"/>
      <c r="AR35" s="1180">
        <v>0.98833290121856365</v>
      </c>
      <c r="AS35" s="988">
        <f>IF(AR35&gt;0.9,2,IF(AR35&gt;0.8,1,IF(AR35&gt;0.7,0.5,0)))</f>
        <v>2</v>
      </c>
      <c r="AT35" s="1180">
        <f>IF(AT37=0,"",AT36/AT37)</f>
        <v>0.9814692256783587</v>
      </c>
      <c r="AU35" s="1213">
        <f>IF(AT35&gt;0.9,2,IF(AT35&gt;0.8,1,IF(AT35&gt;0.7,0.5,0)))</f>
        <v>2</v>
      </c>
      <c r="AV35" s="154">
        <f t="shared" si="5"/>
        <v>-6.9447000415977511E-3</v>
      </c>
      <c r="AW35" s="992"/>
      <c r="AX35" s="1180">
        <v>0.98963585434173673</v>
      </c>
      <c r="AY35" s="988">
        <f>IF(AX35&gt;0.9,2,IF(AX35&gt;0.8,1,IF(AX35&gt;0.7,0.5,0)))</f>
        <v>2</v>
      </c>
      <c r="AZ35" s="1180">
        <f>IF(AZ37=0,"",AZ36/AZ37)</f>
        <v>0.99915611814345995</v>
      </c>
      <c r="BA35" s="1213">
        <f>IF(AZ35&gt;0.9,2,IF(AZ35&gt;0.8,1,IF(AZ35&gt;0.7,0.5,0)))</f>
        <v>2</v>
      </c>
      <c r="BB35" s="154">
        <f t="shared" si="6"/>
        <v>9.6199665361313969E-3</v>
      </c>
      <c r="BC35" s="992"/>
      <c r="BD35" s="1180">
        <v>0.9924146649810367</v>
      </c>
      <c r="BE35" s="988">
        <f>IF(BD35&gt;0.9,2,IF(BD35&gt;0.8,1,IF(BD35&gt;0.7,0.5,0)))</f>
        <v>2</v>
      </c>
      <c r="BF35" s="1180">
        <f>IF(BF37=0,"",BF36/BF37)</f>
        <v>0.99854227405247808</v>
      </c>
      <c r="BG35" s="1213">
        <f>IF(BF35&gt;0.9,2,IF(BF35&gt;0.8,1,IF(BF35&gt;0.7,0.5,0)))</f>
        <v>2</v>
      </c>
      <c r="BH35" s="154">
        <f t="shared" si="7"/>
        <v>6.1744443000129046E-3</v>
      </c>
      <c r="BI35" s="992"/>
      <c r="BJ35" s="1180">
        <v>0.98452278589853826</v>
      </c>
      <c r="BK35" s="988">
        <f>IF(BJ35&gt;0.9,2,IF(BJ35&gt;0.8,1,IF(BJ35&gt;0.7,0.5,0)))</f>
        <v>2</v>
      </c>
      <c r="BL35" s="1180">
        <f>IF(BL37=0,"",BL36/BL37)</f>
        <v>0.99542124542124544</v>
      </c>
      <c r="BM35" s="1213">
        <f>IF(BL35&gt;0.9,2,IF(BL35&gt;0.8,1,IF(BL35&gt;0.7,0.5,0)))</f>
        <v>2</v>
      </c>
      <c r="BN35" s="154">
        <f t="shared" si="8"/>
        <v>1.1069789017387199E-2</v>
      </c>
      <c r="BO35" s="992"/>
      <c r="BP35" s="1180">
        <v>0.96784232365145229</v>
      </c>
      <c r="BQ35" s="988">
        <f>IF(BP35&gt;0.9,2,IF(BP35&gt;0.8,1,IF(BP35&gt;0.7,0.5,0)))</f>
        <v>2</v>
      </c>
      <c r="BR35" s="1180">
        <f>IF(BR37=0,"",BR36/BR37)</f>
        <v>0.95460277427490547</v>
      </c>
      <c r="BS35" s="1213">
        <f>IF(BR35&gt;0.9,2,IF(BR35&gt;0.8,1,IF(BR35&gt;0.7,0.5,0)))</f>
        <v>2</v>
      </c>
      <c r="BT35" s="154">
        <f t="shared" si="9"/>
        <v>-1.3679448659154492E-2</v>
      </c>
      <c r="BU35" s="992"/>
      <c r="BV35" s="1180">
        <v>0.98303777949113336</v>
      </c>
      <c r="BW35" s="988">
        <f>IF(BV35&gt;0.9,2,IF(BV35&gt;0.8,1,IF(BV35&gt;0.7,0.5,0)))</f>
        <v>2</v>
      </c>
      <c r="BX35" s="1180">
        <f>IF(BX37=0,"",BX36/BX37)</f>
        <v>0.97459779847586792</v>
      </c>
      <c r="BY35" s="1213">
        <f>IF(BX35&gt;0.9,2,IF(BX35&gt;0.8,1,IF(BX35&gt;0.7,0.5,0)))</f>
        <v>2</v>
      </c>
      <c r="BZ35" s="154">
        <f t="shared" si="10"/>
        <v>-8.5856120602347819E-3</v>
      </c>
      <c r="CA35" s="968"/>
      <c r="CC35" s="965"/>
      <c r="CD35" s="965"/>
      <c r="CE35" s="965"/>
      <c r="CF35" s="965"/>
      <c r="CG35" s="965"/>
      <c r="CH35" s="965"/>
      <c r="CI35" s="965"/>
      <c r="CJ35" s="965"/>
      <c r="CK35" s="965"/>
    </row>
    <row r="36" spans="1:89" s="886" customFormat="1" ht="28.5">
      <c r="A36" s="1655"/>
      <c r="B36" s="1653"/>
      <c r="C36" s="913">
        <v>17.100000000000001</v>
      </c>
      <c r="D36" s="1210" t="s">
        <v>2129</v>
      </c>
      <c r="E36" s="995" t="s">
        <v>1115</v>
      </c>
      <c r="F36" s="993" t="s">
        <v>1131</v>
      </c>
      <c r="G36" s="996"/>
      <c r="H36" s="997"/>
      <c r="I36" s="988"/>
      <c r="J36" s="991">
        <f t="shared" si="19"/>
        <v>1966.1</v>
      </c>
      <c r="K36" s="1310"/>
      <c r="L36" s="991">
        <f t="shared" si="20"/>
        <v>1943</v>
      </c>
      <c r="M36" s="1310"/>
      <c r="N36" s="1310">
        <f t="shared" si="13"/>
        <v>0</v>
      </c>
      <c r="O36" s="1257">
        <f t="shared" ref="O36:O68" si="21">I36-M36</f>
        <v>0</v>
      </c>
      <c r="P36" s="1257">
        <f t="shared" si="14"/>
        <v>0</v>
      </c>
      <c r="Q36" s="1257">
        <f t="shared" si="15"/>
        <v>0</v>
      </c>
      <c r="R36" s="1257">
        <f t="shared" si="16"/>
        <v>0</v>
      </c>
      <c r="S36" s="992"/>
      <c r="T36" s="989">
        <v>472</v>
      </c>
      <c r="U36" s="1183"/>
      <c r="V36" s="989">
        <v>640</v>
      </c>
      <c r="W36" s="1183"/>
      <c r="X36" s="154">
        <f t="shared" si="1"/>
        <v>0.35593220338983045</v>
      </c>
      <c r="Y36" s="992"/>
      <c r="Z36" s="989">
        <v>2235</v>
      </c>
      <c r="AA36" s="988"/>
      <c r="AB36" s="989">
        <v>2194</v>
      </c>
      <c r="AC36" s="1213"/>
      <c r="AD36" s="154">
        <f t="shared" si="2"/>
        <v>-1.8344519015659921E-2</v>
      </c>
      <c r="AE36" s="992"/>
      <c r="AF36" s="913">
        <v>3615</v>
      </c>
      <c r="AG36" s="988"/>
      <c r="AH36" s="913">
        <v>3105</v>
      </c>
      <c r="AI36" s="1213"/>
      <c r="AJ36" s="154">
        <f t="shared" si="3"/>
        <v>-0.14107883817427391</v>
      </c>
      <c r="AK36" s="992"/>
      <c r="AL36" s="913">
        <v>711</v>
      </c>
      <c r="AM36" s="988"/>
      <c r="AN36" s="913">
        <v>723</v>
      </c>
      <c r="AO36" s="1213"/>
      <c r="AP36" s="154">
        <f t="shared" si="4"/>
        <v>1.6877637130801704E-2</v>
      </c>
      <c r="AQ36" s="992"/>
      <c r="AR36" s="913">
        <v>3812</v>
      </c>
      <c r="AS36" s="988"/>
      <c r="AT36" s="913">
        <v>4449</v>
      </c>
      <c r="AU36" s="1213"/>
      <c r="AV36" s="154">
        <f t="shared" si="5"/>
        <v>0.16710388247639041</v>
      </c>
      <c r="AW36" s="992"/>
      <c r="AX36" s="913">
        <v>3533</v>
      </c>
      <c r="AY36" s="988"/>
      <c r="AZ36" s="913">
        <v>3552</v>
      </c>
      <c r="BA36" s="1213"/>
      <c r="BB36" s="154">
        <f t="shared" si="6"/>
        <v>5.3778658363996534E-3</v>
      </c>
      <c r="BC36" s="992"/>
      <c r="BD36" s="913">
        <v>785</v>
      </c>
      <c r="BE36" s="988"/>
      <c r="BF36" s="913">
        <v>685</v>
      </c>
      <c r="BG36" s="1213"/>
      <c r="BH36" s="154">
        <f t="shared" si="7"/>
        <v>-0.12738853503184711</v>
      </c>
      <c r="BI36" s="992"/>
      <c r="BJ36" s="913">
        <v>2290</v>
      </c>
      <c r="BK36" s="988"/>
      <c r="BL36" s="913">
        <v>2174</v>
      </c>
      <c r="BM36" s="1213"/>
      <c r="BN36" s="154">
        <f t="shared" si="8"/>
        <v>-5.065502183406112E-2</v>
      </c>
      <c r="BO36" s="992"/>
      <c r="BP36" s="913">
        <v>933</v>
      </c>
      <c r="BQ36" s="988"/>
      <c r="BR36" s="913">
        <v>757</v>
      </c>
      <c r="BS36" s="1213"/>
      <c r="BT36" s="154">
        <f t="shared" si="9"/>
        <v>-0.1886387995712755</v>
      </c>
      <c r="BU36" s="992"/>
      <c r="BV36" s="913">
        <v>1275</v>
      </c>
      <c r="BW36" s="988"/>
      <c r="BX36" s="913">
        <v>1151</v>
      </c>
      <c r="BY36" s="1213"/>
      <c r="BZ36" s="154">
        <f t="shared" si="10"/>
        <v>-9.7254901960784346E-2</v>
      </c>
      <c r="CA36" s="968"/>
      <c r="CC36" s="965"/>
      <c r="CD36" s="965"/>
      <c r="CE36" s="965"/>
      <c r="CF36" s="965"/>
      <c r="CG36" s="965"/>
      <c r="CH36" s="965"/>
      <c r="CI36" s="965"/>
      <c r="CJ36" s="965"/>
      <c r="CK36" s="965"/>
    </row>
    <row r="37" spans="1:89" s="886" customFormat="1" ht="14.25">
      <c r="A37" s="1655"/>
      <c r="B37" s="1653"/>
      <c r="C37" s="913">
        <v>17.2</v>
      </c>
      <c r="D37" s="1210" t="s">
        <v>2130</v>
      </c>
      <c r="E37" s="995" t="s">
        <v>1115</v>
      </c>
      <c r="F37" s="993" t="s">
        <v>1131</v>
      </c>
      <c r="G37" s="1002"/>
      <c r="H37" s="991"/>
      <c r="I37" s="988"/>
      <c r="J37" s="991">
        <f t="shared" si="19"/>
        <v>1990.1</v>
      </c>
      <c r="K37" s="1310"/>
      <c r="L37" s="991">
        <f t="shared" si="20"/>
        <v>1965.3</v>
      </c>
      <c r="M37" s="1310"/>
      <c r="N37" s="1310">
        <f t="shared" si="13"/>
        <v>0</v>
      </c>
      <c r="O37" s="1257">
        <f t="shared" si="21"/>
        <v>0</v>
      </c>
      <c r="P37" s="1257">
        <f t="shared" si="14"/>
        <v>0</v>
      </c>
      <c r="Q37" s="1257">
        <f t="shared" si="15"/>
        <v>0</v>
      </c>
      <c r="R37" s="1257">
        <f t="shared" si="16"/>
        <v>0</v>
      </c>
      <c r="S37" s="992"/>
      <c r="T37" s="989">
        <v>478</v>
      </c>
      <c r="U37" s="1183"/>
      <c r="V37" s="989">
        <v>654</v>
      </c>
      <c r="W37" s="1183"/>
      <c r="X37" s="154">
        <f t="shared" si="1"/>
        <v>0.36820083682008375</v>
      </c>
      <c r="Y37" s="992"/>
      <c r="Z37" s="989">
        <v>2254</v>
      </c>
      <c r="AA37" s="988"/>
      <c r="AB37" s="989">
        <v>2214</v>
      </c>
      <c r="AC37" s="1213"/>
      <c r="AD37" s="154">
        <f t="shared" si="2"/>
        <v>-1.7746228926353136E-2</v>
      </c>
      <c r="AE37" s="992"/>
      <c r="AF37" s="913">
        <v>3642</v>
      </c>
      <c r="AG37" s="988"/>
      <c r="AH37" s="913">
        <v>3117</v>
      </c>
      <c r="AI37" s="1213"/>
      <c r="AJ37" s="154">
        <f t="shared" si="3"/>
        <v>-0.14415156507413507</v>
      </c>
      <c r="AK37" s="992"/>
      <c r="AL37" s="913">
        <v>722</v>
      </c>
      <c r="AM37" s="988"/>
      <c r="AN37" s="913">
        <v>736</v>
      </c>
      <c r="AO37" s="1213"/>
      <c r="AP37" s="154">
        <f t="shared" si="4"/>
        <v>1.939058171745156E-2</v>
      </c>
      <c r="AQ37" s="992"/>
      <c r="AR37" s="913">
        <v>3857</v>
      </c>
      <c r="AS37" s="988"/>
      <c r="AT37" s="913">
        <v>4533</v>
      </c>
      <c r="AU37" s="1213"/>
      <c r="AV37" s="154">
        <f t="shared" si="5"/>
        <v>0.17526575058335503</v>
      </c>
      <c r="AW37" s="992" t="s">
        <v>2085</v>
      </c>
      <c r="AX37" s="913">
        <v>3570</v>
      </c>
      <c r="AY37" s="988"/>
      <c r="AZ37" s="913">
        <v>3555</v>
      </c>
      <c r="BA37" s="1213"/>
      <c r="BB37" s="154">
        <f t="shared" si="6"/>
        <v>-4.2016806722688926E-3</v>
      </c>
      <c r="BC37" s="992"/>
      <c r="BD37" s="913">
        <v>791</v>
      </c>
      <c r="BE37" s="988"/>
      <c r="BF37" s="913">
        <v>686</v>
      </c>
      <c r="BG37" s="1213"/>
      <c r="BH37" s="154">
        <f t="shared" si="7"/>
        <v>-0.13274336283185839</v>
      </c>
      <c r="BI37" s="992"/>
      <c r="BJ37" s="913">
        <v>2326</v>
      </c>
      <c r="BK37" s="988"/>
      <c r="BL37" s="913">
        <v>2184</v>
      </c>
      <c r="BM37" s="1213"/>
      <c r="BN37" s="154">
        <f t="shared" si="8"/>
        <v>-6.1049011177988E-2</v>
      </c>
      <c r="BO37" s="992"/>
      <c r="BP37" s="913">
        <v>964</v>
      </c>
      <c r="BQ37" s="988"/>
      <c r="BR37" s="913">
        <v>793</v>
      </c>
      <c r="BS37" s="1213"/>
      <c r="BT37" s="154">
        <f t="shared" si="9"/>
        <v>-0.17738589211618261</v>
      </c>
      <c r="BU37" s="992"/>
      <c r="BV37" s="913">
        <v>1297</v>
      </c>
      <c r="BW37" s="988"/>
      <c r="BX37" s="913">
        <v>1181</v>
      </c>
      <c r="BY37" s="1213"/>
      <c r="BZ37" s="154">
        <f t="shared" si="10"/>
        <v>-8.9437162683114857E-2</v>
      </c>
      <c r="CA37" s="968"/>
      <c r="CC37" s="965"/>
      <c r="CD37" s="965"/>
      <c r="CE37" s="965"/>
      <c r="CF37" s="965"/>
      <c r="CG37" s="965"/>
      <c r="CH37" s="965"/>
      <c r="CI37" s="965"/>
      <c r="CJ37" s="965"/>
      <c r="CK37" s="965"/>
    </row>
    <row r="38" spans="1:89" s="886" customFormat="1" ht="14.25">
      <c r="A38" s="1642" t="s">
        <v>1988</v>
      </c>
      <c r="B38" s="1642" t="s">
        <v>1703</v>
      </c>
      <c r="C38" s="899">
        <v>18</v>
      </c>
      <c r="D38" s="986" t="s">
        <v>1702</v>
      </c>
      <c r="E38" s="987"/>
      <c r="F38" s="993"/>
      <c r="G38" s="988" t="s">
        <v>394</v>
      </c>
      <c r="H38" s="989" t="s">
        <v>229</v>
      </c>
      <c r="I38" s="990">
        <v>2</v>
      </c>
      <c r="J38" s="1212">
        <f t="shared" si="19"/>
        <v>0.98361235075756714</v>
      </c>
      <c r="K38" s="1310">
        <f>AVERAGE(BW38,BQ38,BK38,BE38,AY38,AS38,AM38,AG38,AA38,U38)</f>
        <v>2</v>
      </c>
      <c r="L38" s="1212">
        <f t="shared" si="20"/>
        <v>0.99153877223178699</v>
      </c>
      <c r="M38" s="1310">
        <f>AVERAGE(BY38,BS38,BM38,BG38,BA38,AU38,AO38,AI38,AC38,W38)</f>
        <v>2</v>
      </c>
      <c r="N38" s="1310">
        <f t="shared" si="13"/>
        <v>0</v>
      </c>
      <c r="O38" s="1257">
        <f t="shared" si="21"/>
        <v>0</v>
      </c>
      <c r="P38" s="1257">
        <f t="shared" si="14"/>
        <v>0</v>
      </c>
      <c r="Q38" s="1257">
        <f t="shared" si="15"/>
        <v>0</v>
      </c>
      <c r="R38" s="1257">
        <f t="shared" si="16"/>
        <v>0</v>
      </c>
      <c r="S38" s="992"/>
      <c r="T38" s="1180">
        <v>0.9853556485355649</v>
      </c>
      <c r="U38" s="1183">
        <f>IF(T38&gt;=0.95,2,IF(T38&gt;=0.9,1,0))</f>
        <v>2</v>
      </c>
      <c r="V38" s="1180">
        <f>IF(V40=0,"",V39/V40)</f>
        <v>0.99235474006116209</v>
      </c>
      <c r="W38" s="1183">
        <f>IF(V38&gt;=0.95,2,IF(V38&gt;=0.9,1,0))</f>
        <v>2</v>
      </c>
      <c r="X38" s="154">
        <f t="shared" si="1"/>
        <v>7.1031119941304954E-3</v>
      </c>
      <c r="Y38" s="992"/>
      <c r="Z38" s="1180">
        <v>0.98757763975155277</v>
      </c>
      <c r="AA38" s="988">
        <f>IF(Z38&gt;=0.95,2,IF(Z38&gt;=0.9,1,0))</f>
        <v>2</v>
      </c>
      <c r="AB38" s="1180">
        <f>IF(AB40=0,"",AB39/AB40)</f>
        <v>0.99051490514905149</v>
      </c>
      <c r="AC38" s="1213">
        <f>IF(AB38&gt;=0.95,2,IF(AB38&gt;=0.9,1,0))</f>
        <v>2</v>
      </c>
      <c r="AD38" s="154">
        <f t="shared" si="2"/>
        <v>2.9742121320583959E-3</v>
      </c>
      <c r="AE38" s="992"/>
      <c r="AF38" s="1180">
        <v>0.99093904448105441</v>
      </c>
      <c r="AG38" s="988">
        <f>IF(AF38&gt;=0.95,2,IF(AF38&gt;=0.9,1,0))</f>
        <v>2</v>
      </c>
      <c r="AH38" s="1180">
        <f>IF(AH40=0,"",AH39/AH40)</f>
        <v>0.9983958934873276</v>
      </c>
      <c r="AI38" s="1213">
        <f>IF(AH38&gt;=0.95,2,IF(AH38&gt;=0.9,1,0))</f>
        <v>2</v>
      </c>
      <c r="AJ38" s="154">
        <f t="shared" si="3"/>
        <v>7.5250329955243167E-3</v>
      </c>
      <c r="AK38" s="992"/>
      <c r="AL38" s="1180">
        <v>0.97229916897506929</v>
      </c>
      <c r="AM38" s="988">
        <f>IF(AL38&gt;=0.95,2,IF(AL38&gt;=0.9,1,0))</f>
        <v>2</v>
      </c>
      <c r="AN38" s="1180">
        <f>IF(AN40=0,"",AN39/AN40)</f>
        <v>0.99320652173913049</v>
      </c>
      <c r="AO38" s="1213">
        <f>IF(AN38&gt;=0.95,2,IF(AN38&gt;=0.9,1,0))</f>
        <v>2</v>
      </c>
      <c r="AP38" s="154">
        <f t="shared" si="4"/>
        <v>2.15030038399604E-2</v>
      </c>
      <c r="AQ38" s="992"/>
      <c r="AR38" s="1180">
        <v>0.98677728804770548</v>
      </c>
      <c r="AS38" s="988">
        <f>IF(AR38&gt;=0.95,2,IF(AR38&gt;=0.9,1,0))</f>
        <v>2</v>
      </c>
      <c r="AT38" s="1180">
        <f>IF(AT40=0,"",AT39/AT40)</f>
        <v>0.98345466578424889</v>
      </c>
      <c r="AU38" s="1213">
        <f>IF(AT38&gt;=0.95,2,IF(AT38&gt;=0.9,1,0))</f>
        <v>2</v>
      </c>
      <c r="AV38" s="154">
        <f t="shared" si="5"/>
        <v>-3.3671450525885049E-3</v>
      </c>
      <c r="AW38" s="992"/>
      <c r="AX38" s="1180">
        <v>0.98655462184873954</v>
      </c>
      <c r="AY38" s="988">
        <f>IF(AX38&gt;=0.95,2,IF(AX38&gt;=0.9,1,0))</f>
        <v>2</v>
      </c>
      <c r="AZ38" s="1180">
        <f>IF(AZ40=0,"",AZ39/AZ40)</f>
        <v>0.99887482419127993</v>
      </c>
      <c r="BA38" s="1213">
        <f>IF(AZ38&gt;=0.95,2,IF(AZ38&gt;=0.9,1,0))</f>
        <v>2</v>
      </c>
      <c r="BB38" s="154">
        <f t="shared" si="6"/>
        <v>1.2488109699849259E-2</v>
      </c>
      <c r="BC38" s="992"/>
      <c r="BD38" s="1180">
        <v>0.9898862199747156</v>
      </c>
      <c r="BE38" s="988">
        <f>IF(BD38&gt;=0.95,2,IF(BD38&gt;=0.9,1,0))</f>
        <v>2</v>
      </c>
      <c r="BF38" s="1180">
        <f>IF(BF40=0,"",BF39/BF40)</f>
        <v>1</v>
      </c>
      <c r="BG38" s="1213">
        <f>IF(BF38&gt;=0.95,2,IF(BF38&gt;=0.9,1,0))</f>
        <v>2</v>
      </c>
      <c r="BH38" s="154">
        <f t="shared" si="7"/>
        <v>1.0217113665389466E-2</v>
      </c>
      <c r="BI38" s="992"/>
      <c r="BJ38" s="1180">
        <v>0.97420464316423039</v>
      </c>
      <c r="BK38" s="988">
        <f>IF(BJ38&gt;=0.95,2,IF(BJ38&gt;=0.9,1,0))</f>
        <v>2</v>
      </c>
      <c r="BL38" s="1180">
        <f>IF(BL40=0,"",BL39/BL40)</f>
        <v>0.99358974358974361</v>
      </c>
      <c r="BM38" s="1213">
        <f>IF(BL38&gt;=0.95,2,IF(BL38&gt;=0.9,1,0))</f>
        <v>2</v>
      </c>
      <c r="BN38" s="154">
        <f t="shared" si="8"/>
        <v>1.9898386403240931E-2</v>
      </c>
      <c r="BO38" s="992"/>
      <c r="BP38" s="1180">
        <v>0.97717842323651449</v>
      </c>
      <c r="BQ38" s="988">
        <f>IF(BP38&gt;=0.95,2,IF(BP38&gt;=0.9,1,0))</f>
        <v>2</v>
      </c>
      <c r="BR38" s="1180">
        <f>IF(BR40=0,"",BR39/BR40)</f>
        <v>0.98108448928121061</v>
      </c>
      <c r="BS38" s="1213">
        <f>IF(BR38&gt;=0.95,2,IF(BR38&gt;=0.9,1,0))</f>
        <v>2</v>
      </c>
      <c r="BT38" s="154">
        <f t="shared" si="9"/>
        <v>3.9972905170775341E-3</v>
      </c>
      <c r="BU38" s="992"/>
      <c r="BV38" s="1180">
        <v>0.98535080956052423</v>
      </c>
      <c r="BW38" s="988">
        <f>IF(BV38&gt;=0.95,2,IF(BV38&gt;=0.9,1,0))</f>
        <v>2</v>
      </c>
      <c r="BX38" s="1180">
        <f>IF(BX40=0,"",BX39/BX40)</f>
        <v>0.9839119390347163</v>
      </c>
      <c r="BY38" s="1213">
        <f>IF(BX38&gt;=0.95,2,IF(BX38&gt;=0.9,1,0))</f>
        <v>2</v>
      </c>
      <c r="BZ38" s="154">
        <f t="shared" si="10"/>
        <v>-1.4602621846423469E-3</v>
      </c>
      <c r="CA38" s="968"/>
      <c r="CC38" s="965"/>
      <c r="CD38" s="965"/>
      <c r="CE38" s="965"/>
      <c r="CF38" s="965"/>
      <c r="CG38" s="965"/>
      <c r="CH38" s="965"/>
      <c r="CI38" s="965"/>
      <c r="CJ38" s="965"/>
      <c r="CK38" s="965"/>
    </row>
    <row r="39" spans="1:89" s="886" customFormat="1" ht="14.25">
      <c r="A39" s="1643"/>
      <c r="B39" s="1643"/>
      <c r="C39" s="913">
        <v>18.100000000000001</v>
      </c>
      <c r="D39" s="1210" t="s">
        <v>2131</v>
      </c>
      <c r="E39" s="995" t="s">
        <v>1115</v>
      </c>
      <c r="F39" s="993" t="s">
        <v>1131</v>
      </c>
      <c r="G39" s="1002"/>
      <c r="H39" s="991"/>
      <c r="I39" s="988"/>
      <c r="J39" s="991">
        <f t="shared" si="19"/>
        <v>1960.5</v>
      </c>
      <c r="K39" s="1310"/>
      <c r="L39" s="991">
        <f t="shared" si="20"/>
        <v>1949</v>
      </c>
      <c r="M39" s="1310"/>
      <c r="N39" s="1310">
        <f t="shared" si="13"/>
        <v>0</v>
      </c>
      <c r="O39" s="1257">
        <f t="shared" si="21"/>
        <v>0</v>
      </c>
      <c r="P39" s="1257">
        <f t="shared" si="14"/>
        <v>0</v>
      </c>
      <c r="Q39" s="1257">
        <f t="shared" si="15"/>
        <v>0</v>
      </c>
      <c r="R39" s="1257">
        <f t="shared" si="16"/>
        <v>0</v>
      </c>
      <c r="S39" s="992"/>
      <c r="T39" s="989">
        <v>471</v>
      </c>
      <c r="U39" s="1183"/>
      <c r="V39" s="989">
        <v>649</v>
      </c>
      <c r="W39" s="1183"/>
      <c r="X39" s="154">
        <f t="shared" si="1"/>
        <v>0.37791932059447975</v>
      </c>
      <c r="Y39" s="992"/>
      <c r="Z39" s="989">
        <v>2226</v>
      </c>
      <c r="AA39" s="988"/>
      <c r="AB39" s="989">
        <v>2193</v>
      </c>
      <c r="AC39" s="1213"/>
      <c r="AD39" s="154">
        <f t="shared" si="2"/>
        <v>-1.4824797843665749E-2</v>
      </c>
      <c r="AE39" s="992"/>
      <c r="AF39" s="913">
        <v>3609</v>
      </c>
      <c r="AG39" s="988"/>
      <c r="AH39" s="913">
        <v>3112</v>
      </c>
      <c r="AI39" s="1213"/>
      <c r="AJ39" s="154">
        <f t="shared" si="3"/>
        <v>-0.13771127736215016</v>
      </c>
      <c r="AK39" s="992"/>
      <c r="AL39" s="913">
        <v>702</v>
      </c>
      <c r="AM39" s="988"/>
      <c r="AN39" s="913">
        <v>731</v>
      </c>
      <c r="AO39" s="1213"/>
      <c r="AP39" s="154">
        <f t="shared" si="4"/>
        <v>4.1310541310541238E-2</v>
      </c>
      <c r="AQ39" s="992"/>
      <c r="AR39" s="913">
        <v>3806</v>
      </c>
      <c r="AS39" s="988"/>
      <c r="AT39" s="913">
        <v>4458</v>
      </c>
      <c r="AU39" s="1213"/>
      <c r="AV39" s="154">
        <f t="shared" si="5"/>
        <v>0.17130846032580127</v>
      </c>
      <c r="AW39" s="992"/>
      <c r="AX39" s="913">
        <v>3522</v>
      </c>
      <c r="AY39" s="988"/>
      <c r="AZ39" s="913">
        <v>3551</v>
      </c>
      <c r="BA39" s="1213"/>
      <c r="BB39" s="154">
        <f t="shared" si="6"/>
        <v>8.2339579784214134E-3</v>
      </c>
      <c r="BC39" s="992"/>
      <c r="BD39" s="913">
        <v>783</v>
      </c>
      <c r="BE39" s="988"/>
      <c r="BF39" s="913">
        <v>686</v>
      </c>
      <c r="BG39" s="1213"/>
      <c r="BH39" s="154">
        <f t="shared" si="7"/>
        <v>-0.12388250319284799</v>
      </c>
      <c r="BI39" s="992"/>
      <c r="BJ39" s="913">
        <v>2266</v>
      </c>
      <c r="BK39" s="988"/>
      <c r="BL39" s="913">
        <v>2170</v>
      </c>
      <c r="BM39" s="1213"/>
      <c r="BN39" s="154">
        <f t="shared" si="8"/>
        <v>-4.2365401588702611E-2</v>
      </c>
      <c r="BO39" s="992"/>
      <c r="BP39" s="913">
        <v>942</v>
      </c>
      <c r="BQ39" s="988"/>
      <c r="BR39" s="913">
        <v>778</v>
      </c>
      <c r="BS39" s="1213"/>
      <c r="BT39" s="154">
        <f t="shared" si="9"/>
        <v>-0.17409766454352438</v>
      </c>
      <c r="BU39" s="992"/>
      <c r="BV39" s="913">
        <v>1278</v>
      </c>
      <c r="BW39" s="988"/>
      <c r="BX39" s="913">
        <v>1162</v>
      </c>
      <c r="BY39" s="1213"/>
      <c r="BZ39" s="154">
        <f t="shared" si="10"/>
        <v>-9.0766823161189336E-2</v>
      </c>
      <c r="CA39" s="968"/>
      <c r="CC39" s="965"/>
      <c r="CD39" s="965"/>
      <c r="CE39" s="965"/>
      <c r="CF39" s="965"/>
      <c r="CG39" s="965"/>
      <c r="CH39" s="965"/>
      <c r="CI39" s="965"/>
      <c r="CJ39" s="965"/>
      <c r="CK39" s="965"/>
    </row>
    <row r="40" spans="1:89" s="886" customFormat="1" ht="14.25">
      <c r="A40" s="1643"/>
      <c r="B40" s="1643"/>
      <c r="C40" s="913">
        <v>18.2</v>
      </c>
      <c r="D40" s="1210" t="s">
        <v>2147</v>
      </c>
      <c r="E40" s="995" t="s">
        <v>1115</v>
      </c>
      <c r="F40" s="993" t="s">
        <v>1131</v>
      </c>
      <c r="G40" s="1002"/>
      <c r="H40" s="991"/>
      <c r="I40" s="988"/>
      <c r="J40" s="991">
        <f t="shared" si="19"/>
        <v>1990.1</v>
      </c>
      <c r="K40" s="1310"/>
      <c r="L40" s="991">
        <f t="shared" si="20"/>
        <v>1965.3</v>
      </c>
      <c r="M40" s="1310"/>
      <c r="N40" s="1310">
        <f t="shared" si="13"/>
        <v>0</v>
      </c>
      <c r="O40" s="1257">
        <f t="shared" si="21"/>
        <v>0</v>
      </c>
      <c r="P40" s="1257">
        <f t="shared" si="14"/>
        <v>0</v>
      </c>
      <c r="Q40" s="1257">
        <f t="shared" si="15"/>
        <v>0</v>
      </c>
      <c r="R40" s="1257">
        <f t="shared" si="16"/>
        <v>0</v>
      </c>
      <c r="S40" s="992"/>
      <c r="T40" s="989">
        <v>478</v>
      </c>
      <c r="U40" s="1183"/>
      <c r="V40" s="989">
        <v>654</v>
      </c>
      <c r="W40" s="1183"/>
      <c r="X40" s="154">
        <f t="shared" si="1"/>
        <v>0.36820083682008375</v>
      </c>
      <c r="Y40" s="992"/>
      <c r="Z40" s="989">
        <v>2254</v>
      </c>
      <c r="AA40" s="988"/>
      <c r="AB40" s="989">
        <v>2214</v>
      </c>
      <c r="AC40" s="1213"/>
      <c r="AD40" s="154">
        <f t="shared" si="2"/>
        <v>-1.7746228926353136E-2</v>
      </c>
      <c r="AE40" s="992"/>
      <c r="AF40" s="913">
        <v>3642</v>
      </c>
      <c r="AG40" s="988"/>
      <c r="AH40" s="913">
        <v>3117</v>
      </c>
      <c r="AI40" s="1213"/>
      <c r="AJ40" s="154">
        <f t="shared" si="3"/>
        <v>-0.14415156507413507</v>
      </c>
      <c r="AK40" s="992"/>
      <c r="AL40" s="913">
        <v>722</v>
      </c>
      <c r="AM40" s="988"/>
      <c r="AN40" s="913">
        <v>736</v>
      </c>
      <c r="AO40" s="1213"/>
      <c r="AP40" s="154">
        <f t="shared" si="4"/>
        <v>1.939058171745156E-2</v>
      </c>
      <c r="AQ40" s="992"/>
      <c r="AR40" s="913">
        <v>3857</v>
      </c>
      <c r="AS40" s="988"/>
      <c r="AT40" s="913">
        <v>4533</v>
      </c>
      <c r="AU40" s="1213"/>
      <c r="AV40" s="154">
        <f t="shared" si="5"/>
        <v>0.17526575058335503</v>
      </c>
      <c r="AW40" s="992"/>
      <c r="AX40" s="913">
        <v>3570</v>
      </c>
      <c r="AY40" s="988"/>
      <c r="AZ40" s="913">
        <v>3555</v>
      </c>
      <c r="BA40" s="1213"/>
      <c r="BB40" s="154">
        <f t="shared" si="6"/>
        <v>-4.2016806722688926E-3</v>
      </c>
      <c r="BC40" s="992"/>
      <c r="BD40" s="913">
        <v>791</v>
      </c>
      <c r="BE40" s="988"/>
      <c r="BF40" s="913">
        <v>686</v>
      </c>
      <c r="BG40" s="1213"/>
      <c r="BH40" s="154">
        <f t="shared" si="7"/>
        <v>-0.13274336283185839</v>
      </c>
      <c r="BI40" s="992"/>
      <c r="BJ40" s="913">
        <v>2326</v>
      </c>
      <c r="BK40" s="988"/>
      <c r="BL40" s="913">
        <v>2184</v>
      </c>
      <c r="BM40" s="1213"/>
      <c r="BN40" s="154">
        <f t="shared" si="8"/>
        <v>-6.1049011177988E-2</v>
      </c>
      <c r="BO40" s="992"/>
      <c r="BP40" s="913">
        <v>964</v>
      </c>
      <c r="BQ40" s="988"/>
      <c r="BR40" s="913">
        <v>793</v>
      </c>
      <c r="BS40" s="1213"/>
      <c r="BT40" s="154">
        <f t="shared" si="9"/>
        <v>-0.17738589211618261</v>
      </c>
      <c r="BU40" s="992"/>
      <c r="BV40" s="913">
        <v>1297</v>
      </c>
      <c r="BW40" s="988"/>
      <c r="BX40" s="913">
        <v>1181</v>
      </c>
      <c r="BY40" s="1213"/>
      <c r="BZ40" s="154">
        <f t="shared" si="10"/>
        <v>-8.9437162683114857E-2</v>
      </c>
      <c r="CA40" s="968"/>
      <c r="CC40" s="965"/>
      <c r="CD40" s="965"/>
      <c r="CE40" s="965"/>
      <c r="CF40" s="965"/>
      <c r="CG40" s="965"/>
      <c r="CH40" s="965"/>
      <c r="CI40" s="965"/>
      <c r="CJ40" s="965"/>
      <c r="CK40" s="965"/>
    </row>
    <row r="41" spans="1:89" s="886" customFormat="1" ht="28.5">
      <c r="A41" s="1642" t="s">
        <v>1989</v>
      </c>
      <c r="B41" s="1642" t="s">
        <v>1133</v>
      </c>
      <c r="C41" s="899">
        <v>19</v>
      </c>
      <c r="D41" s="986" t="s">
        <v>1132</v>
      </c>
      <c r="E41" s="995" t="s">
        <v>203</v>
      </c>
      <c r="F41" s="993"/>
      <c r="G41" s="1002" t="s">
        <v>400</v>
      </c>
      <c r="H41" s="991" t="s">
        <v>229</v>
      </c>
      <c r="I41" s="1652">
        <v>4</v>
      </c>
      <c r="J41" s="991">
        <f t="shared" si="19"/>
        <v>0</v>
      </c>
      <c r="K41" s="1309">
        <f>AVERAGE(BW41,BQ41,BK41,BE41,AY41,AS41,AM41,AG41,AA41,U41)</f>
        <v>3.9</v>
      </c>
      <c r="L41" s="991">
        <f t="shared" si="20"/>
        <v>0</v>
      </c>
      <c r="M41" s="1309">
        <f>AVERAGE(BY41,BS41,BM41,BG41,BA41,AU41,AO41,AI41,AC41,W41)</f>
        <v>3.9</v>
      </c>
      <c r="N41" s="1310">
        <f t="shared" si="13"/>
        <v>0</v>
      </c>
      <c r="O41" s="1257">
        <f t="shared" si="21"/>
        <v>0.10000000000000009</v>
      </c>
      <c r="P41" s="1257">
        <f t="shared" si="14"/>
        <v>7.0000000000000062E-2</v>
      </c>
      <c r="Q41" s="1257">
        <f t="shared" si="15"/>
        <v>7.7777777777777845E-3</v>
      </c>
      <c r="R41" s="1257">
        <f t="shared" si="16"/>
        <v>3.8888888888888922E-3</v>
      </c>
      <c r="S41" s="992"/>
      <c r="T41" s="989">
        <v>0</v>
      </c>
      <c r="U41" s="1654">
        <f>4-T41*2-T42*1</f>
        <v>4</v>
      </c>
      <c r="V41" s="989">
        <v>0</v>
      </c>
      <c r="W41" s="1654">
        <f>4-V41*2-V42*1</f>
        <v>4</v>
      </c>
      <c r="X41" s="154">
        <f t="shared" si="1"/>
        <v>0</v>
      </c>
      <c r="Y41" s="992"/>
      <c r="Z41" s="989">
        <v>0</v>
      </c>
      <c r="AA41" s="1631">
        <f>4-Z41*2-Z42*1</f>
        <v>4</v>
      </c>
      <c r="AB41" s="989">
        <v>0</v>
      </c>
      <c r="AC41" s="1630">
        <f>4-AB41*2-AB42*1</f>
        <v>4</v>
      </c>
      <c r="AD41" s="154">
        <f t="shared" si="2"/>
        <v>0</v>
      </c>
      <c r="AE41" s="992"/>
      <c r="AF41" s="989">
        <v>0</v>
      </c>
      <c r="AG41" s="1631">
        <f>4-AF41*2-AF42*1</f>
        <v>4</v>
      </c>
      <c r="AH41" s="989">
        <v>0</v>
      </c>
      <c r="AI41" s="1630">
        <f>4-AH41*2-AH42*1</f>
        <v>4</v>
      </c>
      <c r="AJ41" s="154">
        <f t="shared" si="3"/>
        <v>0</v>
      </c>
      <c r="AK41" s="992"/>
      <c r="AL41" s="989">
        <v>0</v>
      </c>
      <c r="AM41" s="1631">
        <f>4-AL41*2-AL42*1</f>
        <v>4</v>
      </c>
      <c r="AN41" s="989">
        <v>0</v>
      </c>
      <c r="AO41" s="1630">
        <f>4-AN41*2-AN42*1</f>
        <v>4</v>
      </c>
      <c r="AP41" s="154">
        <f t="shared" si="4"/>
        <v>0</v>
      </c>
      <c r="AQ41" s="992"/>
      <c r="AR41" s="989">
        <v>0</v>
      </c>
      <c r="AS41" s="1631">
        <f>4-AR41*2-AR42*1</f>
        <v>4</v>
      </c>
      <c r="AT41" s="989">
        <v>0</v>
      </c>
      <c r="AU41" s="1630">
        <f>4-AT41*2-AT42*1</f>
        <v>4</v>
      </c>
      <c r="AV41" s="154">
        <f t="shared" si="5"/>
        <v>0</v>
      </c>
      <c r="AW41" s="992"/>
      <c r="AX41" s="989">
        <v>0</v>
      </c>
      <c r="AY41" s="1631">
        <f>4-AX41*2-AX42*1</f>
        <v>4</v>
      </c>
      <c r="AZ41" s="989">
        <v>0</v>
      </c>
      <c r="BA41" s="1630">
        <f>4-AZ41*2-AZ42*1</f>
        <v>4</v>
      </c>
      <c r="BB41" s="154">
        <f t="shared" si="6"/>
        <v>0</v>
      </c>
      <c r="BC41" s="992"/>
      <c r="BD41" s="989">
        <v>0</v>
      </c>
      <c r="BE41" s="1631">
        <f>4-BD41*2-BD42*1</f>
        <v>4</v>
      </c>
      <c r="BF41" s="989">
        <v>0</v>
      </c>
      <c r="BG41" s="1630">
        <f>4-BF41*2-BF42*1</f>
        <v>4</v>
      </c>
      <c r="BH41" s="154">
        <f t="shared" si="7"/>
        <v>0</v>
      </c>
      <c r="BI41" s="992"/>
      <c r="BJ41" s="989">
        <v>0</v>
      </c>
      <c r="BK41" s="1631">
        <f>4-BJ41*2-BJ42*1</f>
        <v>4</v>
      </c>
      <c r="BL41" s="989">
        <v>0</v>
      </c>
      <c r="BM41" s="1630">
        <f>4-BL41*2-BL42*1</f>
        <v>4</v>
      </c>
      <c r="BN41" s="154">
        <f t="shared" si="8"/>
        <v>0</v>
      </c>
      <c r="BO41" s="992"/>
      <c r="BP41" s="989">
        <v>0</v>
      </c>
      <c r="BQ41" s="1631">
        <f>4-BP41*2-BP42*1</f>
        <v>4</v>
      </c>
      <c r="BR41" s="989">
        <v>0</v>
      </c>
      <c r="BS41" s="1630">
        <f>4-BR41*2-BR42*1</f>
        <v>4</v>
      </c>
      <c r="BT41" s="154">
        <f t="shared" si="9"/>
        <v>0</v>
      </c>
      <c r="BU41" s="992"/>
      <c r="BV41" s="989">
        <v>0</v>
      </c>
      <c r="BW41" s="1631">
        <f>4-BV41*2-BV42*1</f>
        <v>3</v>
      </c>
      <c r="BX41" s="989">
        <v>0</v>
      </c>
      <c r="BY41" s="1630">
        <f>4-BX41*2-BX42*1</f>
        <v>3</v>
      </c>
      <c r="BZ41" s="154">
        <f t="shared" si="10"/>
        <v>0</v>
      </c>
      <c r="CA41" s="968"/>
      <c r="CC41" s="965"/>
      <c r="CD41" s="965"/>
      <c r="CE41" s="965"/>
      <c r="CF41" s="965"/>
      <c r="CG41" s="965"/>
      <c r="CH41" s="965"/>
      <c r="CI41" s="965"/>
      <c r="CJ41" s="965"/>
      <c r="CK41" s="965"/>
    </row>
    <row r="42" spans="1:89" s="886" customFormat="1" ht="28.5">
      <c r="A42" s="1642"/>
      <c r="B42" s="1642"/>
      <c r="C42" s="899">
        <v>20</v>
      </c>
      <c r="D42" s="1345" t="s">
        <v>1672</v>
      </c>
      <c r="E42" s="995" t="s">
        <v>203</v>
      </c>
      <c r="F42" s="993"/>
      <c r="G42" s="1002" t="s">
        <v>399</v>
      </c>
      <c r="H42" s="991" t="s">
        <v>229</v>
      </c>
      <c r="I42" s="1652"/>
      <c r="J42" s="991">
        <f t="shared" si="19"/>
        <v>0.1</v>
      </c>
      <c r="K42" s="1310">
        <v>0</v>
      </c>
      <c r="L42" s="991">
        <f t="shared" si="20"/>
        <v>0.1</v>
      </c>
      <c r="M42" s="1310"/>
      <c r="N42" s="1310">
        <f t="shared" si="13"/>
        <v>0</v>
      </c>
      <c r="O42" s="1257">
        <f t="shared" si="21"/>
        <v>0</v>
      </c>
      <c r="P42" s="1257">
        <f t="shared" si="14"/>
        <v>0</v>
      </c>
      <c r="Q42" s="1257">
        <f t="shared" si="15"/>
        <v>0</v>
      </c>
      <c r="R42" s="1257">
        <f t="shared" si="16"/>
        <v>0</v>
      </c>
      <c r="S42" s="992"/>
      <c r="T42" s="989">
        <v>0</v>
      </c>
      <c r="U42" s="1654"/>
      <c r="V42" s="989">
        <v>0</v>
      </c>
      <c r="W42" s="1654"/>
      <c r="X42" s="154">
        <f t="shared" si="1"/>
        <v>0</v>
      </c>
      <c r="Y42" s="992"/>
      <c r="Z42" s="989">
        <v>0</v>
      </c>
      <c r="AA42" s="1631"/>
      <c r="AB42" s="989">
        <v>0</v>
      </c>
      <c r="AC42" s="1630"/>
      <c r="AD42" s="154">
        <f t="shared" si="2"/>
        <v>0</v>
      </c>
      <c r="AE42" s="992"/>
      <c r="AF42" s="989">
        <v>0</v>
      </c>
      <c r="AG42" s="1631"/>
      <c r="AH42" s="989">
        <v>0</v>
      </c>
      <c r="AI42" s="1630"/>
      <c r="AJ42" s="154">
        <f t="shared" si="3"/>
        <v>0</v>
      </c>
      <c r="AK42" s="992"/>
      <c r="AL42" s="989">
        <v>0</v>
      </c>
      <c r="AM42" s="1631"/>
      <c r="AN42" s="989">
        <v>0</v>
      </c>
      <c r="AO42" s="1630"/>
      <c r="AP42" s="154">
        <f t="shared" si="4"/>
        <v>0</v>
      </c>
      <c r="AQ42" s="992"/>
      <c r="AR42" s="989">
        <v>0</v>
      </c>
      <c r="AS42" s="1631"/>
      <c r="AT42" s="989">
        <v>0</v>
      </c>
      <c r="AU42" s="1630"/>
      <c r="AV42" s="154">
        <f t="shared" si="5"/>
        <v>0</v>
      </c>
      <c r="AW42" s="992"/>
      <c r="AX42" s="989">
        <v>0</v>
      </c>
      <c r="AY42" s="1631"/>
      <c r="AZ42" s="989">
        <v>0</v>
      </c>
      <c r="BA42" s="1630"/>
      <c r="BB42" s="154">
        <f t="shared" si="6"/>
        <v>0</v>
      </c>
      <c r="BC42" s="992"/>
      <c r="BD42" s="989">
        <v>0</v>
      </c>
      <c r="BE42" s="1631"/>
      <c r="BF42" s="989">
        <v>0</v>
      </c>
      <c r="BG42" s="1630"/>
      <c r="BH42" s="154">
        <f t="shared" si="7"/>
        <v>0</v>
      </c>
      <c r="BI42" s="992"/>
      <c r="BJ42" s="989">
        <v>0</v>
      </c>
      <c r="BK42" s="1631"/>
      <c r="BL42" s="989">
        <v>0</v>
      </c>
      <c r="BM42" s="1630"/>
      <c r="BN42" s="154">
        <f t="shared" si="8"/>
        <v>0</v>
      </c>
      <c r="BO42" s="992"/>
      <c r="BP42" s="989">
        <v>0</v>
      </c>
      <c r="BQ42" s="1631"/>
      <c r="BR42" s="989">
        <v>0</v>
      </c>
      <c r="BS42" s="1630"/>
      <c r="BT42" s="154">
        <f t="shared" si="9"/>
        <v>0</v>
      </c>
      <c r="BU42" s="992"/>
      <c r="BV42" s="989">
        <v>1</v>
      </c>
      <c r="BW42" s="1631"/>
      <c r="BX42" s="989">
        <v>1</v>
      </c>
      <c r="BY42" s="1630"/>
      <c r="BZ42" s="154">
        <f t="shared" si="10"/>
        <v>0</v>
      </c>
      <c r="CA42" s="968"/>
      <c r="CC42" s="965"/>
      <c r="CD42" s="965"/>
      <c r="CE42" s="965"/>
      <c r="CF42" s="965"/>
      <c r="CG42" s="965"/>
      <c r="CH42" s="965"/>
      <c r="CI42" s="965"/>
      <c r="CJ42" s="965"/>
      <c r="CK42" s="965"/>
    </row>
    <row r="43" spans="1:89" s="886" customFormat="1" ht="28.5">
      <c r="A43" s="1642" t="s">
        <v>1990</v>
      </c>
      <c r="B43" s="1642" t="s">
        <v>1134</v>
      </c>
      <c r="C43" s="899">
        <v>21</v>
      </c>
      <c r="D43" s="986" t="s">
        <v>1673</v>
      </c>
      <c r="E43" s="995" t="s">
        <v>1102</v>
      </c>
      <c r="F43" s="993" t="s">
        <v>1483</v>
      </c>
      <c r="G43" s="1002" t="s">
        <v>1484</v>
      </c>
      <c r="H43" s="991" t="s">
        <v>229</v>
      </c>
      <c r="I43" s="1652">
        <v>6</v>
      </c>
      <c r="J43" s="991">
        <f t="shared" si="19"/>
        <v>0</v>
      </c>
      <c r="K43" s="1310">
        <f>AVERAGE(BW43,BQ43,BK43,BE43,AY43,AS43,AM43,AG43,AA43,U43)</f>
        <v>6</v>
      </c>
      <c r="L43" s="991">
        <f t="shared" si="20"/>
        <v>0</v>
      </c>
      <c r="M43" s="1310">
        <f>AVERAGE(BY43,BS43,BM43,BG43,BA43,AU43,AO43,AI43,AC43,W43)</f>
        <v>6</v>
      </c>
      <c r="N43" s="1310">
        <f t="shared" si="13"/>
        <v>0</v>
      </c>
      <c r="O43" s="1257">
        <f t="shared" si="21"/>
        <v>0</v>
      </c>
      <c r="P43" s="1257">
        <f t="shared" si="14"/>
        <v>0</v>
      </c>
      <c r="Q43" s="1257">
        <f t="shared" si="15"/>
        <v>0</v>
      </c>
      <c r="R43" s="1257">
        <f t="shared" si="16"/>
        <v>0</v>
      </c>
      <c r="S43" s="992"/>
      <c r="T43" s="989">
        <v>0</v>
      </c>
      <c r="U43" s="1654">
        <f>6-T43*0.5-T44*3</f>
        <v>6</v>
      </c>
      <c r="V43" s="989">
        <v>0</v>
      </c>
      <c r="W43" s="1654">
        <f>6-V43*0.5-V44*3</f>
        <v>6</v>
      </c>
      <c r="X43" s="154">
        <f t="shared" si="1"/>
        <v>0</v>
      </c>
      <c r="Y43" s="992"/>
      <c r="Z43" s="989">
        <v>0</v>
      </c>
      <c r="AA43" s="1631">
        <f>6-Z43*0.5-Z44*3</f>
        <v>6</v>
      </c>
      <c r="AB43" s="989">
        <v>0</v>
      </c>
      <c r="AC43" s="1630">
        <f>6-AB43*0.5-AB44*3</f>
        <v>6</v>
      </c>
      <c r="AD43" s="154">
        <f t="shared" si="2"/>
        <v>0</v>
      </c>
      <c r="AE43" s="992"/>
      <c r="AF43" s="989">
        <v>0</v>
      </c>
      <c r="AG43" s="1631">
        <f>6-AF43*0.5-AF44*3</f>
        <v>6</v>
      </c>
      <c r="AH43" s="989">
        <v>0</v>
      </c>
      <c r="AI43" s="1630">
        <f>6-AH43*0.5-AH44*3</f>
        <v>6</v>
      </c>
      <c r="AJ43" s="154">
        <f t="shared" si="3"/>
        <v>0</v>
      </c>
      <c r="AK43" s="992"/>
      <c r="AL43" s="989">
        <v>0</v>
      </c>
      <c r="AM43" s="1631">
        <f>6-AL43*0.5-AL44*3</f>
        <v>6</v>
      </c>
      <c r="AN43" s="989">
        <v>0</v>
      </c>
      <c r="AO43" s="1630">
        <f>6-AN43*0.5-AN44*3</f>
        <v>6</v>
      </c>
      <c r="AP43" s="154">
        <f t="shared" si="4"/>
        <v>0</v>
      </c>
      <c r="AQ43" s="992"/>
      <c r="AR43" s="989">
        <v>0</v>
      </c>
      <c r="AS43" s="1631">
        <f>6-AR43*0.5-AR44*3</f>
        <v>6</v>
      </c>
      <c r="AT43" s="989">
        <v>0</v>
      </c>
      <c r="AU43" s="1630">
        <f>6-AT43*0.5-AT44*3</f>
        <v>6</v>
      </c>
      <c r="AV43" s="154">
        <f t="shared" si="5"/>
        <v>0</v>
      </c>
      <c r="AW43" s="992"/>
      <c r="AX43" s="989">
        <v>0</v>
      </c>
      <c r="AY43" s="1631">
        <f>6-AX43*0.5-AX44*3</f>
        <v>6</v>
      </c>
      <c r="AZ43" s="989">
        <v>0</v>
      </c>
      <c r="BA43" s="1630">
        <f>6-AZ43*0.5-AZ44*3</f>
        <v>6</v>
      </c>
      <c r="BB43" s="154">
        <f t="shared" si="6"/>
        <v>0</v>
      </c>
      <c r="BC43" s="992"/>
      <c r="BD43" s="989">
        <v>0</v>
      </c>
      <c r="BE43" s="1631">
        <f>6-BD43*0.5-BD44*3</f>
        <v>6</v>
      </c>
      <c r="BF43" s="989">
        <v>0</v>
      </c>
      <c r="BG43" s="1630">
        <f>6-BF43*0.5-BF44*3</f>
        <v>6</v>
      </c>
      <c r="BH43" s="154">
        <f t="shared" si="7"/>
        <v>0</v>
      </c>
      <c r="BI43" s="992"/>
      <c r="BJ43" s="989">
        <v>0</v>
      </c>
      <c r="BK43" s="1631">
        <f>6-BJ43*0.5-BJ44*3</f>
        <v>6</v>
      </c>
      <c r="BL43" s="989">
        <v>0</v>
      </c>
      <c r="BM43" s="1630">
        <f>6-BL43*0.5-BL44*3</f>
        <v>6</v>
      </c>
      <c r="BN43" s="154">
        <f t="shared" si="8"/>
        <v>0</v>
      </c>
      <c r="BO43" s="992"/>
      <c r="BP43" s="989">
        <v>0</v>
      </c>
      <c r="BQ43" s="1631">
        <f>6-BP43*0.5-BP44*3</f>
        <v>6</v>
      </c>
      <c r="BR43" s="989">
        <v>0</v>
      </c>
      <c r="BS43" s="1630">
        <f>6-BR43*0.5-BR44*3</f>
        <v>6</v>
      </c>
      <c r="BT43" s="154">
        <f t="shared" si="9"/>
        <v>0</v>
      </c>
      <c r="BU43" s="992"/>
      <c r="BV43" s="989">
        <v>0</v>
      </c>
      <c r="BW43" s="1631">
        <f>6-BV43*0.5-BV44*3</f>
        <v>6</v>
      </c>
      <c r="BX43" s="989">
        <v>0</v>
      </c>
      <c r="BY43" s="1630">
        <f>6-BX43*0.5-BX44*3</f>
        <v>6</v>
      </c>
      <c r="BZ43" s="154">
        <f t="shared" si="10"/>
        <v>0</v>
      </c>
      <c r="CA43" s="968"/>
      <c r="CC43" s="965"/>
      <c r="CD43" s="965"/>
      <c r="CE43" s="965"/>
      <c r="CF43" s="965"/>
      <c r="CG43" s="965"/>
      <c r="CH43" s="965"/>
      <c r="CI43" s="965"/>
      <c r="CJ43" s="965"/>
      <c r="CK43" s="965"/>
    </row>
    <row r="44" spans="1:89" s="886" customFormat="1" ht="28.5">
      <c r="A44" s="1642"/>
      <c r="B44" s="1642"/>
      <c r="C44" s="899">
        <v>22</v>
      </c>
      <c r="D44" s="986" t="s">
        <v>1135</v>
      </c>
      <c r="E44" s="995" t="s">
        <v>1102</v>
      </c>
      <c r="F44" s="993" t="s">
        <v>1483</v>
      </c>
      <c r="G44" s="1002" t="s">
        <v>399</v>
      </c>
      <c r="H44" s="991" t="s">
        <v>229</v>
      </c>
      <c r="I44" s="1652"/>
      <c r="J44" s="991">
        <f t="shared" si="19"/>
        <v>0</v>
      </c>
      <c r="K44" s="1310">
        <v>0</v>
      </c>
      <c r="L44" s="991">
        <f t="shared" si="20"/>
        <v>0</v>
      </c>
      <c r="M44" s="1310"/>
      <c r="N44" s="1310">
        <f t="shared" si="13"/>
        <v>0</v>
      </c>
      <c r="O44" s="1257">
        <f t="shared" si="21"/>
        <v>0</v>
      </c>
      <c r="P44" s="1257">
        <f t="shared" si="14"/>
        <v>0</v>
      </c>
      <c r="Q44" s="1257">
        <f t="shared" si="15"/>
        <v>0</v>
      </c>
      <c r="R44" s="1257">
        <f t="shared" si="16"/>
        <v>0</v>
      </c>
      <c r="S44" s="992"/>
      <c r="T44" s="989">
        <v>0</v>
      </c>
      <c r="U44" s="1654"/>
      <c r="V44" s="989">
        <v>0</v>
      </c>
      <c r="W44" s="1654"/>
      <c r="X44" s="154">
        <f t="shared" si="1"/>
        <v>0</v>
      </c>
      <c r="Y44" s="992"/>
      <c r="Z44" s="989">
        <v>0</v>
      </c>
      <c r="AA44" s="1631"/>
      <c r="AB44" s="989">
        <v>0</v>
      </c>
      <c r="AC44" s="1630"/>
      <c r="AD44" s="154">
        <f t="shared" si="2"/>
        <v>0</v>
      </c>
      <c r="AE44" s="992"/>
      <c r="AF44" s="989">
        <v>0</v>
      </c>
      <c r="AG44" s="1631"/>
      <c r="AH44" s="989">
        <v>0</v>
      </c>
      <c r="AI44" s="1630"/>
      <c r="AJ44" s="154">
        <f t="shared" si="3"/>
        <v>0</v>
      </c>
      <c r="AK44" s="992"/>
      <c r="AL44" s="989">
        <v>0</v>
      </c>
      <c r="AM44" s="1631"/>
      <c r="AN44" s="989">
        <v>0</v>
      </c>
      <c r="AO44" s="1630"/>
      <c r="AP44" s="154">
        <f t="shared" si="4"/>
        <v>0</v>
      </c>
      <c r="AQ44" s="992"/>
      <c r="AR44" s="989">
        <v>0</v>
      </c>
      <c r="AS44" s="1631"/>
      <c r="AT44" s="989">
        <v>0</v>
      </c>
      <c r="AU44" s="1630"/>
      <c r="AV44" s="154">
        <f t="shared" si="5"/>
        <v>0</v>
      </c>
      <c r="AW44" s="992"/>
      <c r="AX44" s="989">
        <v>0</v>
      </c>
      <c r="AY44" s="1631"/>
      <c r="AZ44" s="989">
        <v>0</v>
      </c>
      <c r="BA44" s="1630"/>
      <c r="BB44" s="154">
        <f t="shared" si="6"/>
        <v>0</v>
      </c>
      <c r="BC44" s="992"/>
      <c r="BD44" s="989">
        <v>0</v>
      </c>
      <c r="BE44" s="1631"/>
      <c r="BF44" s="989">
        <v>0</v>
      </c>
      <c r="BG44" s="1630"/>
      <c r="BH44" s="154">
        <f t="shared" si="7"/>
        <v>0</v>
      </c>
      <c r="BI44" s="992"/>
      <c r="BJ44" s="989">
        <v>0</v>
      </c>
      <c r="BK44" s="1631"/>
      <c r="BL44" s="989">
        <v>0</v>
      </c>
      <c r="BM44" s="1630"/>
      <c r="BN44" s="154">
        <f t="shared" si="8"/>
        <v>0</v>
      </c>
      <c r="BO44" s="992"/>
      <c r="BP44" s="989">
        <v>0</v>
      </c>
      <c r="BQ44" s="1631"/>
      <c r="BR44" s="989">
        <v>0</v>
      </c>
      <c r="BS44" s="1630"/>
      <c r="BT44" s="154">
        <f t="shared" si="9"/>
        <v>0</v>
      </c>
      <c r="BU44" s="992"/>
      <c r="BV44" s="989">
        <v>0</v>
      </c>
      <c r="BW44" s="1631"/>
      <c r="BX44" s="989">
        <v>0</v>
      </c>
      <c r="BY44" s="1630"/>
      <c r="BZ44" s="154">
        <f t="shared" si="10"/>
        <v>0</v>
      </c>
      <c r="CA44" s="968"/>
      <c r="CC44" s="965"/>
      <c r="CD44" s="965"/>
      <c r="CE44" s="965"/>
      <c r="CF44" s="965"/>
      <c r="CG44" s="965"/>
      <c r="CH44" s="965"/>
      <c r="CI44" s="965"/>
      <c r="CJ44" s="965"/>
      <c r="CK44" s="965"/>
    </row>
    <row r="45" spans="1:89" s="886" customFormat="1" ht="14.25">
      <c r="A45" s="1642" t="s">
        <v>1136</v>
      </c>
      <c r="B45" s="1642" t="s">
        <v>1887</v>
      </c>
      <c r="C45" s="899">
        <v>23</v>
      </c>
      <c r="D45" s="1033" t="s">
        <v>1704</v>
      </c>
      <c r="E45" s="995"/>
      <c r="F45" s="988"/>
      <c r="G45" s="988" t="s">
        <v>394</v>
      </c>
      <c r="H45" s="989" t="s">
        <v>229</v>
      </c>
      <c r="I45" s="990">
        <v>3</v>
      </c>
      <c r="J45" s="1212">
        <f t="shared" si="19"/>
        <v>0.94047697128683827</v>
      </c>
      <c r="K45" s="1309">
        <f>AVERAGE(BW45,BQ45,BK45,BE45,AY45,AS45,AM45,AG45,AA45,U45)</f>
        <v>2.85</v>
      </c>
      <c r="L45" s="1212">
        <f t="shared" si="20"/>
        <v>0.94282411489884799</v>
      </c>
      <c r="M45" s="1309">
        <f>AVERAGE(BY45,BS45,BM45,BG45,BA45,AU45,AO45,AI45,AC45,W45)</f>
        <v>3</v>
      </c>
      <c r="N45" s="1310">
        <f t="shared" si="13"/>
        <v>0.14999999999999991</v>
      </c>
      <c r="O45" s="1257">
        <f t="shared" si="21"/>
        <v>0</v>
      </c>
      <c r="P45" s="1257">
        <f t="shared" si="14"/>
        <v>0</v>
      </c>
      <c r="Q45" s="1257">
        <f t="shared" si="15"/>
        <v>0</v>
      </c>
      <c r="R45" s="1257">
        <f t="shared" si="16"/>
        <v>0</v>
      </c>
      <c r="S45" s="992"/>
      <c r="T45" s="1180">
        <v>0.96689461986831438</v>
      </c>
      <c r="U45" s="1183">
        <f>IF(T45&gt;=0.9,3,IF(T45&gt;=0.8,1.5,0))</f>
        <v>3</v>
      </c>
      <c r="V45" s="1180">
        <f>IF(V47=0,"",V46/V47)</f>
        <v>0.96704578542694863</v>
      </c>
      <c r="W45" s="1183">
        <f>IF(V45&gt;=0.9,3,IF(V45&gt;=0.8,1.5,0))</f>
        <v>3</v>
      </c>
      <c r="X45" s="154">
        <f t="shared" si="1"/>
        <v>1.5634129669162E-4</v>
      </c>
      <c r="Y45" s="992"/>
      <c r="Z45" s="1180">
        <v>0.95012201016475151</v>
      </c>
      <c r="AA45" s="1211">
        <f>IF(Z45&gt;=0.9,3,IF(Z45&gt;=0.8,1.5,0))</f>
        <v>3</v>
      </c>
      <c r="AB45" s="1180">
        <f>IF(AB47=0,"",AB46/AB47)</f>
        <v>0.93932798027488051</v>
      </c>
      <c r="AC45" s="1213">
        <f>IF(AB45&gt;=0.9,3,IF(AB45&gt;=0.8,1.5,0))</f>
        <v>3</v>
      </c>
      <c r="AD45" s="154">
        <f t="shared" si="2"/>
        <v>-1.136067765444071E-2</v>
      </c>
      <c r="AE45" s="992"/>
      <c r="AF45" s="1180">
        <v>0.93960924247305555</v>
      </c>
      <c r="AG45" s="1213">
        <f>IF(AF45&gt;=0.9,3,IF(AF45&gt;=0.8,1.5,0))</f>
        <v>3</v>
      </c>
      <c r="AH45" s="1180">
        <f>IF(AH47=0,"",AH46/AH47)</f>
        <v>0.9313771022140509</v>
      </c>
      <c r="AI45" s="1213">
        <f>IF(AH45&gt;=0.9,3,IF(AH45&gt;=0.8,1.5,0))</f>
        <v>3</v>
      </c>
      <c r="AJ45" s="154">
        <f t="shared" si="3"/>
        <v>-8.7612380624711994E-3</v>
      </c>
      <c r="AK45" s="992"/>
      <c r="AL45" s="1180">
        <v>0.94828107013240748</v>
      </c>
      <c r="AM45" s="1213">
        <f>IF(AL45&gt;=0.9,3,IF(AL45&gt;=0.8,1.5,0))</f>
        <v>3</v>
      </c>
      <c r="AN45" s="1180">
        <f>IF(AN47=0,"",AN46/AN47)</f>
        <v>0.96562985036576277</v>
      </c>
      <c r="AO45" s="1213">
        <f>IF(AN45&gt;=0.9,3,IF(AN45&gt;=0.8,1.5,0))</f>
        <v>3</v>
      </c>
      <c r="AP45" s="154">
        <f t="shared" si="4"/>
        <v>1.8294976858425516E-2</v>
      </c>
      <c r="AQ45" s="992"/>
      <c r="AR45" s="1180">
        <v>0.95240086561620496</v>
      </c>
      <c r="AS45" s="1211">
        <f>IF(AR45&gt;=0.9,3,IF(AR45&gt;=0.8,1.5,0))</f>
        <v>3</v>
      </c>
      <c r="AT45" s="1180">
        <f>IF(AT47=0,"",AT46/AT47)</f>
        <v>0.94617236888934164</v>
      </c>
      <c r="AU45" s="1213">
        <f>IF(AT45&gt;=0.9,3,IF(AT45&gt;=0.8,1.5,0))</f>
        <v>3</v>
      </c>
      <c r="AV45" s="154">
        <f t="shared" si="5"/>
        <v>-6.5397848235191347E-3</v>
      </c>
      <c r="AW45" s="992"/>
      <c r="AX45" s="1180">
        <v>0.92791493060099861</v>
      </c>
      <c r="AY45" s="988">
        <f>IF(AX45&gt;=0.9,3,IF(AX45&gt;=0.8,1.5,0))</f>
        <v>3</v>
      </c>
      <c r="AZ45" s="1180">
        <f>IF(AZ47=0,"",AZ46/AZ47)</f>
        <v>0.94590511083789552</v>
      </c>
      <c r="BA45" s="1213">
        <f>IF(AZ45&gt;=0.9,3,IF(AZ45&gt;=0.8,1.5,0))</f>
        <v>3</v>
      </c>
      <c r="BB45" s="154">
        <f t="shared" si="6"/>
        <v>1.9387747350120721E-2</v>
      </c>
      <c r="BC45" s="992"/>
      <c r="BD45" s="1180">
        <v>0.9563136713476319</v>
      </c>
      <c r="BE45" s="1211">
        <f>IF(BD45&gt;=0.9,3,IF(BD45&gt;=0.8,1.5,0))</f>
        <v>3</v>
      </c>
      <c r="BF45" s="1180">
        <f>IF(BF47=0,"",BF46/BF47)</f>
        <v>0.94122865076535789</v>
      </c>
      <c r="BG45" s="1213">
        <f>IF(BF45&gt;=0.9,3,IF(BF45&gt;=0.8,1.5,0))</f>
        <v>3</v>
      </c>
      <c r="BH45" s="154">
        <f t="shared" si="7"/>
        <v>-1.5774134611101331E-2</v>
      </c>
      <c r="BI45" s="992"/>
      <c r="BJ45" s="1180">
        <v>0.9359793558334315</v>
      </c>
      <c r="BK45" s="1213">
        <f>IF(BJ45&gt;=0.9,3,IF(BJ45&gt;=0.8,1.5,0))</f>
        <v>3</v>
      </c>
      <c r="BL45" s="1180">
        <f>IF(BL47=0,"",BL46/BL47)</f>
        <v>0.93060563796892681</v>
      </c>
      <c r="BM45" s="1213">
        <f>IF(BL45&gt;=0.9,3,IF(BL45&gt;=0.8,1.5,0))</f>
        <v>3</v>
      </c>
      <c r="BN45" s="154">
        <f t="shared" si="8"/>
        <v>-5.7412781927436152E-3</v>
      </c>
      <c r="BO45" s="992"/>
      <c r="BP45" s="1180">
        <v>0.89223377081881861</v>
      </c>
      <c r="BQ45" s="1213">
        <f>IF(BP45&gt;=0.9,3,IF(BP45&gt;=0.8,1.5,0))</f>
        <v>1.5</v>
      </c>
      <c r="BR45" s="1180">
        <f>IF(BR47=0,"",BR46/BR47)</f>
        <v>0.92515866434948846</v>
      </c>
      <c r="BS45" s="1213">
        <f>IF(BR45&gt;=0.9,3,IF(BR45&gt;=0.8,1.5,0))</f>
        <v>3</v>
      </c>
      <c r="BT45" s="154">
        <f t="shared" si="9"/>
        <v>3.6901644622187035E-2</v>
      </c>
      <c r="BU45" s="992"/>
      <c r="BV45" s="1180">
        <v>0.93502017601276743</v>
      </c>
      <c r="BW45" s="1213">
        <f>IF(BV45&gt;=0.9,3,IF(BV45&gt;=0.8,1.5,0))</f>
        <v>3</v>
      </c>
      <c r="BX45" s="1180">
        <f>IF(BX47=0,"",BX46/BX47)</f>
        <v>0.93578999789582662</v>
      </c>
      <c r="BY45" s="1213">
        <f>IF(BX45&gt;=0.9,3,IF(BX45&gt;=0.8,1.5,0))</f>
        <v>3</v>
      </c>
      <c r="BZ45" s="154">
        <f t="shared" si="10"/>
        <v>8.2332114622585273E-4</v>
      </c>
      <c r="CA45" s="968"/>
      <c r="CC45" s="965"/>
      <c r="CD45" s="965"/>
      <c r="CE45" s="965"/>
      <c r="CF45" s="965"/>
      <c r="CG45" s="965"/>
      <c r="CH45" s="965"/>
      <c r="CI45" s="965"/>
      <c r="CJ45" s="965"/>
      <c r="CK45" s="965"/>
    </row>
    <row r="46" spans="1:89" s="886" customFormat="1" ht="14.25">
      <c r="A46" s="1643"/>
      <c r="B46" s="1643"/>
      <c r="C46" s="913">
        <v>23.1</v>
      </c>
      <c r="D46" s="994" t="s">
        <v>2102</v>
      </c>
      <c r="E46" s="995" t="s">
        <v>2100</v>
      </c>
      <c r="F46" s="1017" t="s">
        <v>1485</v>
      </c>
      <c r="G46" s="1002"/>
      <c r="H46" s="991"/>
      <c r="I46" s="988"/>
      <c r="J46" s="991">
        <f t="shared" si="19"/>
        <v>52874309.299999997</v>
      </c>
      <c r="K46" s="1310"/>
      <c r="L46" s="991">
        <f t="shared" si="20"/>
        <v>64980667.200000003</v>
      </c>
      <c r="M46" s="1310"/>
      <c r="N46" s="1310">
        <f t="shared" si="13"/>
        <v>0</v>
      </c>
      <c r="O46" s="1257">
        <f t="shared" si="21"/>
        <v>0</v>
      </c>
      <c r="P46" s="1257">
        <f t="shared" si="14"/>
        <v>0</v>
      </c>
      <c r="Q46" s="1257">
        <f t="shared" si="15"/>
        <v>0</v>
      </c>
      <c r="R46" s="1257">
        <f t="shared" si="16"/>
        <v>0</v>
      </c>
      <c r="S46" s="992"/>
      <c r="T46" s="989">
        <v>25510333</v>
      </c>
      <c r="U46" s="1183"/>
      <c r="V46" s="989">
        <v>31670734</v>
      </c>
      <c r="W46" s="1183"/>
      <c r="X46" s="154">
        <f t="shared" si="1"/>
        <v>0.24148649882382944</v>
      </c>
      <c r="Y46" s="992"/>
      <c r="Z46" s="989">
        <v>79742470</v>
      </c>
      <c r="AA46" s="988"/>
      <c r="AB46" s="989">
        <v>121619974</v>
      </c>
      <c r="AC46" s="1213"/>
      <c r="AD46" s="154">
        <f t="shared" si="2"/>
        <v>0.52515935360417099</v>
      </c>
      <c r="AE46" s="992"/>
      <c r="AF46" s="989">
        <v>101924106.00000001</v>
      </c>
      <c r="AG46" s="988"/>
      <c r="AH46" s="989">
        <v>105925217</v>
      </c>
      <c r="AI46" s="1213"/>
      <c r="AJ46" s="154">
        <f t="shared" si="3"/>
        <v>3.9255787046098556E-2</v>
      </c>
      <c r="AK46" s="992"/>
      <c r="AL46" s="989">
        <v>27509685.999999996</v>
      </c>
      <c r="AM46" s="988"/>
      <c r="AN46" s="989">
        <v>49906607</v>
      </c>
      <c r="AO46" s="1213"/>
      <c r="AP46" s="154">
        <f t="shared" si="4"/>
        <v>0.81414673362683998</v>
      </c>
      <c r="AQ46" s="992"/>
      <c r="AR46" s="989">
        <v>91853910.999999985</v>
      </c>
      <c r="AS46" s="988"/>
      <c r="AT46" s="989">
        <v>101835250</v>
      </c>
      <c r="AU46" s="1213"/>
      <c r="AV46" s="154">
        <f t="shared" si="5"/>
        <v>0.10866536755304868</v>
      </c>
      <c r="AW46" s="992"/>
      <c r="AX46" s="989">
        <v>91744831</v>
      </c>
      <c r="AY46" s="988"/>
      <c r="AZ46" s="989">
        <v>101807104</v>
      </c>
      <c r="BA46" s="1213"/>
      <c r="BB46" s="154">
        <f t="shared" si="6"/>
        <v>0.10967672936255113</v>
      </c>
      <c r="BC46" s="992"/>
      <c r="BD46" s="989">
        <v>16046208</v>
      </c>
      <c r="BE46" s="988"/>
      <c r="BF46" s="989">
        <v>17864036</v>
      </c>
      <c r="BG46" s="1213"/>
      <c r="BH46" s="154">
        <f t="shared" si="7"/>
        <v>0.11328707692184969</v>
      </c>
      <c r="BI46" s="992"/>
      <c r="BJ46" s="989">
        <v>61347230</v>
      </c>
      <c r="BK46" s="988"/>
      <c r="BL46" s="989">
        <v>76730954</v>
      </c>
      <c r="BM46" s="1213"/>
      <c r="BN46" s="154">
        <f t="shared" si="8"/>
        <v>0.25076476965626648</v>
      </c>
      <c r="BO46" s="992"/>
      <c r="BP46" s="989">
        <v>11862785.999999998</v>
      </c>
      <c r="BQ46" s="988"/>
      <c r="BR46" s="989">
        <v>16701350</v>
      </c>
      <c r="BS46" s="1213"/>
      <c r="BT46" s="154">
        <f t="shared" si="9"/>
        <v>0.40787754242553165</v>
      </c>
      <c r="BU46" s="992"/>
      <c r="BV46" s="989">
        <v>21201531.999999996</v>
      </c>
      <c r="BW46" s="988"/>
      <c r="BX46" s="989">
        <v>25745446</v>
      </c>
      <c r="BY46" s="1213"/>
      <c r="BZ46" s="154">
        <f t="shared" si="10"/>
        <v>0.21432007837924183</v>
      </c>
      <c r="CA46" s="968"/>
      <c r="CC46" s="965"/>
      <c r="CD46" s="965"/>
      <c r="CE46" s="965"/>
      <c r="CF46" s="965"/>
      <c r="CG46" s="965"/>
      <c r="CH46" s="965"/>
      <c r="CI46" s="965"/>
      <c r="CJ46" s="965"/>
      <c r="CK46" s="965"/>
    </row>
    <row r="47" spans="1:89" s="886" customFormat="1" ht="14.25">
      <c r="A47" s="1643"/>
      <c r="B47" s="1643"/>
      <c r="C47" s="913">
        <v>23.2</v>
      </c>
      <c r="D47" s="994" t="s">
        <v>2103</v>
      </c>
      <c r="E47" s="995" t="s">
        <v>2100</v>
      </c>
      <c r="F47" s="1017" t="s">
        <v>1486</v>
      </c>
      <c r="G47" s="1002"/>
      <c r="H47" s="991"/>
      <c r="I47" s="988"/>
      <c r="J47" s="991">
        <f t="shared" si="19"/>
        <v>56140724.5</v>
      </c>
      <c r="K47" s="1310"/>
      <c r="L47" s="991">
        <f t="shared" si="20"/>
        <v>68989267.900000006</v>
      </c>
      <c r="M47" s="1310"/>
      <c r="N47" s="1310">
        <f t="shared" si="13"/>
        <v>0</v>
      </c>
      <c r="O47" s="1257">
        <f t="shared" si="21"/>
        <v>0</v>
      </c>
      <c r="P47" s="1257">
        <f t="shared" si="14"/>
        <v>0</v>
      </c>
      <c r="Q47" s="1257">
        <f t="shared" si="15"/>
        <v>0</v>
      </c>
      <c r="R47" s="1257">
        <f t="shared" si="16"/>
        <v>0</v>
      </c>
      <c r="S47" s="992"/>
      <c r="T47" s="989">
        <v>26383778.000000004</v>
      </c>
      <c r="U47" s="1183"/>
      <c r="V47" s="989">
        <v>32749984</v>
      </c>
      <c r="W47" s="1183"/>
      <c r="X47" s="154">
        <f t="shared" si="1"/>
        <v>0.24129243355519425</v>
      </c>
      <c r="Y47" s="992"/>
      <c r="Z47" s="989">
        <v>83928663</v>
      </c>
      <c r="AA47" s="988"/>
      <c r="AB47" s="989">
        <v>129475515</v>
      </c>
      <c r="AC47" s="1213"/>
      <c r="AD47" s="154">
        <f t="shared" si="2"/>
        <v>0.54268530406590654</v>
      </c>
      <c r="AE47" s="992"/>
      <c r="AF47" s="989">
        <v>108474993.00000001</v>
      </c>
      <c r="AG47" s="988"/>
      <c r="AH47" s="989">
        <v>113729677</v>
      </c>
      <c r="AI47" s="1213"/>
      <c r="AJ47" s="154">
        <f t="shared" si="3"/>
        <v>4.8441432026642195E-2</v>
      </c>
      <c r="AK47" s="992"/>
      <c r="AL47" s="989">
        <v>29010054.999999996</v>
      </c>
      <c r="AM47" s="988"/>
      <c r="AN47" s="989">
        <v>51682958</v>
      </c>
      <c r="AO47" s="1213"/>
      <c r="AP47" s="154">
        <f t="shared" si="4"/>
        <v>0.78155325799968334</v>
      </c>
      <c r="AQ47" s="992"/>
      <c r="AR47" s="989">
        <v>96444590</v>
      </c>
      <c r="AS47" s="988"/>
      <c r="AT47" s="989">
        <v>107628645</v>
      </c>
      <c r="AU47" s="1213"/>
      <c r="AV47" s="154">
        <f t="shared" si="5"/>
        <v>0.11596352890296902</v>
      </c>
      <c r="AW47" s="992"/>
      <c r="AX47" s="989">
        <v>98872028.000000015</v>
      </c>
      <c r="AY47" s="988"/>
      <c r="AZ47" s="989">
        <v>107629299</v>
      </c>
      <c r="BA47" s="1213"/>
      <c r="BB47" s="154">
        <f t="shared" si="6"/>
        <v>8.8571774819871107E-2</v>
      </c>
      <c r="BC47" s="992"/>
      <c r="BD47" s="989">
        <v>16779231.000000004</v>
      </c>
      <c r="BE47" s="988"/>
      <c r="BF47" s="989">
        <v>18979486</v>
      </c>
      <c r="BG47" s="1213"/>
      <c r="BH47" s="154">
        <f t="shared" si="7"/>
        <v>0.13112966857658703</v>
      </c>
      <c r="BI47" s="992"/>
      <c r="BJ47" s="989">
        <v>65543358.000000007</v>
      </c>
      <c r="BK47" s="988"/>
      <c r="BL47" s="989">
        <v>82452707</v>
      </c>
      <c r="BM47" s="1213"/>
      <c r="BN47" s="154">
        <f t="shared" si="8"/>
        <v>0.25798722427373932</v>
      </c>
      <c r="BO47" s="992"/>
      <c r="BP47" s="989">
        <v>13295603.000000002</v>
      </c>
      <c r="BQ47" s="988"/>
      <c r="BR47" s="989">
        <v>18052417</v>
      </c>
      <c r="BS47" s="1213"/>
      <c r="BT47" s="154">
        <f t="shared" si="9"/>
        <v>0.3577734684165883</v>
      </c>
      <c r="BU47" s="992"/>
      <c r="BV47" s="989">
        <v>22674946</v>
      </c>
      <c r="BW47" s="988"/>
      <c r="BX47" s="989">
        <v>27511991</v>
      </c>
      <c r="BY47" s="1213"/>
      <c r="BZ47" s="154">
        <f t="shared" si="10"/>
        <v>0.21332112543950488</v>
      </c>
      <c r="CA47" s="968"/>
      <c r="CC47" s="965"/>
      <c r="CD47" s="965"/>
      <c r="CE47" s="965"/>
      <c r="CF47" s="965"/>
      <c r="CG47" s="965"/>
      <c r="CH47" s="965"/>
      <c r="CI47" s="965"/>
      <c r="CJ47" s="965"/>
      <c r="CK47" s="965"/>
    </row>
    <row r="48" spans="1:89" s="886" customFormat="1" ht="14.25">
      <c r="A48" s="1642" t="s">
        <v>1138</v>
      </c>
      <c r="B48" s="1642" t="s">
        <v>1139</v>
      </c>
      <c r="C48" s="899">
        <v>24</v>
      </c>
      <c r="D48" s="986" t="s">
        <v>1137</v>
      </c>
      <c r="E48" s="1018"/>
      <c r="F48" s="988"/>
      <c r="G48" s="988" t="s">
        <v>394</v>
      </c>
      <c r="H48" s="991" t="s">
        <v>229</v>
      </c>
      <c r="I48" s="990">
        <v>2</v>
      </c>
      <c r="J48" s="1212">
        <f t="shared" si="19"/>
        <v>0.99677093384207627</v>
      </c>
      <c r="K48" s="1310">
        <f>AVERAGE(BW48,BQ48,BK48,BE48,AY48,AS48,AM48,AG48,AA48,U48)</f>
        <v>2</v>
      </c>
      <c r="L48" s="1212">
        <f t="shared" si="20"/>
        <v>0.99818353304866902</v>
      </c>
      <c r="M48" s="1310">
        <f>AVERAGE(BY48,BS48,BM48,BG48,BA48,AU48,AO48,AI48,AC48,W48)</f>
        <v>2</v>
      </c>
      <c r="N48" s="1310">
        <f t="shared" si="13"/>
        <v>0</v>
      </c>
      <c r="O48" s="1257">
        <f t="shared" si="21"/>
        <v>0</v>
      </c>
      <c r="P48" s="1257">
        <f t="shared" si="14"/>
        <v>0</v>
      </c>
      <c r="Q48" s="1257">
        <f t="shared" si="15"/>
        <v>0</v>
      </c>
      <c r="R48" s="1257">
        <f t="shared" si="16"/>
        <v>0</v>
      </c>
      <c r="S48" s="992"/>
      <c r="T48" s="1180">
        <v>0.99737532808398954</v>
      </c>
      <c r="U48" s="1183">
        <f>IF(T48&gt;=0.95,2,IF(T48&gt;=0.9,1,0))</f>
        <v>2</v>
      </c>
      <c r="V48" s="1180">
        <f>IF(SUM(V50:V51)=0,"",V49/SUM(V50:V51))</f>
        <v>1</v>
      </c>
      <c r="W48" s="1183">
        <f>IF(V48&gt;=0.95,2,IF(V48&gt;=0.9,1,0))</f>
        <v>2</v>
      </c>
      <c r="X48" s="154">
        <f t="shared" si="1"/>
        <v>2.6315789473683182E-3</v>
      </c>
      <c r="Y48" s="992"/>
      <c r="Z48" s="1180">
        <v>0.99687304565353341</v>
      </c>
      <c r="AA48" s="988">
        <f>IF(Z48&gt;=0.95,2,IF(Z48&gt;=0.9,1,0))</f>
        <v>2</v>
      </c>
      <c r="AB48" s="1180">
        <f>IF(SUM(AB50:AB51)=0,"",AB49/SUM(AB50:AB51))</f>
        <v>0.99807586586036279</v>
      </c>
      <c r="AC48" s="1213">
        <f>IF(AB48&gt;=0.95,2,IF(AB48&gt;=0.9,1,0))</f>
        <v>2</v>
      </c>
      <c r="AD48" s="154">
        <f t="shared" si="2"/>
        <v>1.2065931685822928E-3</v>
      </c>
      <c r="AE48" s="992"/>
      <c r="AF48" s="1180">
        <v>0.99560693641618492</v>
      </c>
      <c r="AG48" s="988">
        <f>IF(AF48&gt;=0.95,2,IF(AF48&gt;=0.9,1,0))</f>
        <v>2</v>
      </c>
      <c r="AH48" s="1180">
        <f>IF(SUM(AH50:AH51)=0,"",AH49/SUM(AH50:AH51))</f>
        <v>0.99946685622889642</v>
      </c>
      <c r="AI48" s="1213">
        <f>IF(AH48&gt;=0.95,2,IF(AH48&gt;=0.9,1,0))</f>
        <v>2</v>
      </c>
      <c r="AJ48" s="154">
        <f t="shared" si="3"/>
        <v>3.8769515071939153E-3</v>
      </c>
      <c r="AK48" s="992"/>
      <c r="AL48" s="1180">
        <v>1</v>
      </c>
      <c r="AM48" s="988">
        <f>IF(AL48&gt;=0.95,2,IF(AL48&gt;=0.9,1,0))</f>
        <v>2</v>
      </c>
      <c r="AN48" s="1180">
        <f>IF(SUM(AN50:AN51)=0,"",AN49/SUM(AN50:AN51))</f>
        <v>0.99941176470588233</v>
      </c>
      <c r="AO48" s="1213">
        <f>IF(AN48&gt;=0.95,2,IF(AN48&gt;=0.9,1,0))</f>
        <v>2</v>
      </c>
      <c r="AP48" s="154">
        <f t="shared" si="4"/>
        <v>-5.8823529411766717E-4</v>
      </c>
      <c r="AQ48" s="992"/>
      <c r="AR48" s="1180">
        <v>0.99405531144998704</v>
      </c>
      <c r="AS48" s="988">
        <f>IF(AR48&gt;=0.95,2,IF(AR48&gt;=0.9,1,0))</f>
        <v>2</v>
      </c>
      <c r="AT48" s="1180">
        <f>IF(SUM(AT50:AT51)=0,"",AT49/SUM(AT50:AT51))</f>
        <v>0.99764595103578158</v>
      </c>
      <c r="AU48" s="1213">
        <f>IF(AT48&gt;=0.95,2,IF(AT48&gt;=0.9,1,0))</f>
        <v>2</v>
      </c>
      <c r="AV48" s="154">
        <f t="shared" si="5"/>
        <v>3.6121124694328266E-3</v>
      </c>
      <c r="AW48" s="992"/>
      <c r="AX48" s="1180">
        <v>0.99669966996699666</v>
      </c>
      <c r="AY48" s="988">
        <f>IF(AX48&gt;=0.95,2,IF(AX48&gt;=0.9,1,0))</f>
        <v>2</v>
      </c>
      <c r="AZ48" s="1180">
        <f>IF(SUM(AZ50:AZ51)=0,"",AZ49/SUM(AZ50:AZ51))</f>
        <v>0.99826288361320203</v>
      </c>
      <c r="BA48" s="1213">
        <f>IF(AZ48&gt;=0.95,2,IF(AZ48&gt;=0.9,1,0))</f>
        <v>2</v>
      </c>
      <c r="BB48" s="154">
        <f t="shared" si="6"/>
        <v>1.5683898503318083E-3</v>
      </c>
      <c r="BC48" s="992"/>
      <c r="BD48" s="1180">
        <v>1</v>
      </c>
      <c r="BE48" s="988">
        <f>IF(BD48&gt;=0.95,2,IF(BD48&gt;=0.9,1,0))</f>
        <v>2</v>
      </c>
      <c r="BF48" s="1180">
        <f>IF(SUM(BF50:BF51)=0,"",BF49/SUM(BF50:BF51))</f>
        <v>0.99840764331210186</v>
      </c>
      <c r="BG48" s="1213">
        <f>IF(BF48&gt;=0.95,2,IF(BF48&gt;=0.9,1,0))</f>
        <v>2</v>
      </c>
      <c r="BH48" s="154">
        <f t="shared" si="7"/>
        <v>-1.5923566878981443E-3</v>
      </c>
      <c r="BI48" s="992"/>
      <c r="BJ48" s="1180">
        <v>0.99477886977886976</v>
      </c>
      <c r="BK48" s="988">
        <f>IF(BJ48&gt;=0.95,2,IF(BJ48&gt;=0.9,1,0))</f>
        <v>2</v>
      </c>
      <c r="BL48" s="1180">
        <f>IF(SUM(BL50:BL51)=0,"",BL49/SUM(BL50:BL51))</f>
        <v>0.99978284473398482</v>
      </c>
      <c r="BM48" s="1213">
        <f>IF(BL48&gt;=0.95,2,IF(BL48&gt;=0.9,1,0))</f>
        <v>2</v>
      </c>
      <c r="BN48" s="154">
        <f t="shared" si="8"/>
        <v>5.0302384852900506E-3</v>
      </c>
      <c r="BO48" s="992"/>
      <c r="BP48" s="1180">
        <v>0.99875621890547261</v>
      </c>
      <c r="BQ48" s="988">
        <f>IF(BP48&gt;=0.95,2,IF(BP48&gt;=0.9,1,0))</f>
        <v>2</v>
      </c>
      <c r="BR48" s="1180">
        <f>IF(SUM(BR50:BR51)=0,"",BR49/SUM(BR50:BR51))</f>
        <v>0.99245283018867925</v>
      </c>
      <c r="BS48" s="1213">
        <f>IF(BR48&gt;=0.95,2,IF(BR48&gt;=0.9,1,0))</f>
        <v>2</v>
      </c>
      <c r="BT48" s="154">
        <f t="shared" si="9"/>
        <v>-6.3112385159425077E-3</v>
      </c>
      <c r="BU48" s="992"/>
      <c r="BV48" s="1180">
        <v>0.99356395816572807</v>
      </c>
      <c r="BW48" s="988">
        <f>IF(BV48&gt;=0.95,2,IF(BV48&gt;=0.9,1,0))</f>
        <v>2</v>
      </c>
      <c r="BX48" s="1180">
        <f>IF(SUM(BX50:BX51)=0,"",BX49/SUM(BX50:BX51))</f>
        <v>0.9983286908077994</v>
      </c>
      <c r="BY48" s="1213">
        <f>IF(BX48&gt;=0.95,2,IF(BX48&gt;=0.9,1,0))</f>
        <v>2</v>
      </c>
      <c r="BZ48" s="154">
        <f t="shared" si="10"/>
        <v>4.7955973069593316E-3</v>
      </c>
      <c r="CA48" s="968"/>
      <c r="CC48" s="965"/>
      <c r="CD48" s="965"/>
      <c r="CE48" s="965"/>
      <c r="CF48" s="965"/>
      <c r="CG48" s="965"/>
      <c r="CH48" s="965"/>
      <c r="CI48" s="965"/>
      <c r="CJ48" s="965"/>
      <c r="CK48" s="965"/>
    </row>
    <row r="49" spans="1:89" s="886" customFormat="1" ht="14.25">
      <c r="A49" s="1642"/>
      <c r="B49" s="1643"/>
      <c r="C49" s="913">
        <v>24.1</v>
      </c>
      <c r="D49" s="1210" t="s">
        <v>2132</v>
      </c>
      <c r="E49" s="995" t="s">
        <v>1115</v>
      </c>
      <c r="F49" s="1019" t="s">
        <v>1140</v>
      </c>
      <c r="G49" s="1002"/>
      <c r="H49" s="991"/>
      <c r="I49" s="1002"/>
      <c r="J49" s="991">
        <f t="shared" si="19"/>
        <v>2327.6999999999998</v>
      </c>
      <c r="K49" s="1310"/>
      <c r="L49" s="991">
        <f t="shared" si="20"/>
        <v>2969.3</v>
      </c>
      <c r="M49" s="1310"/>
      <c r="N49" s="1310">
        <f t="shared" si="13"/>
        <v>0</v>
      </c>
      <c r="O49" s="1257">
        <f t="shared" si="21"/>
        <v>0</v>
      </c>
      <c r="P49" s="1257">
        <f t="shared" si="14"/>
        <v>0</v>
      </c>
      <c r="Q49" s="1257">
        <f t="shared" si="15"/>
        <v>0</v>
      </c>
      <c r="R49" s="1257">
        <f t="shared" si="16"/>
        <v>0</v>
      </c>
      <c r="S49" s="992"/>
      <c r="T49" s="989">
        <v>760</v>
      </c>
      <c r="U49" s="1183"/>
      <c r="V49" s="989">
        <v>890</v>
      </c>
      <c r="W49" s="1183"/>
      <c r="X49" s="154">
        <f t="shared" si="1"/>
        <v>0.17105263157894735</v>
      </c>
      <c r="Y49" s="992"/>
      <c r="Z49" s="989">
        <v>3188</v>
      </c>
      <c r="AA49" s="988"/>
      <c r="AB49" s="989">
        <v>3631</v>
      </c>
      <c r="AC49" s="1213"/>
      <c r="AD49" s="154">
        <f t="shared" si="2"/>
        <v>0.13895859473023831</v>
      </c>
      <c r="AE49" s="992"/>
      <c r="AF49" s="913">
        <v>4306</v>
      </c>
      <c r="AG49" s="988"/>
      <c r="AH49" s="913">
        <v>5624</v>
      </c>
      <c r="AI49" s="1213"/>
      <c r="AJ49" s="154">
        <f t="shared" si="3"/>
        <v>0.30608453320947504</v>
      </c>
      <c r="AK49" s="992"/>
      <c r="AL49" s="913">
        <v>1182</v>
      </c>
      <c r="AM49" s="988"/>
      <c r="AN49" s="913">
        <v>1699</v>
      </c>
      <c r="AO49" s="1213"/>
      <c r="AP49" s="154">
        <f t="shared" si="4"/>
        <v>0.43739424703891716</v>
      </c>
      <c r="AQ49" s="992"/>
      <c r="AR49" s="989">
        <v>3846</v>
      </c>
      <c r="AS49" s="988"/>
      <c r="AT49" s="989">
        <v>4238</v>
      </c>
      <c r="AU49" s="1213"/>
      <c r="AV49" s="154">
        <f t="shared" si="5"/>
        <v>0.10192407696307848</v>
      </c>
      <c r="AW49" s="992"/>
      <c r="AX49" s="913">
        <v>3926</v>
      </c>
      <c r="AY49" s="988"/>
      <c r="AZ49" s="913">
        <v>5172</v>
      </c>
      <c r="BA49" s="1213"/>
      <c r="BB49" s="154">
        <f t="shared" si="6"/>
        <v>0.31737137035150287</v>
      </c>
      <c r="BC49" s="992"/>
      <c r="BD49" s="913">
        <v>792</v>
      </c>
      <c r="BE49" s="988"/>
      <c r="BF49" s="913">
        <v>1254</v>
      </c>
      <c r="BG49" s="1213"/>
      <c r="BH49" s="154">
        <f t="shared" si="7"/>
        <v>0.58333333333333326</v>
      </c>
      <c r="BI49" s="992"/>
      <c r="BJ49" s="913">
        <v>3239</v>
      </c>
      <c r="BK49" s="988"/>
      <c r="BL49" s="913">
        <v>4604</v>
      </c>
      <c r="BM49" s="1213"/>
      <c r="BN49" s="154">
        <f t="shared" si="8"/>
        <v>0.42142636616239582</v>
      </c>
      <c r="BO49" s="992"/>
      <c r="BP49" s="913">
        <v>803</v>
      </c>
      <c r="BQ49" s="988"/>
      <c r="BR49" s="913">
        <v>789</v>
      </c>
      <c r="BS49" s="1213"/>
      <c r="BT49" s="154">
        <f t="shared" si="9"/>
        <v>-1.743462017434616E-2</v>
      </c>
      <c r="BU49" s="992"/>
      <c r="BV49" s="913">
        <v>1235</v>
      </c>
      <c r="BW49" s="988"/>
      <c r="BX49" s="913">
        <v>1792</v>
      </c>
      <c r="BY49" s="1213"/>
      <c r="BZ49" s="154">
        <f t="shared" si="10"/>
        <v>0.45101214574898796</v>
      </c>
      <c r="CA49" s="968"/>
      <c r="CC49" s="965"/>
      <c r="CD49" s="965"/>
      <c r="CE49" s="965"/>
      <c r="CF49" s="965"/>
      <c r="CG49" s="965"/>
      <c r="CH49" s="965"/>
      <c r="CI49" s="965"/>
      <c r="CJ49" s="965"/>
      <c r="CK49" s="965"/>
    </row>
    <row r="50" spans="1:89" s="886" customFormat="1" ht="14.25">
      <c r="A50" s="1642"/>
      <c r="B50" s="1643"/>
      <c r="C50" s="913">
        <v>24.2</v>
      </c>
      <c r="D50" s="1210" t="s">
        <v>2111</v>
      </c>
      <c r="E50" s="995" t="s">
        <v>1115</v>
      </c>
      <c r="F50" s="1019" t="s">
        <v>1140</v>
      </c>
      <c r="G50" s="1002"/>
      <c r="H50" s="991"/>
      <c r="I50" s="1002"/>
      <c r="J50" s="991">
        <f t="shared" si="19"/>
        <v>2.9</v>
      </c>
      <c r="K50" s="1310"/>
      <c r="L50" s="991">
        <f t="shared" si="20"/>
        <v>2.7</v>
      </c>
      <c r="M50" s="1310"/>
      <c r="N50" s="1310">
        <f t="shared" si="13"/>
        <v>0</v>
      </c>
      <c r="O50" s="1257">
        <f t="shared" si="21"/>
        <v>0</v>
      </c>
      <c r="P50" s="1257">
        <f t="shared" si="14"/>
        <v>0</v>
      </c>
      <c r="Q50" s="1257">
        <f t="shared" si="15"/>
        <v>0</v>
      </c>
      <c r="R50" s="1257">
        <f t="shared" si="16"/>
        <v>0</v>
      </c>
      <c r="S50" s="992"/>
      <c r="T50" s="989">
        <v>0</v>
      </c>
      <c r="U50" s="1183"/>
      <c r="V50" s="989">
        <v>1</v>
      </c>
      <c r="W50" s="1183"/>
      <c r="X50" s="154">
        <f t="shared" si="1"/>
        <v>1</v>
      </c>
      <c r="Y50" s="992"/>
      <c r="Z50" s="989">
        <v>5</v>
      </c>
      <c r="AA50" s="988"/>
      <c r="AB50" s="989">
        <v>1</v>
      </c>
      <c r="AC50" s="1213"/>
      <c r="AD50" s="154">
        <f t="shared" si="2"/>
        <v>-0.8</v>
      </c>
      <c r="AE50" s="992"/>
      <c r="AF50" s="913">
        <v>3</v>
      </c>
      <c r="AG50" s="988"/>
      <c r="AH50" s="913">
        <v>2</v>
      </c>
      <c r="AI50" s="1213"/>
      <c r="AJ50" s="154">
        <f t="shared" si="3"/>
        <v>-0.33333333333333337</v>
      </c>
      <c r="AK50" s="992"/>
      <c r="AL50" s="913">
        <v>2</v>
      </c>
      <c r="AM50" s="988"/>
      <c r="AN50" s="913">
        <v>0</v>
      </c>
      <c r="AO50" s="1213"/>
      <c r="AP50" s="154">
        <f t="shared" si="4"/>
        <v>-1</v>
      </c>
      <c r="AQ50" s="992"/>
      <c r="AR50" s="989">
        <v>3</v>
      </c>
      <c r="AS50" s="988"/>
      <c r="AT50" s="989">
        <v>10</v>
      </c>
      <c r="AU50" s="1213"/>
      <c r="AV50" s="154">
        <f t="shared" si="5"/>
        <v>2.3333333333333335</v>
      </c>
      <c r="AW50" s="992"/>
      <c r="AX50" s="913">
        <v>4</v>
      </c>
      <c r="AY50" s="988"/>
      <c r="AZ50" s="913">
        <v>7</v>
      </c>
      <c r="BA50" s="1213"/>
      <c r="BB50" s="154">
        <f t="shared" si="6"/>
        <v>0.75</v>
      </c>
      <c r="BC50" s="992"/>
      <c r="BD50" s="913">
        <v>3</v>
      </c>
      <c r="BE50" s="988"/>
      <c r="BF50" s="913">
        <v>0</v>
      </c>
      <c r="BG50" s="1213"/>
      <c r="BH50" s="154">
        <f t="shared" si="7"/>
        <v>-1</v>
      </c>
      <c r="BI50" s="992"/>
      <c r="BJ50" s="913">
        <v>5</v>
      </c>
      <c r="BK50" s="988"/>
      <c r="BL50" s="913">
        <v>3</v>
      </c>
      <c r="BM50" s="1213"/>
      <c r="BN50" s="154">
        <f t="shared" si="8"/>
        <v>-0.4</v>
      </c>
      <c r="BO50" s="992"/>
      <c r="BP50" s="913">
        <v>2</v>
      </c>
      <c r="BQ50" s="988"/>
      <c r="BR50" s="913">
        <v>1</v>
      </c>
      <c r="BS50" s="1213"/>
      <c r="BT50" s="154">
        <f t="shared" si="9"/>
        <v>-0.5</v>
      </c>
      <c r="BU50" s="992"/>
      <c r="BV50" s="913">
        <v>2</v>
      </c>
      <c r="BW50" s="988"/>
      <c r="BX50" s="913">
        <v>2</v>
      </c>
      <c r="BY50" s="1213"/>
      <c r="BZ50" s="154">
        <f t="shared" si="10"/>
        <v>0</v>
      </c>
      <c r="CA50" s="968"/>
      <c r="CC50" s="965"/>
      <c r="CD50" s="965"/>
      <c r="CE50" s="965"/>
      <c r="CF50" s="965"/>
      <c r="CG50" s="965"/>
      <c r="CH50" s="965"/>
      <c r="CI50" s="965"/>
      <c r="CJ50" s="965"/>
      <c r="CK50" s="965"/>
    </row>
    <row r="51" spans="1:89" s="886" customFormat="1" ht="14.25">
      <c r="A51" s="1642"/>
      <c r="B51" s="1643"/>
      <c r="C51" s="913">
        <v>24.3</v>
      </c>
      <c r="D51" s="1210" t="s">
        <v>2133</v>
      </c>
      <c r="E51" s="995" t="s">
        <v>1115</v>
      </c>
      <c r="F51" s="1019" t="s">
        <v>1140</v>
      </c>
      <c r="G51" s="1002"/>
      <c r="H51" s="991"/>
      <c r="I51" s="1002"/>
      <c r="J51" s="991">
        <f t="shared" si="19"/>
        <v>2334.1</v>
      </c>
      <c r="K51" s="1310"/>
      <c r="L51" s="991">
        <f t="shared" si="20"/>
        <v>2970.8</v>
      </c>
      <c r="M51" s="1310"/>
      <c r="N51" s="1310">
        <f t="shared" si="13"/>
        <v>0</v>
      </c>
      <c r="O51" s="1257">
        <f t="shared" si="21"/>
        <v>0</v>
      </c>
      <c r="P51" s="1257">
        <f t="shared" si="14"/>
        <v>0</v>
      </c>
      <c r="Q51" s="1257">
        <f t="shared" si="15"/>
        <v>0</v>
      </c>
      <c r="R51" s="1257">
        <f t="shared" si="16"/>
        <v>0</v>
      </c>
      <c r="S51" s="992"/>
      <c r="T51" s="989">
        <v>762</v>
      </c>
      <c r="U51" s="1183"/>
      <c r="V51" s="989">
        <v>889</v>
      </c>
      <c r="W51" s="1183"/>
      <c r="X51" s="154">
        <f t="shared" si="1"/>
        <v>0.16666666666666674</v>
      </c>
      <c r="Y51" s="992"/>
      <c r="Z51" s="989">
        <v>3193</v>
      </c>
      <c r="AA51" s="988"/>
      <c r="AB51" s="989">
        <v>3637</v>
      </c>
      <c r="AC51" s="1213"/>
      <c r="AD51" s="154">
        <f t="shared" si="2"/>
        <v>0.13905418102098333</v>
      </c>
      <c r="AE51" s="992"/>
      <c r="AF51" s="913">
        <v>4322</v>
      </c>
      <c r="AG51" s="988"/>
      <c r="AH51" s="913">
        <v>5625</v>
      </c>
      <c r="AI51" s="1213"/>
      <c r="AJ51" s="154">
        <f t="shared" si="3"/>
        <v>0.30148079592781118</v>
      </c>
      <c r="AK51" s="992"/>
      <c r="AL51" s="913">
        <v>1180</v>
      </c>
      <c r="AM51" s="988"/>
      <c r="AN51" s="913">
        <v>1700</v>
      </c>
      <c r="AO51" s="1213"/>
      <c r="AP51" s="154">
        <f t="shared" si="4"/>
        <v>0.44067796610169485</v>
      </c>
      <c r="AQ51" s="992"/>
      <c r="AR51" s="989">
        <v>3866</v>
      </c>
      <c r="AS51" s="988"/>
      <c r="AT51" s="989">
        <v>4238</v>
      </c>
      <c r="AU51" s="1213"/>
      <c r="AV51" s="154">
        <f t="shared" si="5"/>
        <v>9.6223486808070247E-2</v>
      </c>
      <c r="AW51" s="992"/>
      <c r="AX51" s="913">
        <v>3935</v>
      </c>
      <c r="AY51" s="988"/>
      <c r="AZ51" s="913">
        <v>5174</v>
      </c>
      <c r="BA51" s="1213"/>
      <c r="BB51" s="154">
        <f t="shared" si="6"/>
        <v>0.31486658195679795</v>
      </c>
      <c r="BC51" s="992"/>
      <c r="BD51" s="913">
        <v>789</v>
      </c>
      <c r="BE51" s="988"/>
      <c r="BF51" s="913">
        <v>1256</v>
      </c>
      <c r="BG51" s="1213"/>
      <c r="BH51" s="154">
        <f t="shared" si="7"/>
        <v>0.59188846641318116</v>
      </c>
      <c r="BI51" s="992"/>
      <c r="BJ51" s="913">
        <v>3251</v>
      </c>
      <c r="BK51" s="988"/>
      <c r="BL51" s="913">
        <v>4602</v>
      </c>
      <c r="BM51" s="1213"/>
      <c r="BN51" s="154">
        <f t="shared" si="8"/>
        <v>0.41556444171024309</v>
      </c>
      <c r="BO51" s="992"/>
      <c r="BP51" s="913">
        <v>802</v>
      </c>
      <c r="BQ51" s="988"/>
      <c r="BR51" s="913">
        <v>794</v>
      </c>
      <c r="BS51" s="1213"/>
      <c r="BT51" s="154">
        <f t="shared" si="9"/>
        <v>-9.9750623441396957E-3</v>
      </c>
      <c r="BU51" s="992"/>
      <c r="BV51" s="913">
        <v>1241</v>
      </c>
      <c r="BW51" s="988"/>
      <c r="BX51" s="913">
        <v>1793</v>
      </c>
      <c r="BY51" s="1213"/>
      <c r="BZ51" s="154">
        <f t="shared" si="10"/>
        <v>0.44480257856567285</v>
      </c>
      <c r="CA51" s="968"/>
      <c r="CC51" s="965"/>
      <c r="CD51" s="965"/>
      <c r="CE51" s="965"/>
      <c r="CF51" s="965"/>
      <c r="CG51" s="965"/>
      <c r="CH51" s="965"/>
      <c r="CI51" s="965"/>
      <c r="CJ51" s="965"/>
      <c r="CK51" s="965"/>
    </row>
    <row r="52" spans="1:89" s="886" customFormat="1" ht="14.25">
      <c r="A52" s="1642" t="s">
        <v>1141</v>
      </c>
      <c r="B52" s="1642" t="s">
        <v>2400</v>
      </c>
      <c r="C52" s="899">
        <v>25</v>
      </c>
      <c r="D52" s="1318" t="s">
        <v>1705</v>
      </c>
      <c r="E52" s="1018"/>
      <c r="F52" s="993"/>
      <c r="G52" s="988" t="s">
        <v>394</v>
      </c>
      <c r="H52" s="991" t="s">
        <v>229</v>
      </c>
      <c r="I52" s="990">
        <v>3</v>
      </c>
      <c r="J52" s="1212">
        <f t="shared" si="19"/>
        <v>4.6788749594102799E-2</v>
      </c>
      <c r="K52" s="1309">
        <f>AVERAGE(BW52,BQ52,BK52,BE52,AY52,AS52,AM52,AG52,AA52,U52)</f>
        <v>2.5499999999999998</v>
      </c>
      <c r="L52" s="1212">
        <f>AVERAGE(BX52,BR52,BL52,BF52,AZ52,AT52,AN52,AH52,AB52,V52)</f>
        <v>5.6021935944842657E-2</v>
      </c>
      <c r="M52" s="1309">
        <f>AVERAGE(BY52,BS52,BM52,BG52,BA52,AU52,AO52,AI52,AC52,W52)</f>
        <v>2.1</v>
      </c>
      <c r="N52" s="1320">
        <f>M52-K52</f>
        <v>-0.44999999999999973</v>
      </c>
      <c r="O52" s="1257">
        <f t="shared" si="21"/>
        <v>0.89999999999999991</v>
      </c>
      <c r="P52" s="1257">
        <f t="shared" si="14"/>
        <v>0.62999999999999989</v>
      </c>
      <c r="Q52" s="1257">
        <f t="shared" si="15"/>
        <v>6.9999999999999993E-2</v>
      </c>
      <c r="R52" s="1257">
        <f t="shared" si="16"/>
        <v>3.4999999999999996E-2</v>
      </c>
      <c r="S52" s="992"/>
      <c r="T52" s="1180">
        <v>3.5763893413306547E-2</v>
      </c>
      <c r="U52" s="1183">
        <f>IF(T52&lt;=0.05,3,IF(T52&lt;=0.1,1.5,0))</f>
        <v>3</v>
      </c>
      <c r="V52" s="1180">
        <f>IF(SUM(V55:V56)=0,"",SUM(V53:V54)/SUM(V55:V56))</f>
        <v>6.0504322283898349E-2</v>
      </c>
      <c r="W52" s="1183">
        <f>IF(V52&lt;=0.05,3,IF(V52&lt;=0.1,1.5,0))</f>
        <v>1.5</v>
      </c>
      <c r="X52" s="154">
        <f t="shared" si="1"/>
        <v>0.69177112750779868</v>
      </c>
      <c r="Y52" s="992"/>
      <c r="Z52" s="1180">
        <v>4.8879695494657975E-2</v>
      </c>
      <c r="AA52" s="988">
        <f>IF(Z52&lt;=0.05,3,IF(Z52&lt;=0.1,1.5,0))</f>
        <v>3</v>
      </c>
      <c r="AB52" s="1180">
        <f>IF(SUM(AB55:AB56)=0,"",SUM(AB53:AB54)/SUM(AB55:AB56))</f>
        <v>6.1418709052543548E-2</v>
      </c>
      <c r="AC52" s="1213">
        <f>IF(AB52&lt;=0.05,3,IF(AB52&lt;=0.1,1.5,0))</f>
        <v>1.5</v>
      </c>
      <c r="AD52" s="154">
        <f t="shared" si="2"/>
        <v>0.25652806203049994</v>
      </c>
      <c r="AE52" s="992"/>
      <c r="AF52" s="1180">
        <v>4.7079193824027477E-2</v>
      </c>
      <c r="AG52" s="988">
        <f>IF(AF52&lt;=0.05,3,IF(AF52&lt;=0.1,1.5,0))</f>
        <v>3</v>
      </c>
      <c r="AH52" s="1180">
        <f>IF(SUM(AH55:AH56)=0,"",SUM(AH53:AH54)/SUM(AH55:AH56))</f>
        <v>5.738064784545039E-2</v>
      </c>
      <c r="AI52" s="1213">
        <f>IF(AH52&lt;=0.05,3,IF(AH52&lt;=0.1,1.5,0))</f>
        <v>1.5</v>
      </c>
      <c r="AJ52" s="154">
        <f>IF(AND(AF52=0,AH52&lt;&gt;0),1,IF(AND(AF52=0,AH52=0),0,AH52/AF52-1))</f>
        <v>0.21881118143032929</v>
      </c>
      <c r="AK52" s="992"/>
      <c r="AL52" s="1180">
        <v>7.9048459104635455E-2</v>
      </c>
      <c r="AM52" s="988">
        <f>IF(AL52&lt;=0.05,3,IF(AL52&lt;=0.1,1.5,0))</f>
        <v>1.5</v>
      </c>
      <c r="AN52" s="1180">
        <f>IF(SUM(AN55:AN56)=0,"",SUM(AN53:AN54)/SUM(AN55:AN56))</f>
        <v>9.1132864486136722E-2</v>
      </c>
      <c r="AO52" s="1213">
        <f>IF(AN52&lt;=0.05,3,IF(AN52&lt;=0.1,1.5,0))</f>
        <v>1.5</v>
      </c>
      <c r="AP52" s="154">
        <f t="shared" si="4"/>
        <v>0.15287338321807509</v>
      </c>
      <c r="AQ52" s="992"/>
      <c r="AR52" s="1180">
        <v>3.3693247213814295E-2</v>
      </c>
      <c r="AS52" s="988">
        <f>IF(AR52&lt;=0.05,3,IF(AR52&lt;=0.1,1.5,0))</f>
        <v>3</v>
      </c>
      <c r="AT52" s="1180">
        <f>IF(SUM(AT55:AT56)=0,"",SUM(AT53:AT54)/SUM(AT55:AT56))</f>
        <v>2.8046100832726625E-2</v>
      </c>
      <c r="AU52" s="1213">
        <f>IF(AT52&lt;=0.05,3,IF(AT52&lt;=0.1,1.5,0))</f>
        <v>3</v>
      </c>
      <c r="AV52" s="154">
        <f t="shared" si="5"/>
        <v>-0.16760469376107889</v>
      </c>
      <c r="AW52" s="992"/>
      <c r="AX52" s="1180">
        <v>4.1464816920186526E-2</v>
      </c>
      <c r="AY52" s="988">
        <f>IF(AX52&lt;=0.05,3,IF(AX52&lt;=0.1,1.5,0))</f>
        <v>3</v>
      </c>
      <c r="AZ52" s="1180">
        <f>IF(SUM(AZ55:AZ56)=0,"",SUM(AZ53:AZ54)/SUM(AZ55:AZ56))</f>
        <v>6.3648447004602565E-2</v>
      </c>
      <c r="BA52" s="1213">
        <f>IF(AZ52&lt;=0.05,3,IF(AZ52&lt;=0.1,1.5,0))</f>
        <v>1.5</v>
      </c>
      <c r="BB52" s="154">
        <f t="shared" si="6"/>
        <v>0.53499886728346491</v>
      </c>
      <c r="BC52" s="992"/>
      <c r="BD52" s="1180">
        <v>2.8312449581565022E-2</v>
      </c>
      <c r="BE52" s="988">
        <f>IF(BD52&lt;=0.05,3,IF(BD52&lt;=0.1,1.5,0))</f>
        <v>3</v>
      </c>
      <c r="BF52" s="1180">
        <f>IF(SUM(BF55:BF56)=0,"",SUM(BF53:BF54)/SUM(BF55:BF56))</f>
        <v>4.4976153534526053E-2</v>
      </c>
      <c r="BG52" s="1213">
        <f>IF(BF52&lt;=0.05,3,IF(BF52&lt;=0.1,1.5,0))</f>
        <v>3</v>
      </c>
      <c r="BH52" s="154">
        <f t="shared" si="7"/>
        <v>0.58856454313339257</v>
      </c>
      <c r="BI52" s="992"/>
      <c r="BJ52" s="1180">
        <v>5.017657873706443E-2</v>
      </c>
      <c r="BK52" s="988">
        <f>IF(BJ52&lt;=0.05,3,IF(BJ52&lt;=0.1,1.5,0))</f>
        <v>1.5</v>
      </c>
      <c r="BL52" s="1180">
        <f>IF(SUM(BL55:BL56)=0,"",SUM(BL53:BL54)/SUM(BL55:BL56))</f>
        <v>7.1874002899574962E-2</v>
      </c>
      <c r="BM52" s="1213">
        <f>IF(BL52&lt;=0.05,3,IF(BL52&lt;=0.1,1.5,0))</f>
        <v>1.5</v>
      </c>
      <c r="BN52" s="154">
        <f t="shared" si="8"/>
        <v>0.43242135491559686</v>
      </c>
      <c r="BO52" s="992"/>
      <c r="BP52" s="1180">
        <v>4.913458035960163E-2</v>
      </c>
      <c r="BQ52" s="988">
        <f>IF(BP52&lt;=0.05,3,IF(BP52&lt;=0.1,1.5,0))</f>
        <v>3</v>
      </c>
      <c r="BR52" s="1180">
        <f>IF(SUM(BR55:BR56)=0,"",SUM(BR53:BR54)/SUM(BR55:BR56))</f>
        <v>3.1413184647647453E-2</v>
      </c>
      <c r="BS52" s="1213">
        <f>IF(BR52&lt;=0.05,3,IF(BR52&lt;=0.1,1.5,0))</f>
        <v>3</v>
      </c>
      <c r="BT52" s="154">
        <f t="shared" si="9"/>
        <v>-0.36067054164819279</v>
      </c>
      <c r="BU52" s="992"/>
      <c r="BV52" s="1180">
        <v>5.4334581292168595E-2</v>
      </c>
      <c r="BW52" s="988">
        <f>IF(BV52&lt;=0.05,3,IF(BV52&lt;=0.1,1.5,0))</f>
        <v>1.5</v>
      </c>
      <c r="BX52" s="1180">
        <f>IF(SUM(BX55:BX56)=0,"",SUM(BX53:BX54)/SUM(BX55:BX56))</f>
        <v>4.9824926861319861E-2</v>
      </c>
      <c r="BY52" s="1213">
        <f>IF(BX52&lt;=0.05,3,IF(BX52&lt;=0.1,1.5,0))</f>
        <v>3</v>
      </c>
      <c r="BZ52" s="154">
        <f t="shared" si="10"/>
        <v>-8.2997868458751234E-2</v>
      </c>
      <c r="CA52" s="968"/>
      <c r="CC52" s="965"/>
      <c r="CD52" s="965"/>
      <c r="CE52" s="965"/>
      <c r="CF52" s="965"/>
      <c r="CG52" s="965"/>
      <c r="CH52" s="965"/>
      <c r="CI52" s="965"/>
      <c r="CJ52" s="965"/>
      <c r="CK52" s="965"/>
    </row>
    <row r="53" spans="1:89" s="886" customFormat="1" ht="14.25">
      <c r="A53" s="1642"/>
      <c r="B53" s="1643"/>
      <c r="C53" s="913">
        <v>25.1</v>
      </c>
      <c r="D53" s="994" t="s">
        <v>1142</v>
      </c>
      <c r="E53" s="995" t="s">
        <v>205</v>
      </c>
      <c r="F53" s="1019" t="s">
        <v>2060</v>
      </c>
      <c r="G53" s="1002"/>
      <c r="H53" s="991"/>
      <c r="I53" s="988"/>
      <c r="J53" s="991">
        <f t="shared" si="19"/>
        <v>3117151.1</v>
      </c>
      <c r="K53" s="1310"/>
      <c r="L53" s="1020">
        <f t="shared" si="20"/>
        <v>3949014.2</v>
      </c>
      <c r="M53" s="1310"/>
      <c r="N53" s="1310">
        <f t="shared" si="13"/>
        <v>0</v>
      </c>
      <c r="O53" s="1257">
        <f t="shared" si="21"/>
        <v>0</v>
      </c>
      <c r="P53" s="1257">
        <f t="shared" si="14"/>
        <v>0</v>
      </c>
      <c r="Q53" s="1257">
        <f t="shared" si="15"/>
        <v>0</v>
      </c>
      <c r="R53" s="1257">
        <f t="shared" si="16"/>
        <v>0</v>
      </c>
      <c r="S53" s="992"/>
      <c r="T53" s="989">
        <v>1359987</v>
      </c>
      <c r="U53" s="1183"/>
      <c r="V53" s="989">
        <v>904137</v>
      </c>
      <c r="W53" s="1183"/>
      <c r="X53" s="154">
        <f t="shared" si="1"/>
        <v>-0.33518702752305718</v>
      </c>
      <c r="Y53" s="992"/>
      <c r="Z53" s="1021">
        <v>10864654</v>
      </c>
      <c r="AA53" s="998"/>
      <c r="AB53" s="1021">
        <v>11469705</v>
      </c>
      <c r="AC53" s="1221"/>
      <c r="AD53" s="154">
        <f t="shared" si="2"/>
        <v>5.5689854458319532E-2</v>
      </c>
      <c r="AE53" s="992"/>
      <c r="AF53" s="989">
        <v>1721106</v>
      </c>
      <c r="AG53" s="988"/>
      <c r="AH53" s="989">
        <v>2315494</v>
      </c>
      <c r="AI53" s="1213"/>
      <c r="AJ53" s="154">
        <f t="shared" si="3"/>
        <v>0.34535234901278589</v>
      </c>
      <c r="AK53" s="992"/>
      <c r="AL53" s="1021">
        <v>7447863</v>
      </c>
      <c r="AM53" s="998"/>
      <c r="AN53" s="1021">
        <v>9959312</v>
      </c>
      <c r="AO53" s="1221"/>
      <c r="AP53" s="154">
        <f t="shared" si="4"/>
        <v>0.3372039738110113</v>
      </c>
      <c r="AQ53" s="992"/>
      <c r="AR53" s="1021">
        <v>939242</v>
      </c>
      <c r="AS53" s="988"/>
      <c r="AT53" s="1021">
        <v>1027028</v>
      </c>
      <c r="AU53" s="1213"/>
      <c r="AV53" s="154">
        <f t="shared" si="5"/>
        <v>9.3464730069566793E-2</v>
      </c>
      <c r="AW53" s="992"/>
      <c r="AX53" s="913">
        <v>3071831</v>
      </c>
      <c r="AY53" s="998"/>
      <c r="AZ53" s="913">
        <v>7875325</v>
      </c>
      <c r="BA53" s="1221"/>
      <c r="BB53" s="154">
        <f t="shared" si="6"/>
        <v>1.5637233949393701</v>
      </c>
      <c r="BC53" s="992"/>
      <c r="BD53" s="913">
        <v>233767</v>
      </c>
      <c r="BE53" s="988"/>
      <c r="BF53" s="913">
        <v>193645</v>
      </c>
      <c r="BG53" s="1213"/>
      <c r="BH53" s="154">
        <f t="shared" si="7"/>
        <v>-0.17163243742701062</v>
      </c>
      <c r="BI53" s="992"/>
      <c r="BJ53" s="913">
        <v>4353794</v>
      </c>
      <c r="BK53" s="998"/>
      <c r="BL53" s="913">
        <v>4639795</v>
      </c>
      <c r="BM53" s="1221"/>
      <c r="BN53" s="154">
        <f t="shared" si="8"/>
        <v>6.5690062506402525E-2</v>
      </c>
      <c r="BO53" s="992"/>
      <c r="BP53" s="913">
        <v>358645</v>
      </c>
      <c r="BQ53" s="988"/>
      <c r="BR53" s="913">
        <v>307826</v>
      </c>
      <c r="BS53" s="1213"/>
      <c r="BT53" s="154">
        <f t="shared" si="9"/>
        <v>-0.14169722148642805</v>
      </c>
      <c r="BU53" s="992"/>
      <c r="BV53" s="913">
        <v>820622</v>
      </c>
      <c r="BW53" s="998"/>
      <c r="BX53" s="913">
        <v>797875</v>
      </c>
      <c r="BY53" s="1221"/>
      <c r="BZ53" s="154">
        <f t="shared" si="10"/>
        <v>-2.7719217861573275E-2</v>
      </c>
      <c r="CA53" s="968"/>
      <c r="CC53" s="965"/>
      <c r="CD53" s="965"/>
      <c r="CE53" s="965"/>
      <c r="CF53" s="965"/>
      <c r="CG53" s="965"/>
      <c r="CH53" s="965"/>
      <c r="CI53" s="965"/>
      <c r="CJ53" s="965"/>
      <c r="CK53" s="965"/>
    </row>
    <row r="54" spans="1:89" s="886" customFormat="1" ht="14.25">
      <c r="A54" s="1642"/>
      <c r="B54" s="1643"/>
      <c r="C54" s="913">
        <v>25.2</v>
      </c>
      <c r="D54" s="994" t="s">
        <v>2073</v>
      </c>
      <c r="E54" s="995" t="s">
        <v>205</v>
      </c>
      <c r="F54" s="1002"/>
      <c r="G54" s="1002"/>
      <c r="H54" s="991"/>
      <c r="I54" s="1002"/>
      <c r="J54" s="991">
        <f t="shared" si="19"/>
        <v>3167893.1609999998</v>
      </c>
      <c r="K54" s="1310"/>
      <c r="L54" s="1020">
        <f t="shared" si="20"/>
        <v>3224729.8</v>
      </c>
      <c r="M54" s="1310"/>
      <c r="N54" s="1310">
        <f t="shared" si="13"/>
        <v>0</v>
      </c>
      <c r="O54" s="1257">
        <f t="shared" si="21"/>
        <v>0</v>
      </c>
      <c r="P54" s="1257">
        <f t="shared" si="14"/>
        <v>0</v>
      </c>
      <c r="Q54" s="1257">
        <f t="shared" si="15"/>
        <v>0</v>
      </c>
      <c r="R54" s="1257">
        <f t="shared" si="16"/>
        <v>0</v>
      </c>
      <c r="S54" s="992"/>
      <c r="T54" s="989">
        <v>1179406.0900000001</v>
      </c>
      <c r="U54" s="1183"/>
      <c r="V54" s="989">
        <v>2571170.2799999998</v>
      </c>
      <c r="W54" s="1183"/>
      <c r="X54" s="154">
        <f t="shared" si="1"/>
        <v>1.1800551157065837</v>
      </c>
      <c r="Y54" s="992"/>
      <c r="Z54" s="1021">
        <v>4836619.5199999996</v>
      </c>
      <c r="AA54" s="998"/>
      <c r="AB54" s="1021">
        <v>4664529.67</v>
      </c>
      <c r="AC54" s="1221"/>
      <c r="AD54" s="154">
        <f t="shared" si="2"/>
        <v>-3.5580605273660137E-2</v>
      </c>
      <c r="AE54" s="992"/>
      <c r="AF54" s="989">
        <v>6650790.54</v>
      </c>
      <c r="AG54" s="988"/>
      <c r="AH54" s="989">
        <v>7156467.8799999999</v>
      </c>
      <c r="AI54" s="1213"/>
      <c r="AJ54" s="154">
        <f t="shared" si="3"/>
        <v>7.6032666636949964E-2</v>
      </c>
      <c r="AK54" s="992"/>
      <c r="AL54" s="1021">
        <v>2281995.04</v>
      </c>
      <c r="AM54" s="998"/>
      <c r="AN54" s="1021">
        <v>2435679.0300000003</v>
      </c>
      <c r="AO54" s="1221"/>
      <c r="AP54" s="154">
        <f t="shared" si="4"/>
        <v>6.7346329552057327E-2</v>
      </c>
      <c r="AQ54" s="992"/>
      <c r="AR54" s="1021">
        <v>5126072.2500000009</v>
      </c>
      <c r="AS54" s="988"/>
      <c r="AT54" s="1021">
        <v>3703061.4</v>
      </c>
      <c r="AU54" s="1213"/>
      <c r="AV54" s="154">
        <f t="shared" si="5"/>
        <v>-0.27760257378346564</v>
      </c>
      <c r="AW54" s="992"/>
      <c r="AX54" s="913">
        <v>4404333.84</v>
      </c>
      <c r="AY54" s="998"/>
      <c r="AZ54" s="913">
        <v>4390956.78</v>
      </c>
      <c r="BA54" s="1221"/>
      <c r="BB54" s="154">
        <f t="shared" si="6"/>
        <v>-3.0372493289472224E-3</v>
      </c>
      <c r="BC54" s="992"/>
      <c r="BD54" s="913">
        <v>665106.07000000007</v>
      </c>
      <c r="BE54" s="988"/>
      <c r="BF54" s="913">
        <v>933934.82</v>
      </c>
      <c r="BG54" s="1213"/>
      <c r="BH54" s="154">
        <f t="shared" si="7"/>
        <v>0.40418928968728229</v>
      </c>
      <c r="BI54" s="992"/>
      <c r="BJ54" s="913">
        <v>2969753.1100000003</v>
      </c>
      <c r="BK54" s="998"/>
      <c r="BL54" s="913">
        <v>4166154.1999999993</v>
      </c>
      <c r="BM54" s="1221"/>
      <c r="BN54" s="154">
        <f t="shared" si="8"/>
        <v>0.4028621389338316</v>
      </c>
      <c r="BO54" s="992"/>
      <c r="BP54" s="913">
        <v>1454836.57</v>
      </c>
      <c r="BQ54" s="988"/>
      <c r="BR54" s="913">
        <v>811674.8899999999</v>
      </c>
      <c r="BS54" s="1213"/>
      <c r="BT54" s="154">
        <f t="shared" si="9"/>
        <v>-0.44208517524411706</v>
      </c>
      <c r="BU54" s="992"/>
      <c r="BV54" s="913">
        <v>2110018.58</v>
      </c>
      <c r="BW54" s="998"/>
      <c r="BX54" s="913">
        <v>1413669.0500000003</v>
      </c>
      <c r="BY54" s="1221"/>
      <c r="BZ54" s="154">
        <f t="shared" si="10"/>
        <v>-0.33002056787575762</v>
      </c>
      <c r="CA54" s="968"/>
      <c r="CC54" s="965"/>
      <c r="CD54" s="965"/>
      <c r="CE54" s="965"/>
      <c r="CF54" s="965"/>
      <c r="CG54" s="965"/>
      <c r="CH54" s="965"/>
      <c r="CI54" s="965"/>
      <c r="CJ54" s="965"/>
      <c r="CK54" s="965"/>
    </row>
    <row r="55" spans="1:89" s="886" customFormat="1" ht="14.25">
      <c r="A55" s="1642"/>
      <c r="B55" s="1643"/>
      <c r="C55" s="913">
        <v>25.3</v>
      </c>
      <c r="D55" s="994" t="s">
        <v>2058</v>
      </c>
      <c r="E55" s="995" t="s">
        <v>205</v>
      </c>
      <c r="F55" s="1002"/>
      <c r="G55" s="1002"/>
      <c r="H55" s="991"/>
      <c r="I55" s="1002"/>
      <c r="J55" s="991">
        <f t="shared" si="19"/>
        <v>100956456.486</v>
      </c>
      <c r="K55" s="1310"/>
      <c r="L55" s="1020">
        <f t="shared" si="20"/>
        <v>85937233.929999992</v>
      </c>
      <c r="M55" s="1310"/>
      <c r="N55" s="1310">
        <f t="shared" si="13"/>
        <v>0</v>
      </c>
      <c r="O55" s="1257">
        <f t="shared" si="21"/>
        <v>0</v>
      </c>
      <c r="P55" s="1257">
        <f t="shared" si="14"/>
        <v>0</v>
      </c>
      <c r="Q55" s="1257">
        <f t="shared" si="15"/>
        <v>0</v>
      </c>
      <c r="R55" s="1257">
        <f t="shared" si="16"/>
        <v>0</v>
      </c>
      <c r="S55" s="992"/>
      <c r="T55" s="989">
        <v>59644654.329999998</v>
      </c>
      <c r="U55" s="1183"/>
      <c r="V55" s="989">
        <v>46130363.940000005</v>
      </c>
      <c r="W55" s="1183"/>
      <c r="X55" s="154">
        <f t="shared" si="1"/>
        <v>-0.22658007732308361</v>
      </c>
      <c r="Y55" s="992"/>
      <c r="Z55" s="1021">
        <v>257051716.80000001</v>
      </c>
      <c r="AA55" s="998"/>
      <c r="AB55" s="1021">
        <v>192084797.19999999</v>
      </c>
      <c r="AC55" s="1221"/>
      <c r="AD55" s="154">
        <f t="shared" si="2"/>
        <v>-0.25273871113861401</v>
      </c>
      <c r="AE55" s="992"/>
      <c r="AF55" s="989">
        <v>137156498.23000002</v>
      </c>
      <c r="AG55" s="988"/>
      <c r="AH55" s="989">
        <v>123618544.91999999</v>
      </c>
      <c r="AI55" s="1213"/>
      <c r="AJ55" s="154">
        <f t="shared" si="3"/>
        <v>-9.8704425125363038E-2</v>
      </c>
      <c r="AK55" s="992"/>
      <c r="AL55" s="1021">
        <v>82783612.489999995</v>
      </c>
      <c r="AM55" s="998"/>
      <c r="AN55" s="1021">
        <v>81062702.170000002</v>
      </c>
      <c r="AO55" s="1221"/>
      <c r="AP55" s="154">
        <f t="shared" si="4"/>
        <v>-2.0788055367937375E-2</v>
      </c>
      <c r="AQ55" s="992"/>
      <c r="AR55" s="1021">
        <v>140809911.77999997</v>
      </c>
      <c r="AS55" s="988"/>
      <c r="AT55" s="1021">
        <v>119136326.36999996</v>
      </c>
      <c r="AU55" s="1213"/>
      <c r="AV55" s="154">
        <f t="shared" si="5"/>
        <v>-0.15392087912009067</v>
      </c>
      <c r="AW55" s="992"/>
      <c r="AX55" s="913">
        <v>135229266.19999999</v>
      </c>
      <c r="AY55" s="998"/>
      <c r="AZ55" s="913">
        <v>134078362.72000001</v>
      </c>
      <c r="BA55" s="1221"/>
      <c r="BB55" s="154">
        <f t="shared" si="6"/>
        <v>-8.5107574147287313E-3</v>
      </c>
      <c r="BC55" s="992"/>
      <c r="BD55" s="913">
        <v>23931880.739999998</v>
      </c>
      <c r="BE55" s="988"/>
      <c r="BF55" s="913">
        <v>18908614.790000003</v>
      </c>
      <c r="BG55" s="1213"/>
      <c r="BH55" s="154">
        <f t="shared" si="7"/>
        <v>-0.20989850336350935</v>
      </c>
      <c r="BI55" s="992"/>
      <c r="BJ55" s="913">
        <v>108001824.48000002</v>
      </c>
      <c r="BK55" s="998"/>
      <c r="BL55" s="913">
        <v>89508791.75999999</v>
      </c>
      <c r="BM55" s="1221"/>
      <c r="BN55" s="154">
        <f t="shared" si="8"/>
        <v>-0.17122889181769896</v>
      </c>
      <c r="BO55" s="992"/>
      <c r="BP55" s="913">
        <v>25634512.48</v>
      </c>
      <c r="BQ55" s="988"/>
      <c r="BR55" s="913">
        <v>23733586.460000005</v>
      </c>
      <c r="BS55" s="1213"/>
      <c r="BT55" s="154">
        <f t="shared" si="9"/>
        <v>-7.41549511223627E-2</v>
      </c>
      <c r="BU55" s="992"/>
      <c r="BV55" s="913">
        <v>39320687.329999998</v>
      </c>
      <c r="BW55" s="998"/>
      <c r="BX55" s="913">
        <v>31110248.969999999</v>
      </c>
      <c r="BY55" s="1221"/>
      <c r="BZ55" s="154">
        <f t="shared" si="10"/>
        <v>-0.2088070915722724</v>
      </c>
      <c r="CA55" s="968"/>
      <c r="CC55" s="965"/>
      <c r="CD55" s="965"/>
      <c r="CE55" s="965"/>
      <c r="CF55" s="965"/>
      <c r="CG55" s="965"/>
      <c r="CH55" s="965"/>
      <c r="CI55" s="965"/>
      <c r="CJ55" s="965"/>
      <c r="CK55" s="965"/>
    </row>
    <row r="56" spans="1:89" s="886" customFormat="1" ht="14.25">
      <c r="A56" s="1642"/>
      <c r="B56" s="1643"/>
      <c r="C56" s="913">
        <v>25.4</v>
      </c>
      <c r="D56" s="994" t="s">
        <v>2059</v>
      </c>
      <c r="E56" s="995" t="s">
        <v>205</v>
      </c>
      <c r="F56" s="1002"/>
      <c r="G56" s="1002"/>
      <c r="H56" s="991"/>
      <c r="I56" s="1002"/>
      <c r="J56" s="991">
        <f t="shared" si="19"/>
        <v>31244205.800000001</v>
      </c>
      <c r="K56" s="1310"/>
      <c r="L56" s="1020">
        <f t="shared" si="20"/>
        <v>35082912.399999999</v>
      </c>
      <c r="M56" s="1310"/>
      <c r="N56" s="1310">
        <f t="shared" si="13"/>
        <v>0</v>
      </c>
      <c r="O56" s="1257">
        <f t="shared" si="21"/>
        <v>0</v>
      </c>
      <c r="P56" s="1257">
        <f t="shared" si="14"/>
        <v>0</v>
      </c>
      <c r="Q56" s="1257">
        <f t="shared" si="15"/>
        <v>0</v>
      </c>
      <c r="R56" s="1257">
        <f t="shared" si="16"/>
        <v>0</v>
      </c>
      <c r="S56" s="992"/>
      <c r="T56" s="989">
        <v>11359726</v>
      </c>
      <c r="U56" s="1183"/>
      <c r="V56" s="989">
        <v>11308628</v>
      </c>
      <c r="W56" s="1183"/>
      <c r="X56" s="154">
        <f t="shared" si="1"/>
        <v>-4.4981718749201871E-3</v>
      </c>
      <c r="Y56" s="992"/>
      <c r="Z56" s="1021">
        <v>64171101</v>
      </c>
      <c r="AA56" s="998"/>
      <c r="AB56" s="1021">
        <v>70607710</v>
      </c>
      <c r="AC56" s="1221"/>
      <c r="AD56" s="154">
        <f t="shared" si="2"/>
        <v>0.10030385796248065</v>
      </c>
      <c r="AE56" s="992"/>
      <c r="AF56" s="989">
        <v>40669328</v>
      </c>
      <c r="AG56" s="988"/>
      <c r="AH56" s="989">
        <v>41453866</v>
      </c>
      <c r="AI56" s="1213"/>
      <c r="AJ56" s="154">
        <f t="shared" si="3"/>
        <v>1.9290655601685858E-2</v>
      </c>
      <c r="AK56" s="992"/>
      <c r="AL56" s="1021">
        <v>40303645</v>
      </c>
      <c r="AM56" s="998"/>
      <c r="AN56" s="1021">
        <v>54947409</v>
      </c>
      <c r="AO56" s="1221"/>
      <c r="AP56" s="154">
        <f t="shared" si="4"/>
        <v>0.36333597122543138</v>
      </c>
      <c r="AQ56" s="992"/>
      <c r="AR56" s="1021">
        <v>39205811</v>
      </c>
      <c r="AS56" s="988"/>
      <c r="AT56" s="1021">
        <v>49517756</v>
      </c>
      <c r="AU56" s="1213"/>
      <c r="AV56" s="154">
        <f t="shared" si="5"/>
        <v>0.26302083127422105</v>
      </c>
      <c r="AW56" s="992"/>
      <c r="AX56" s="913">
        <v>45072141</v>
      </c>
      <c r="AY56" s="998"/>
      <c r="AZ56" s="913">
        <v>58640900</v>
      </c>
      <c r="BA56" s="1221"/>
      <c r="BB56" s="154">
        <f t="shared" si="6"/>
        <v>0.30104536192323317</v>
      </c>
      <c r="BC56" s="992"/>
      <c r="BD56" s="913">
        <v>7816452</v>
      </c>
      <c r="BE56" s="988"/>
      <c r="BF56" s="913">
        <v>6162000</v>
      </c>
      <c r="BG56" s="1213"/>
      <c r="BH56" s="154">
        <f t="shared" si="7"/>
        <v>-0.21166278511017533</v>
      </c>
      <c r="BI56" s="992"/>
      <c r="BJ56" s="913">
        <v>37953665</v>
      </c>
      <c r="BK56" s="998"/>
      <c r="BL56" s="913">
        <v>33010462</v>
      </c>
      <c r="BM56" s="1221"/>
      <c r="BN56" s="154">
        <f t="shared" si="8"/>
        <v>-0.13024310036988518</v>
      </c>
      <c r="BO56" s="992"/>
      <c r="BP56" s="913">
        <v>11273945</v>
      </c>
      <c r="BQ56" s="988"/>
      <c r="BR56" s="913">
        <v>11904344</v>
      </c>
      <c r="BS56" s="1213"/>
      <c r="BT56" s="154">
        <f t="shared" si="9"/>
        <v>5.5916451605892981E-2</v>
      </c>
      <c r="BU56" s="992"/>
      <c r="BV56" s="913">
        <v>14616244</v>
      </c>
      <c r="BW56" s="998"/>
      <c r="BX56" s="913">
        <v>13276049</v>
      </c>
      <c r="BY56" s="1221"/>
      <c r="BZ56" s="154">
        <f t="shared" si="10"/>
        <v>-9.1692161132504335E-2</v>
      </c>
      <c r="CA56" s="968"/>
      <c r="CC56" s="965"/>
      <c r="CD56" s="965"/>
      <c r="CE56" s="965"/>
      <c r="CF56" s="965"/>
      <c r="CG56" s="965"/>
      <c r="CH56" s="965"/>
      <c r="CI56" s="965"/>
      <c r="CJ56" s="965"/>
      <c r="CK56" s="965"/>
    </row>
    <row r="57" spans="1:89" s="886" customFormat="1" ht="14.25">
      <c r="A57" s="1642" t="s">
        <v>2462</v>
      </c>
      <c r="B57" s="1642" t="s">
        <v>2117</v>
      </c>
      <c r="C57" s="899">
        <v>26</v>
      </c>
      <c r="D57" s="986" t="s">
        <v>2457</v>
      </c>
      <c r="E57" s="1018"/>
      <c r="F57" s="988"/>
      <c r="G57" s="988" t="s">
        <v>394</v>
      </c>
      <c r="H57" s="991" t="s">
        <v>229</v>
      </c>
      <c r="I57" s="990">
        <v>3</v>
      </c>
      <c r="J57" s="1212">
        <f t="shared" si="19"/>
        <v>1.9760623176379938E-3</v>
      </c>
      <c r="K57" s="1312">
        <f>AVERAGE(BW57,BQ57,BK57,BE57,AY57,AS57,AM57,AG57,AA57,U57)</f>
        <v>3</v>
      </c>
      <c r="L57" s="1212">
        <f t="shared" si="20"/>
        <v>2.2950865936532581E-3</v>
      </c>
      <c r="M57" s="1312">
        <f>AVERAGE(BY57,BS57,BM57,BG57,BA57,AU57,AO57,AI57,AC57,W57)</f>
        <v>3</v>
      </c>
      <c r="N57" s="1310">
        <f t="shared" si="13"/>
        <v>0</v>
      </c>
      <c r="O57" s="1257">
        <f t="shared" si="21"/>
        <v>0</v>
      </c>
      <c r="P57" s="1257">
        <f t="shared" si="14"/>
        <v>0</v>
      </c>
      <c r="Q57" s="1257">
        <f t="shared" si="15"/>
        <v>0</v>
      </c>
      <c r="R57" s="1257">
        <f t="shared" si="16"/>
        <v>0</v>
      </c>
      <c r="S57" s="992"/>
      <c r="T57" s="1180">
        <v>1.6262969011628416E-3</v>
      </c>
      <c r="U57" s="1183">
        <f>IF(T57&lt;=0.03,3,IF(T57&lt;=0.05,1.5,0))</f>
        <v>3</v>
      </c>
      <c r="V57" s="1180">
        <f>IF(V62=0,"",(SUM(V58:V59)-SUM(V60:V61))/V62)</f>
        <v>1.4148300268646944E-3</v>
      </c>
      <c r="W57" s="1183">
        <f>IF(V57&lt;=0.03,3,IF(V57&lt;=0.05,1.5,0))</f>
        <v>3</v>
      </c>
      <c r="X57" s="154">
        <f t="shared" si="1"/>
        <v>-0.13002968532187642</v>
      </c>
      <c r="Y57" s="992"/>
      <c r="Z57" s="1180">
        <v>4.7672161634206098E-3</v>
      </c>
      <c r="AA57" s="988">
        <f>IF(Z57&lt;=0.03,3,IF(Z57&lt;=0.05,1.5,0))</f>
        <v>3</v>
      </c>
      <c r="AB57" s="1180">
        <f>IF(AB62=0,"",(SUM(AB58:AB59)-SUM(AB60:AB61))/AB62)</f>
        <v>-9.415234505832273E-4</v>
      </c>
      <c r="AC57" s="1213">
        <f>IF(AB57&lt;=0.03,3,IF(AB57&lt;=0.05,1.5,0))</f>
        <v>3</v>
      </c>
      <c r="AD57" s="154">
        <f t="shared" si="2"/>
        <v>-1.197499634652115</v>
      </c>
      <c r="AE57" s="992"/>
      <c r="AF57" s="1180">
        <v>2.6862934963915643E-3</v>
      </c>
      <c r="AG57" s="988">
        <f>IF(AF57&lt;=0.03,3,IF(AF57&lt;=0.05,1.5,0))</f>
        <v>3</v>
      </c>
      <c r="AH57" s="1180">
        <f>IF(AH62=0,"",(SUM(AH58:AH59)-SUM(AH60:AH61))/AH62)</f>
        <v>4.5135219924905901E-3</v>
      </c>
      <c r="AI57" s="1213">
        <f>IF(AH57&lt;=0.03,3,IF(AH57&lt;=0.05,1.5,0))</f>
        <v>3</v>
      </c>
      <c r="AJ57" s="154">
        <f t="shared" si="3"/>
        <v>0.68020434049872036</v>
      </c>
      <c r="AK57" s="992"/>
      <c r="AL57" s="1180">
        <v>4.3376011569974064E-3</v>
      </c>
      <c r="AM57" s="988">
        <f>IF(AL57&lt;=0.03,3,IF(AL57&lt;=0.05,1.5,0))</f>
        <v>3</v>
      </c>
      <c r="AN57" s="1180">
        <f>IF(AN62=0,"",(SUM(AN58:AN59)-SUM(AN60:AN61))/AN62)</f>
        <v>4.3911769085689745E-3</v>
      </c>
      <c r="AO57" s="1213">
        <f>IF(AN57&lt;=0.03,3,IF(AN57&lt;=0.05,1.5,0))</f>
        <v>3</v>
      </c>
      <c r="AP57" s="154">
        <f t="shared" si="4"/>
        <v>1.2351470232605299E-2</v>
      </c>
      <c r="AQ57" s="992"/>
      <c r="AR57" s="1180">
        <v>2.5032391804520123E-3</v>
      </c>
      <c r="AS57" s="988">
        <f>IF(AR57&lt;=0.03,3,IF(AR57&lt;=0.05,1.5,0))</f>
        <v>3</v>
      </c>
      <c r="AT57" s="1180">
        <f>IF(AT62=0,"",(SUM(AT58:AT59)-SUM(AT60:AT61))/AT62)</f>
        <v>1.8484411508707117E-3</v>
      </c>
      <c r="AU57" s="1213">
        <f>IF(AT57&lt;=0.03,3,IF(AT57&lt;=0.05,1.5,0))</f>
        <v>3</v>
      </c>
      <c r="AV57" s="154">
        <f t="shared" si="5"/>
        <v>-0.26158028952833146</v>
      </c>
      <c r="AW57" s="992"/>
      <c r="AX57" s="1180">
        <v>1.4798970302364566E-3</v>
      </c>
      <c r="AY57" s="988">
        <f>IF(AX57&lt;=0.03,3,IF(AX57&lt;=0.05,1.5,0))</f>
        <v>3</v>
      </c>
      <c r="AZ57" s="1180">
        <f>IF(AZ62=0,"",(SUM(AZ58:AZ59)-SUM(AZ60:AZ61))/AZ62)</f>
        <v>1.8838227588796864E-3</v>
      </c>
      <c r="BA57" s="1213">
        <f>IF(AZ57&lt;=0.03,3,IF(AZ57&lt;=0.05,1.5,0))</f>
        <v>3</v>
      </c>
      <c r="BB57" s="154">
        <f t="shared" si="6"/>
        <v>0.27294177932007258</v>
      </c>
      <c r="BC57" s="992"/>
      <c r="BD57" s="1180">
        <v>2.8672648940238229E-3</v>
      </c>
      <c r="BE57" s="988">
        <f>IF(BD57&lt;=0.03,3,IF(BD57&lt;=0.05,1.5,0))</f>
        <v>3</v>
      </c>
      <c r="BF57" s="1180">
        <f>IF(BF62=0,"",(SUM(BF58:BF59)-SUM(BF60:BF61))/BF62)</f>
        <v>1.9775083563896298E-3</v>
      </c>
      <c r="BG57" s="1213">
        <f>IF(BF57&lt;=0.03,3,IF(BF57&lt;=0.05,1.5,0))</f>
        <v>3</v>
      </c>
      <c r="BH57" s="154">
        <f t="shared" si="7"/>
        <v>-0.31031542969353587</v>
      </c>
      <c r="BI57" s="992"/>
      <c r="BJ57" s="1180">
        <v>1.8695411822902362E-3</v>
      </c>
      <c r="BK57" s="988">
        <f>IF(BJ57&lt;=0.03,3,IF(BJ57&lt;=0.05,1.5,0))</f>
        <v>3</v>
      </c>
      <c r="BL57" s="1180">
        <f>IF(BL62=0,"",(SUM(BL58:BL59)-SUM(BL60:BL61))/BL62)</f>
        <v>4.1697142711307183E-3</v>
      </c>
      <c r="BM57" s="1213">
        <f>IF(BL57&lt;=0.03,3,IF(BL57&lt;=0.05,1.5,0))</f>
        <v>3</v>
      </c>
      <c r="BN57" s="154">
        <f t="shared" si="8"/>
        <v>1.2303409577866109</v>
      </c>
      <c r="BO57" s="992"/>
      <c r="BP57" s="1180">
        <v>-3.3744858338411962E-3</v>
      </c>
      <c r="BQ57" s="988">
        <f>IF(BP57&lt;=0.03,3,IF(BP57&lt;=0.05,1.5,0))</f>
        <v>3</v>
      </c>
      <c r="BR57" s="1180">
        <f>IF(BR62=0,"",(SUM(BR58:BR59)-SUM(BR60:BR61))/BR62)</f>
        <v>4.0891993044712375E-4</v>
      </c>
      <c r="BS57" s="1213">
        <f>IF(BR57&lt;=0.03,3,IF(BR57&lt;=0.05,1.5,0))</f>
        <v>3</v>
      </c>
      <c r="BT57" s="154">
        <f t="shared" si="9"/>
        <v>-1.1211799220925007</v>
      </c>
      <c r="BU57" s="992"/>
      <c r="BV57" s="1180">
        <v>9.9775900524618432E-4</v>
      </c>
      <c r="BW57" s="988">
        <f>IF(BV57&lt;=0.03,3,IF(BV57&lt;=0.05,1.5,0))</f>
        <v>3</v>
      </c>
      <c r="BX57" s="1180">
        <f>IF(BX62=0,"",(SUM(BX58:BX59)-SUM(BX60:BX61))/BX62)</f>
        <v>3.284453991473681E-3</v>
      </c>
      <c r="BY57" s="1213">
        <f>IF(BX57&lt;=0.03,3,IF(BX57&lt;=0.05,1.5,0))</f>
        <v>3</v>
      </c>
      <c r="BZ57" s="154">
        <f t="shared" si="10"/>
        <v>2.2918309674020771</v>
      </c>
      <c r="CA57" s="968"/>
      <c r="CC57" s="965"/>
      <c r="CD57" s="965"/>
      <c r="CE57" s="965"/>
      <c r="CF57" s="965"/>
      <c r="CG57" s="965"/>
      <c r="CH57" s="965"/>
      <c r="CI57" s="965"/>
      <c r="CJ57" s="965"/>
      <c r="CK57" s="965"/>
    </row>
    <row r="58" spans="1:89" s="886" customFormat="1" ht="14.25">
      <c r="A58" s="1643"/>
      <c r="B58" s="1643"/>
      <c r="C58" s="913">
        <v>26.1</v>
      </c>
      <c r="D58" s="994" t="s">
        <v>2459</v>
      </c>
      <c r="E58" s="995" t="s">
        <v>2101</v>
      </c>
      <c r="F58" s="1018" t="s">
        <v>1143</v>
      </c>
      <c r="G58" s="1022"/>
      <c r="H58" s="1023"/>
      <c r="I58" s="1022"/>
      <c r="J58" s="991">
        <f t="shared" si="19"/>
        <v>103393247.698</v>
      </c>
      <c r="K58" s="1310"/>
      <c r="L58" s="991">
        <f t="shared" si="20"/>
        <v>96693989.164000005</v>
      </c>
      <c r="M58" s="1310"/>
      <c r="N58" s="1310">
        <f t="shared" si="13"/>
        <v>0</v>
      </c>
      <c r="O58" s="1257">
        <f t="shared" si="21"/>
        <v>0</v>
      </c>
      <c r="P58" s="1257">
        <f t="shared" si="14"/>
        <v>0</v>
      </c>
      <c r="Q58" s="1257">
        <f t="shared" si="15"/>
        <v>0</v>
      </c>
      <c r="R58" s="1257">
        <f t="shared" si="16"/>
        <v>0</v>
      </c>
      <c r="S58" s="992"/>
      <c r="T58" s="989">
        <v>42470881</v>
      </c>
      <c r="U58" s="1183"/>
      <c r="V58" s="989">
        <v>32774603</v>
      </c>
      <c r="W58" s="1183"/>
      <c r="X58" s="154">
        <f t="shared" si="1"/>
        <v>-0.22830414090067974</v>
      </c>
      <c r="Y58" s="992"/>
      <c r="Z58" s="989">
        <v>304877470.03999996</v>
      </c>
      <c r="AA58" s="988"/>
      <c r="AB58" s="989">
        <v>125869082.96999998</v>
      </c>
      <c r="AC58" s="1213"/>
      <c r="AD58" s="154">
        <f t="shared" si="2"/>
        <v>-0.58714862415551416</v>
      </c>
      <c r="AE58" s="992"/>
      <c r="AF58" s="913">
        <v>142772920.10000002</v>
      </c>
      <c r="AG58" s="988"/>
      <c r="AH58" s="913">
        <v>178818653.13</v>
      </c>
      <c r="AI58" s="1213"/>
      <c r="AJ58" s="154">
        <f t="shared" si="3"/>
        <v>0.25246897664314116</v>
      </c>
      <c r="AK58" s="992"/>
      <c r="AL58" s="913">
        <v>27322929.420000002</v>
      </c>
      <c r="AM58" s="988"/>
      <c r="AN58" s="913">
        <v>31259513.219999999</v>
      </c>
      <c r="AO58" s="1213"/>
      <c r="AP58" s="154">
        <f t="shared" si="4"/>
        <v>0.14407619840054453</v>
      </c>
      <c r="AQ58" s="992"/>
      <c r="AR58" s="913">
        <v>148508022.82999998</v>
      </c>
      <c r="AS58" s="988"/>
      <c r="AT58" s="913">
        <v>138554454.01000002</v>
      </c>
      <c r="AU58" s="1213"/>
      <c r="AV58" s="154">
        <f t="shared" si="5"/>
        <v>-6.7023778448616289E-2</v>
      </c>
      <c r="AW58" s="992"/>
      <c r="AX58" s="913">
        <v>163043878.24000001</v>
      </c>
      <c r="AY58" s="988"/>
      <c r="AZ58" s="913">
        <v>169113617.87</v>
      </c>
      <c r="BA58" s="1213"/>
      <c r="BB58" s="154">
        <f t="shared" si="6"/>
        <v>3.7227645070275761E-2</v>
      </c>
      <c r="BC58" s="992"/>
      <c r="BD58" s="913">
        <v>39496650.049999997</v>
      </c>
      <c r="BE58" s="988"/>
      <c r="BF58" s="913">
        <v>42037877.560000002</v>
      </c>
      <c r="BG58" s="1213"/>
      <c r="BH58" s="154">
        <f t="shared" si="7"/>
        <v>6.4340330300999948E-2</v>
      </c>
      <c r="BI58" s="992"/>
      <c r="BJ58" s="913">
        <v>89126983.149999991</v>
      </c>
      <c r="BK58" s="988"/>
      <c r="BL58" s="913">
        <v>128755033.65000001</v>
      </c>
      <c r="BM58" s="1213"/>
      <c r="BN58" s="154">
        <f t="shared" si="8"/>
        <v>0.44462461422380173</v>
      </c>
      <c r="BO58" s="992"/>
      <c r="BP58" s="913">
        <v>24301453</v>
      </c>
      <c r="BQ58" s="988"/>
      <c r="BR58" s="913">
        <v>30759386.68</v>
      </c>
      <c r="BS58" s="1213"/>
      <c r="BT58" s="154">
        <f t="shared" si="9"/>
        <v>0.26574269777202209</v>
      </c>
      <c r="BU58" s="992"/>
      <c r="BV58" s="913">
        <v>52011289.150000006</v>
      </c>
      <c r="BW58" s="988"/>
      <c r="BX58" s="913">
        <v>88997669.549999997</v>
      </c>
      <c r="BY58" s="1213"/>
      <c r="BZ58" s="154">
        <f t="shared" si="10"/>
        <v>0.71112216221620006</v>
      </c>
      <c r="CA58" s="968"/>
      <c r="CC58" s="965"/>
      <c r="CD58" s="965"/>
      <c r="CE58" s="965"/>
      <c r="CF58" s="965"/>
      <c r="CG58" s="965"/>
      <c r="CH58" s="965"/>
      <c r="CI58" s="965"/>
      <c r="CJ58" s="965"/>
      <c r="CK58" s="965"/>
    </row>
    <row r="59" spans="1:89" s="886" customFormat="1" ht="14.25">
      <c r="A59" s="1643"/>
      <c r="B59" s="1643"/>
      <c r="C59" s="913">
        <v>26.2</v>
      </c>
      <c r="D59" s="994" t="s">
        <v>2458</v>
      </c>
      <c r="E59" s="995" t="s">
        <v>2101</v>
      </c>
      <c r="F59" s="1018" t="s">
        <v>1143</v>
      </c>
      <c r="G59" s="1022"/>
      <c r="H59" s="1023"/>
      <c r="I59" s="1022"/>
      <c r="J59" s="991">
        <f t="shared" si="19"/>
        <v>651544.80000000005</v>
      </c>
      <c r="K59" s="1310"/>
      <c r="L59" s="991">
        <f t="shared" si="20"/>
        <v>971811.3</v>
      </c>
      <c r="M59" s="1310"/>
      <c r="N59" s="1310">
        <f t="shared" si="13"/>
        <v>0</v>
      </c>
      <c r="O59" s="1257">
        <f t="shared" si="21"/>
        <v>0</v>
      </c>
      <c r="P59" s="1257">
        <f t="shared" si="14"/>
        <v>0</v>
      </c>
      <c r="Q59" s="1257">
        <f t="shared" si="15"/>
        <v>0</v>
      </c>
      <c r="R59" s="1257">
        <f t="shared" si="16"/>
        <v>0</v>
      </c>
      <c r="S59" s="992"/>
      <c r="T59" s="989">
        <v>0</v>
      </c>
      <c r="U59" s="1183"/>
      <c r="V59" s="989">
        <v>153000</v>
      </c>
      <c r="W59" s="1183"/>
      <c r="X59" s="154">
        <f t="shared" si="1"/>
        <v>1</v>
      </c>
      <c r="Y59" s="992"/>
      <c r="Z59" s="989">
        <v>3221458</v>
      </c>
      <c r="AA59" s="988"/>
      <c r="AB59" s="989">
        <v>1838785</v>
      </c>
      <c r="AC59" s="1213"/>
      <c r="AD59" s="154">
        <f t="shared" si="2"/>
        <v>-0.42920720990309358</v>
      </c>
      <c r="AE59" s="992"/>
      <c r="AF59" s="913">
        <v>585573</v>
      </c>
      <c r="AG59" s="988"/>
      <c r="AH59" s="913">
        <v>600174</v>
      </c>
      <c r="AI59" s="1213"/>
      <c r="AJ59" s="154">
        <f t="shared" si="3"/>
        <v>2.4934551285663797E-2</v>
      </c>
      <c r="AK59" s="992"/>
      <c r="AL59" s="913">
        <v>0</v>
      </c>
      <c r="AM59" s="988"/>
      <c r="AN59" s="913">
        <v>1356521</v>
      </c>
      <c r="AO59" s="1213"/>
      <c r="AP59" s="154">
        <f t="shared" si="4"/>
        <v>1</v>
      </c>
      <c r="AQ59" s="992"/>
      <c r="AR59" s="913">
        <v>0</v>
      </c>
      <c r="AS59" s="988"/>
      <c r="AT59" s="913">
        <v>1927068</v>
      </c>
      <c r="AU59" s="1213"/>
      <c r="AV59" s="154">
        <f t="shared" si="5"/>
        <v>1</v>
      </c>
      <c r="AW59" s="992"/>
      <c r="AX59" s="913">
        <v>293076</v>
      </c>
      <c r="AY59" s="988"/>
      <c r="AZ59" s="913">
        <v>2269964</v>
      </c>
      <c r="BA59" s="1213"/>
      <c r="BB59" s="154">
        <f t="shared" si="6"/>
        <v>6.7453083841733887</v>
      </c>
      <c r="BC59" s="992"/>
      <c r="BD59" s="913">
        <v>161743</v>
      </c>
      <c r="BE59" s="988"/>
      <c r="BF59" s="913">
        <v>0</v>
      </c>
      <c r="BG59" s="1213"/>
      <c r="BH59" s="154">
        <f t="shared" si="7"/>
        <v>-1</v>
      </c>
      <c r="BI59" s="992"/>
      <c r="BJ59" s="913">
        <v>1645089</v>
      </c>
      <c r="BK59" s="988"/>
      <c r="BL59" s="913">
        <v>192470</v>
      </c>
      <c r="BM59" s="1213"/>
      <c r="BN59" s="154">
        <f t="shared" si="8"/>
        <v>-0.883003290399486</v>
      </c>
      <c r="BO59" s="992"/>
      <c r="BP59" s="913">
        <v>126799</v>
      </c>
      <c r="BQ59" s="988"/>
      <c r="BR59" s="913">
        <v>132136</v>
      </c>
      <c r="BS59" s="1213"/>
      <c r="BT59" s="154">
        <f t="shared" si="9"/>
        <v>4.2090237304710509E-2</v>
      </c>
      <c r="BU59" s="992"/>
      <c r="BV59" s="913">
        <v>481710</v>
      </c>
      <c r="BW59" s="988"/>
      <c r="BX59" s="913">
        <v>1247995</v>
      </c>
      <c r="BY59" s="1213"/>
      <c r="BZ59" s="154">
        <f t="shared" si="10"/>
        <v>1.5907600008303753</v>
      </c>
      <c r="CA59" s="968"/>
      <c r="CC59" s="965"/>
      <c r="CD59" s="965"/>
      <c r="CE59" s="965"/>
      <c r="CF59" s="965"/>
      <c r="CG59" s="965"/>
      <c r="CH59" s="965"/>
      <c r="CI59" s="965"/>
      <c r="CJ59" s="965"/>
      <c r="CK59" s="965"/>
    </row>
    <row r="60" spans="1:89" s="886" customFormat="1" ht="14.25">
      <c r="A60" s="1643"/>
      <c r="B60" s="1643"/>
      <c r="C60" s="913">
        <v>26.3</v>
      </c>
      <c r="D60" s="994" t="s">
        <v>2460</v>
      </c>
      <c r="E60" s="995" t="s">
        <v>2101</v>
      </c>
      <c r="F60" s="1018" t="s">
        <v>1143</v>
      </c>
      <c r="G60" s="1022"/>
      <c r="H60" s="1023"/>
      <c r="I60" s="1022"/>
      <c r="J60" s="991">
        <f t="shared" si="19"/>
        <v>13189659.797</v>
      </c>
      <c r="K60" s="1310"/>
      <c r="L60" s="991">
        <f t="shared" si="20"/>
        <v>13694055.565000001</v>
      </c>
      <c r="M60" s="1310"/>
      <c r="N60" s="1310">
        <f t="shared" si="13"/>
        <v>0</v>
      </c>
      <c r="O60" s="1257">
        <f t="shared" si="21"/>
        <v>0</v>
      </c>
      <c r="P60" s="1257">
        <f t="shared" si="14"/>
        <v>0</v>
      </c>
      <c r="Q60" s="1257">
        <f t="shared" si="15"/>
        <v>0</v>
      </c>
      <c r="R60" s="1257">
        <f t="shared" si="16"/>
        <v>0</v>
      </c>
      <c r="S60" s="992"/>
      <c r="T60" s="989">
        <v>2234746.41</v>
      </c>
      <c r="U60" s="1183"/>
      <c r="V60" s="989">
        <v>2300280.83</v>
      </c>
      <c r="W60" s="1183"/>
      <c r="X60" s="154">
        <f t="shared" si="1"/>
        <v>2.9325215472658428E-2</v>
      </c>
      <c r="Y60" s="992"/>
      <c r="Z60" s="989">
        <v>18669580.380000003</v>
      </c>
      <c r="AA60" s="988"/>
      <c r="AB60" s="989">
        <v>24892625</v>
      </c>
      <c r="AC60" s="1213"/>
      <c r="AD60" s="154">
        <f t="shared" si="2"/>
        <v>0.33332536100631938</v>
      </c>
      <c r="AE60" s="992"/>
      <c r="AF60" s="913">
        <v>21954084.740000002</v>
      </c>
      <c r="AG60" s="988"/>
      <c r="AH60" s="913">
        <v>21684173.649999999</v>
      </c>
      <c r="AI60" s="1213"/>
      <c r="AJ60" s="154">
        <f t="shared" si="3"/>
        <v>-1.2294344911051081E-2</v>
      </c>
      <c r="AK60" s="992"/>
      <c r="AL60" s="913">
        <v>3806036</v>
      </c>
      <c r="AM60" s="988"/>
      <c r="AN60" s="913">
        <v>7925858</v>
      </c>
      <c r="AO60" s="1213"/>
      <c r="AP60" s="154">
        <f t="shared" si="4"/>
        <v>1.0824443068851686</v>
      </c>
      <c r="AQ60" s="992"/>
      <c r="AR60" s="913">
        <v>15676872.68</v>
      </c>
      <c r="AS60" s="988"/>
      <c r="AT60" s="913">
        <v>13535965.470000001</v>
      </c>
      <c r="AU60" s="1213"/>
      <c r="AV60" s="154">
        <f t="shared" si="5"/>
        <v>-0.13656468695642932</v>
      </c>
      <c r="AW60" s="992"/>
      <c r="AX60" s="913">
        <v>30396880.760000002</v>
      </c>
      <c r="AY60" s="988"/>
      <c r="AZ60" s="913">
        <v>31251685.539999999</v>
      </c>
      <c r="BA60" s="1213"/>
      <c r="BB60" s="154">
        <f t="shared" si="6"/>
        <v>2.8121463736662689E-2</v>
      </c>
      <c r="BC60" s="992"/>
      <c r="BD60" s="913">
        <v>5834266</v>
      </c>
      <c r="BE60" s="988"/>
      <c r="BF60" s="913">
        <v>7483586.6099999994</v>
      </c>
      <c r="BG60" s="1213"/>
      <c r="BH60" s="154">
        <f t="shared" si="7"/>
        <v>0.28269547703172937</v>
      </c>
      <c r="BI60" s="992"/>
      <c r="BJ60" s="913">
        <v>19732438</v>
      </c>
      <c r="BK60" s="988"/>
      <c r="BL60" s="913">
        <v>12269021</v>
      </c>
      <c r="BM60" s="1213"/>
      <c r="BN60" s="154">
        <f t="shared" si="8"/>
        <v>-0.37823086027180219</v>
      </c>
      <c r="BO60" s="992"/>
      <c r="BP60" s="913">
        <v>6391002</v>
      </c>
      <c r="BQ60" s="988"/>
      <c r="BR60" s="913">
        <v>8319001</v>
      </c>
      <c r="BS60" s="1213"/>
      <c r="BT60" s="154">
        <f t="shared" si="9"/>
        <v>0.30167397850916022</v>
      </c>
      <c r="BU60" s="992"/>
      <c r="BV60" s="913">
        <v>7200691</v>
      </c>
      <c r="BW60" s="988"/>
      <c r="BX60" s="913">
        <v>7278358.5499999998</v>
      </c>
      <c r="BY60" s="1213"/>
      <c r="BZ60" s="154">
        <f t="shared" si="10"/>
        <v>1.0786124553879617E-2</v>
      </c>
      <c r="CA60" s="968"/>
      <c r="CC60" s="965"/>
      <c r="CD60" s="965"/>
      <c r="CE60" s="965"/>
      <c r="CF60" s="965"/>
      <c r="CG60" s="965"/>
      <c r="CH60" s="965"/>
      <c r="CI60" s="965"/>
      <c r="CJ60" s="965"/>
      <c r="CK60" s="965"/>
    </row>
    <row r="61" spans="1:89" s="886" customFormat="1" ht="14.25">
      <c r="A61" s="1643"/>
      <c r="B61" s="1643"/>
      <c r="C61" s="913">
        <v>26.4</v>
      </c>
      <c r="D61" s="994" t="s">
        <v>2461</v>
      </c>
      <c r="E61" s="995" t="s">
        <v>2101</v>
      </c>
      <c r="F61" s="1018" t="s">
        <v>1143</v>
      </c>
      <c r="G61" s="1022"/>
      <c r="H61" s="1023"/>
      <c r="I61" s="1022"/>
      <c r="J61" s="991">
        <f t="shared" si="19"/>
        <v>43944049.100000001</v>
      </c>
      <c r="K61" s="1310"/>
      <c r="L61" s="991">
        <f t="shared" si="20"/>
        <v>47362377.399999999</v>
      </c>
      <c r="M61" s="1310"/>
      <c r="N61" s="1310">
        <f t="shared" si="13"/>
        <v>0</v>
      </c>
      <c r="O61" s="1257">
        <f t="shared" si="21"/>
        <v>0</v>
      </c>
      <c r="P61" s="1257">
        <f t="shared" si="14"/>
        <v>0</v>
      </c>
      <c r="Q61" s="1257">
        <f t="shared" si="15"/>
        <v>0</v>
      </c>
      <c r="R61" s="1257">
        <f t="shared" si="16"/>
        <v>0</v>
      </c>
      <c r="S61" s="992"/>
      <c r="T61" s="989">
        <v>14840000</v>
      </c>
      <c r="U61" s="1183"/>
      <c r="V61" s="989">
        <v>9744732</v>
      </c>
      <c r="W61" s="1183"/>
      <c r="X61" s="154">
        <f t="shared" si="1"/>
        <v>-0.34334690026954173</v>
      </c>
      <c r="Y61" s="992"/>
      <c r="Z61" s="989">
        <v>123711652</v>
      </c>
      <c r="AA61" s="988"/>
      <c r="AB61" s="989">
        <v>134166668</v>
      </c>
      <c r="AC61" s="1213"/>
      <c r="AD61" s="154">
        <f t="shared" si="2"/>
        <v>8.4511166337023713E-2</v>
      </c>
      <c r="AE61" s="992"/>
      <c r="AF61" s="913">
        <v>52453130</v>
      </c>
      <c r="AG61" s="988"/>
      <c r="AH61" s="913">
        <v>54523901</v>
      </c>
      <c r="AI61" s="1213"/>
      <c r="AJ61" s="154">
        <f t="shared" si="3"/>
        <v>3.9478502045540376E-2</v>
      </c>
      <c r="AK61" s="992"/>
      <c r="AL61" s="913">
        <v>3667100</v>
      </c>
      <c r="AM61" s="988"/>
      <c r="AN61" s="913">
        <v>5995000</v>
      </c>
      <c r="AO61" s="1213"/>
      <c r="AP61" s="154">
        <f t="shared" si="4"/>
        <v>0.63480679556052477</v>
      </c>
      <c r="AQ61" s="992"/>
      <c r="AR61" s="913">
        <v>51347715</v>
      </c>
      <c r="AS61" s="988"/>
      <c r="AT61" s="913">
        <v>70730146</v>
      </c>
      <c r="AU61" s="1213"/>
      <c r="AV61" s="154">
        <f t="shared" si="5"/>
        <v>0.37747407065728233</v>
      </c>
      <c r="AW61" s="992"/>
      <c r="AX61" s="913">
        <v>81232759</v>
      </c>
      <c r="AY61" s="988"/>
      <c r="AZ61" s="913">
        <v>80796566</v>
      </c>
      <c r="BA61" s="1213"/>
      <c r="BB61" s="154">
        <f t="shared" si="6"/>
        <v>-5.3696686579364217E-3</v>
      </c>
      <c r="BC61" s="992"/>
      <c r="BD61" s="913">
        <v>9652165</v>
      </c>
      <c r="BE61" s="988"/>
      <c r="BF61" s="913">
        <v>18607738</v>
      </c>
      <c r="BG61" s="1213"/>
      <c r="BH61" s="154">
        <f t="shared" si="7"/>
        <v>0.92783049191554423</v>
      </c>
      <c r="BI61" s="992"/>
      <c r="BJ61" s="913">
        <v>29325551</v>
      </c>
      <c r="BK61" s="988"/>
      <c r="BL61" s="913">
        <v>34143272</v>
      </c>
      <c r="BM61" s="1213"/>
      <c r="BN61" s="154">
        <f t="shared" si="8"/>
        <v>0.1642840743213998</v>
      </c>
      <c r="BO61" s="992"/>
      <c r="BP61" s="913">
        <v>39878286</v>
      </c>
      <c r="BQ61" s="988"/>
      <c r="BR61" s="913">
        <v>20281900</v>
      </c>
      <c r="BS61" s="1213"/>
      <c r="BT61" s="154">
        <f t="shared" si="9"/>
        <v>-0.49140492146528059</v>
      </c>
      <c r="BU61" s="992"/>
      <c r="BV61" s="913">
        <v>33332133</v>
      </c>
      <c r="BW61" s="988"/>
      <c r="BX61" s="913">
        <v>44633851</v>
      </c>
      <c r="BY61" s="1213"/>
      <c r="BZ61" s="154">
        <f t="shared" si="10"/>
        <v>0.33906374968562614</v>
      </c>
      <c r="CA61" s="968"/>
      <c r="CC61" s="965"/>
      <c r="CD61" s="965"/>
      <c r="CE61" s="965"/>
      <c r="CF61" s="965"/>
      <c r="CG61" s="965"/>
      <c r="CH61" s="965"/>
      <c r="CI61" s="965"/>
      <c r="CJ61" s="965"/>
      <c r="CK61" s="965"/>
    </row>
    <row r="62" spans="1:89" s="886" customFormat="1" ht="14.25">
      <c r="A62" s="1643"/>
      <c r="B62" s="1643"/>
      <c r="C62" s="913">
        <v>26.5</v>
      </c>
      <c r="D62" s="994" t="s">
        <v>2128</v>
      </c>
      <c r="E62" s="995" t="s">
        <v>2101</v>
      </c>
      <c r="F62" s="1018" t="s">
        <v>2354</v>
      </c>
      <c r="G62" s="1022"/>
      <c r="H62" s="1023"/>
      <c r="I62" s="1022"/>
      <c r="J62" s="991">
        <f t="shared" si="19"/>
        <v>19731513506.943001</v>
      </c>
      <c r="K62" s="1310"/>
      <c r="L62" s="991">
        <f t="shared" si="20"/>
        <v>18222323961.927002</v>
      </c>
      <c r="M62" s="1310"/>
      <c r="N62" s="1310">
        <f t="shared" si="13"/>
        <v>0</v>
      </c>
      <c r="O62" s="1257">
        <f t="shared" si="21"/>
        <v>0</v>
      </c>
      <c r="P62" s="1257">
        <f t="shared" si="14"/>
        <v>0</v>
      </c>
      <c r="Q62" s="1257">
        <f t="shared" si="15"/>
        <v>0</v>
      </c>
      <c r="R62" s="1257">
        <f t="shared" si="16"/>
        <v>0</v>
      </c>
      <c r="S62" s="992"/>
      <c r="T62" s="1021">
        <v>15615927554.09</v>
      </c>
      <c r="U62" s="1186"/>
      <c r="V62" s="1021">
        <v>14759787234.850002</v>
      </c>
      <c r="W62" s="1186"/>
      <c r="X62" s="154">
        <f t="shared" si="1"/>
        <v>-5.4824813721408683E-2</v>
      </c>
      <c r="Y62" s="992"/>
      <c r="Z62" s="989">
        <v>34761942815.089996</v>
      </c>
      <c r="AA62" s="988"/>
      <c r="AB62" s="989">
        <v>33298613019.760002</v>
      </c>
      <c r="AC62" s="1213"/>
      <c r="AD62" s="154">
        <f t="shared" si="2"/>
        <v>-4.2095742551384929E-2</v>
      </c>
      <c r="AE62" s="992"/>
      <c r="AF62" s="913">
        <v>25667812713.920002</v>
      </c>
      <c r="AG62" s="988"/>
      <c r="AH62" s="913">
        <v>22867009987.260002</v>
      </c>
      <c r="AI62" s="1213"/>
      <c r="AJ62" s="154">
        <f t="shared" si="3"/>
        <v>-0.10911731193757257</v>
      </c>
      <c r="AK62" s="992"/>
      <c r="AL62" s="913">
        <v>4576214525.3900003</v>
      </c>
      <c r="AM62" s="988"/>
      <c r="AN62" s="913">
        <v>4257440911.46</v>
      </c>
      <c r="AO62" s="1213"/>
      <c r="AP62" s="154">
        <f t="shared" si="4"/>
        <v>-6.9658800338437632E-2</v>
      </c>
      <c r="AQ62" s="992"/>
      <c r="AR62" s="913">
        <v>32551198377.809998</v>
      </c>
      <c r="AS62" s="988"/>
      <c r="AT62" s="913">
        <v>30412334476.279999</v>
      </c>
      <c r="AU62" s="1213"/>
      <c r="AV62" s="154">
        <f t="shared" si="5"/>
        <v>-6.570768537320737E-2</v>
      </c>
      <c r="AW62" s="992"/>
      <c r="AX62" s="913">
        <v>34939805556.43</v>
      </c>
      <c r="AY62" s="988"/>
      <c r="AZ62" s="913">
        <v>31497299865.560001</v>
      </c>
      <c r="BA62" s="1213"/>
      <c r="BB62" s="154">
        <f t="shared" si="6"/>
        <v>-9.8526755831830126E-2</v>
      </c>
      <c r="BC62" s="992"/>
      <c r="BD62" s="913">
        <v>8430320512.2000008</v>
      </c>
      <c r="BE62" s="988"/>
      <c r="BF62" s="913">
        <v>8063962358.7299995</v>
      </c>
      <c r="BG62" s="1213"/>
      <c r="BH62" s="154">
        <f t="shared" si="7"/>
        <v>-4.3457203428958979E-2</v>
      </c>
      <c r="BI62" s="992"/>
      <c r="BJ62" s="913">
        <v>22312470859.239998</v>
      </c>
      <c r="BK62" s="988"/>
      <c r="BL62" s="913">
        <v>19793972748.07</v>
      </c>
      <c r="BM62" s="1213"/>
      <c r="BN62" s="154">
        <f t="shared" si="8"/>
        <v>-0.11287401234305894</v>
      </c>
      <c r="BO62" s="992"/>
      <c r="BP62" s="913">
        <v>6472404115.8999996</v>
      </c>
      <c r="BQ62" s="988"/>
      <c r="BR62" s="913">
        <v>5601638632.5199995</v>
      </c>
      <c r="BS62" s="1213"/>
      <c r="BT62" s="154">
        <f t="shared" si="9"/>
        <v>-0.13453509202877056</v>
      </c>
      <c r="BU62" s="992"/>
      <c r="BV62" s="913">
        <v>11987038039.360001</v>
      </c>
      <c r="BW62" s="988"/>
      <c r="BX62" s="913">
        <v>11671180384.779999</v>
      </c>
      <c r="BY62" s="1213"/>
      <c r="BZ62" s="154">
        <f t="shared" si="10"/>
        <v>-2.6349933448352125E-2</v>
      </c>
      <c r="CA62" s="968"/>
      <c r="CC62" s="965"/>
      <c r="CD62" s="965"/>
      <c r="CE62" s="965"/>
      <c r="CF62" s="965"/>
      <c r="CG62" s="965"/>
      <c r="CH62" s="965"/>
      <c r="CI62" s="965"/>
      <c r="CJ62" s="965"/>
      <c r="CK62" s="965"/>
    </row>
    <row r="63" spans="1:89" s="886" customFormat="1" ht="14.25">
      <c r="A63" s="1643" t="s">
        <v>1145</v>
      </c>
      <c r="B63" s="1643" t="s">
        <v>2115</v>
      </c>
      <c r="C63" s="899">
        <v>27</v>
      </c>
      <c r="D63" s="1033" t="s">
        <v>2116</v>
      </c>
      <c r="E63" s="1018"/>
      <c r="F63" s="993"/>
      <c r="G63" s="988" t="s">
        <v>394</v>
      </c>
      <c r="H63" s="991" t="s">
        <v>229</v>
      </c>
      <c r="I63" s="990">
        <v>2</v>
      </c>
      <c r="J63" s="1212">
        <f t="shared" si="19"/>
        <v>3.6439212026949885E-3</v>
      </c>
      <c r="K63" s="1309">
        <f>AVERAGE(BW63,BQ63,BK63,BE63,AY63,AS63,AM63,AG63,AA63,U63)</f>
        <v>1.8</v>
      </c>
      <c r="L63" s="1212">
        <f t="shared" si="20"/>
        <v>1.3846362272386579E-3</v>
      </c>
      <c r="M63" s="1309">
        <f>AVERAGE(BY63,BS63,BM63,BG63,BA63,AU63,AO63,AI63,AC63,W63)</f>
        <v>2</v>
      </c>
      <c r="N63" s="1310">
        <f t="shared" si="13"/>
        <v>0.19999999999999996</v>
      </c>
      <c r="O63" s="1257">
        <f>I63-M63</f>
        <v>0</v>
      </c>
      <c r="P63" s="1257">
        <f t="shared" si="14"/>
        <v>0</v>
      </c>
      <c r="Q63" s="1257">
        <f t="shared" si="15"/>
        <v>0</v>
      </c>
      <c r="R63" s="1257">
        <f t="shared" si="16"/>
        <v>0</v>
      </c>
      <c r="S63" s="992"/>
      <c r="T63" s="1180">
        <v>1.5789473684210527E-2</v>
      </c>
      <c r="U63" s="1183">
        <f>IF(T63&lt;=0.01,2,IF(T63&lt;=0.02,1,0))</f>
        <v>1</v>
      </c>
      <c r="V63" s="1180">
        <f>V64/V65</f>
        <v>4.4943820224719105E-3</v>
      </c>
      <c r="W63" s="1183">
        <f>IF(V63&lt;=0.01,2,IF(V63&lt;=0.02,1,0))</f>
        <v>2</v>
      </c>
      <c r="X63" s="154">
        <f t="shared" si="1"/>
        <v>-0.71535580524344566</v>
      </c>
      <c r="Y63" s="992"/>
      <c r="Z63" s="1180">
        <v>3.1367628607277288E-4</v>
      </c>
      <c r="AA63" s="988">
        <f>IF(Z63&lt;=0.01,2,IF(Z63&lt;=0.02,1,0))</f>
        <v>2</v>
      </c>
      <c r="AB63" s="1180">
        <f>AB64/AB65</f>
        <v>2.754062241806665E-4</v>
      </c>
      <c r="AC63" s="1213">
        <f>IF(AB63&lt;=0.01,2,IF(AB63&lt;=0.02,1,0))</f>
        <v>2</v>
      </c>
      <c r="AD63" s="154">
        <f t="shared" si="2"/>
        <v>-0.12200495731203509</v>
      </c>
      <c r="AE63" s="992"/>
      <c r="AF63" s="1180">
        <v>0</v>
      </c>
      <c r="AG63" s="988">
        <f>IF(AF63&lt;=0.01,2,IF(AF63&lt;=0.02,1,0))</f>
        <v>2</v>
      </c>
      <c r="AH63" s="1180">
        <f>AH64/AH65</f>
        <v>1.7780938833570413E-4</v>
      </c>
      <c r="AI63" s="1213">
        <f>IF(AH63&lt;=0.01,2,IF(AH63&lt;=0.02,1,0))</f>
        <v>2</v>
      </c>
      <c r="AJ63" s="154">
        <f t="shared" si="3"/>
        <v>1</v>
      </c>
      <c r="AK63" s="992"/>
      <c r="AL63" s="1180">
        <v>2.5380710659898475E-3</v>
      </c>
      <c r="AM63" s="988">
        <f>IF(AL63&lt;=0.01,2,IF(AL63&lt;=0.02,1,0))</f>
        <v>2</v>
      </c>
      <c r="AN63" s="1180">
        <f>AN64/AN65</f>
        <v>1.1771630370806356E-3</v>
      </c>
      <c r="AO63" s="1213">
        <f>IF(AN63&lt;=0.01,2,IF(AN63&lt;=0.02,1,0))</f>
        <v>2</v>
      </c>
      <c r="AP63" s="154">
        <f>IF(AND(AL63=0,AN63&lt;&gt;0),1,IF(AND(AL63=0,AN63=0),0,AN63/AL63-1))</f>
        <v>-0.53619776339022951</v>
      </c>
      <c r="AQ63" s="992"/>
      <c r="AR63" s="1180">
        <v>2.0800832033281333E-3</v>
      </c>
      <c r="AS63" s="988">
        <f>IF(AR63&lt;=0.01,2,IF(AR63&lt;=0.02,1,0))</f>
        <v>2</v>
      </c>
      <c r="AT63" s="1180">
        <f>AT64/AT65</f>
        <v>9.4384143463898068E-4</v>
      </c>
      <c r="AU63" s="1213">
        <f>IF(AT63&lt;=0.01,2,IF(AT63&lt;=0.02,1,0))</f>
        <v>2</v>
      </c>
      <c r="AV63" s="154">
        <f t="shared" si="5"/>
        <v>-0.54624823029731007</v>
      </c>
      <c r="AW63" s="992"/>
      <c r="AX63" s="1180">
        <v>5.0942435048395313E-4</v>
      </c>
      <c r="AY63" s="988">
        <f>IF(AX63&lt;=0.01,2,IF(AX63&lt;=0.02,1,0))</f>
        <v>2</v>
      </c>
      <c r="AZ63" s="1180">
        <f>AZ64/AZ65</f>
        <v>7.7339520494972935E-4</v>
      </c>
      <c r="BA63" s="1213">
        <f>IF(AZ63&lt;=0.01,2,IF(AZ63&lt;=0.02,1,0))</f>
        <v>2</v>
      </c>
      <c r="BB63" s="154">
        <f t="shared" si="6"/>
        <v>0.51817478731631872</v>
      </c>
      <c r="BC63" s="992"/>
      <c r="BD63" s="1180">
        <v>1.2626262626262627E-3</v>
      </c>
      <c r="BE63" s="988">
        <f>IF(BD63&lt;=0.01,2,IF(BD63&lt;=0.02,1,0))</f>
        <v>2</v>
      </c>
      <c r="BF63" s="1180">
        <f>BF64/BF65</f>
        <v>0</v>
      </c>
      <c r="BG63" s="1213">
        <f>IF(BF63&lt;=0.01,2,IF(BF63&lt;=0.02,1,0))</f>
        <v>2</v>
      </c>
      <c r="BH63" s="154">
        <f t="shared" si="7"/>
        <v>-1</v>
      </c>
      <c r="BI63" s="992"/>
      <c r="BJ63" s="1180">
        <v>3.0873726458783575E-4</v>
      </c>
      <c r="BK63" s="988">
        <f>IF(BJ63&lt;=0.01,2,IF(BJ63&lt;=0.02,1,0))</f>
        <v>2</v>
      </c>
      <c r="BL63" s="1180">
        <f>BL64/BL65</f>
        <v>1.0860121633362294E-3</v>
      </c>
      <c r="BM63" s="1213">
        <f>IF(BL63&lt;=0.01,2,IF(BL63&lt;=0.02,1,0))</f>
        <v>2</v>
      </c>
      <c r="BN63" s="154">
        <f t="shared" si="8"/>
        <v>2.5175933970460473</v>
      </c>
      <c r="BO63" s="992"/>
      <c r="BP63" s="1180">
        <v>1.1207970112079701E-2</v>
      </c>
      <c r="BQ63" s="988">
        <f>IF(BP63&lt;=0.01,2,IF(BP63&lt;=0.02,1,0))</f>
        <v>1</v>
      </c>
      <c r="BR63" s="1180">
        <f>BR64/BR65</f>
        <v>3.8022813688212928E-3</v>
      </c>
      <c r="BS63" s="1213">
        <f>IF(BR63&lt;=0.01,2,IF(BR63&lt;=0.02,1,0))</f>
        <v>2</v>
      </c>
      <c r="BT63" s="154">
        <f t="shared" si="9"/>
        <v>-0.66075200675961132</v>
      </c>
      <c r="BU63" s="992"/>
      <c r="BV63" s="1180">
        <v>2.4291497975708503E-3</v>
      </c>
      <c r="BW63" s="988">
        <f>IF(BV63&lt;=0.01,2,IF(BV63&lt;=0.02,1,0))</f>
        <v>2</v>
      </c>
      <c r="BX63" s="1180">
        <f>BX64/BX65</f>
        <v>1.1160714285714285E-3</v>
      </c>
      <c r="BY63" s="1213">
        <f>IF(BX63&lt;=0.01,2,IF(BX63&lt;=0.02,1,0))</f>
        <v>2</v>
      </c>
      <c r="BZ63" s="154">
        <f t="shared" si="10"/>
        <v>-0.54055059523809534</v>
      </c>
      <c r="CA63" s="968"/>
      <c r="CC63" s="965"/>
      <c r="CD63" s="965"/>
      <c r="CE63" s="965"/>
      <c r="CF63" s="965"/>
      <c r="CG63" s="965"/>
      <c r="CH63" s="965"/>
      <c r="CI63" s="965"/>
      <c r="CJ63" s="965"/>
      <c r="CK63" s="965"/>
    </row>
    <row r="64" spans="1:89" s="886" customFormat="1" ht="14.25">
      <c r="A64" s="1643"/>
      <c r="B64" s="1643"/>
      <c r="C64" s="913">
        <v>27.1</v>
      </c>
      <c r="D64" s="994" t="s">
        <v>2148</v>
      </c>
      <c r="E64" s="995" t="s">
        <v>1115</v>
      </c>
      <c r="F64" s="1019" t="s">
        <v>1146</v>
      </c>
      <c r="G64" s="1002"/>
      <c r="H64" s="991"/>
      <c r="I64" s="1024"/>
      <c r="J64" s="991">
        <f t="shared" si="19"/>
        <v>4</v>
      </c>
      <c r="K64" s="1310"/>
      <c r="L64" s="991">
        <f t="shared" si="20"/>
        <v>2.6</v>
      </c>
      <c r="M64" s="1310"/>
      <c r="N64" s="1310">
        <f t="shared" si="13"/>
        <v>0</v>
      </c>
      <c r="O64" s="1257">
        <f t="shared" si="21"/>
        <v>0</v>
      </c>
      <c r="P64" s="1257">
        <f t="shared" si="14"/>
        <v>0</v>
      </c>
      <c r="Q64" s="1257">
        <f t="shared" si="15"/>
        <v>0</v>
      </c>
      <c r="R64" s="1257">
        <f t="shared" si="16"/>
        <v>0</v>
      </c>
      <c r="S64" s="992"/>
      <c r="T64" s="989">
        <v>12</v>
      </c>
      <c r="U64" s="1183"/>
      <c r="V64" s="989">
        <v>4</v>
      </c>
      <c r="W64" s="1183"/>
      <c r="X64" s="154">
        <f t="shared" si="1"/>
        <v>-0.66666666666666674</v>
      </c>
      <c r="Y64" s="992"/>
      <c r="Z64" s="989">
        <v>1</v>
      </c>
      <c r="AA64" s="988"/>
      <c r="AB64" s="989">
        <v>1</v>
      </c>
      <c r="AC64" s="1213"/>
      <c r="AD64" s="154">
        <f t="shared" si="2"/>
        <v>0</v>
      </c>
      <c r="AE64" s="992"/>
      <c r="AF64" s="989">
        <v>0</v>
      </c>
      <c r="AG64" s="988"/>
      <c r="AH64" s="989">
        <v>1</v>
      </c>
      <c r="AI64" s="1213"/>
      <c r="AJ64" s="154">
        <f t="shared" si="3"/>
        <v>1</v>
      </c>
      <c r="AK64" s="992"/>
      <c r="AL64" s="913">
        <v>3</v>
      </c>
      <c r="AM64" s="988"/>
      <c r="AN64" s="913">
        <v>2</v>
      </c>
      <c r="AO64" s="1213"/>
      <c r="AP64" s="154">
        <f t="shared" si="4"/>
        <v>-0.33333333333333337</v>
      </c>
      <c r="AQ64" s="992"/>
      <c r="AR64" s="913">
        <v>8</v>
      </c>
      <c r="AS64" s="988"/>
      <c r="AT64" s="913">
        <v>4</v>
      </c>
      <c r="AU64" s="1213"/>
      <c r="AV64" s="154">
        <f t="shared" si="5"/>
        <v>-0.5</v>
      </c>
      <c r="AW64" s="992"/>
      <c r="AX64" s="1205">
        <v>2</v>
      </c>
      <c r="AY64" s="1207"/>
      <c r="AZ64" s="913">
        <v>4</v>
      </c>
      <c r="BA64" s="1213"/>
      <c r="BB64" s="154">
        <f t="shared" si="6"/>
        <v>1</v>
      </c>
      <c r="BC64" s="992"/>
      <c r="BD64" s="913">
        <v>1</v>
      </c>
      <c r="BE64" s="988"/>
      <c r="BF64" s="913">
        <v>0</v>
      </c>
      <c r="BG64" s="1213"/>
      <c r="BH64" s="154">
        <f t="shared" si="7"/>
        <v>-1</v>
      </c>
      <c r="BI64" s="992"/>
      <c r="BJ64" s="913">
        <v>1</v>
      </c>
      <c r="BK64" s="988"/>
      <c r="BL64" s="913">
        <v>5</v>
      </c>
      <c r="BM64" s="1213"/>
      <c r="BN64" s="154">
        <f t="shared" si="8"/>
        <v>4</v>
      </c>
      <c r="BO64" s="992"/>
      <c r="BP64" s="913">
        <v>9</v>
      </c>
      <c r="BQ64" s="988"/>
      <c r="BR64" s="913">
        <v>3</v>
      </c>
      <c r="BS64" s="1213"/>
      <c r="BT64" s="154">
        <f t="shared" si="9"/>
        <v>-0.66666666666666674</v>
      </c>
      <c r="BU64" s="992"/>
      <c r="BV64" s="913">
        <v>3</v>
      </c>
      <c r="BW64" s="988"/>
      <c r="BX64" s="913">
        <v>2</v>
      </c>
      <c r="BY64" s="1213"/>
      <c r="BZ64" s="154">
        <f t="shared" si="10"/>
        <v>-0.33333333333333337</v>
      </c>
      <c r="CA64" s="968"/>
      <c r="CC64" s="965"/>
      <c r="CD64" s="965"/>
      <c r="CE64" s="965"/>
      <c r="CF64" s="965"/>
      <c r="CG64" s="965"/>
      <c r="CH64" s="965"/>
      <c r="CI64" s="965"/>
      <c r="CJ64" s="965"/>
      <c r="CK64" s="965"/>
    </row>
    <row r="65" spans="1:89" s="886" customFormat="1" ht="14.25">
      <c r="A65" s="1643"/>
      <c r="B65" s="1643"/>
      <c r="C65" s="913">
        <v>27.2</v>
      </c>
      <c r="D65" s="1210" t="s">
        <v>2134</v>
      </c>
      <c r="E65" s="995" t="s">
        <v>1115</v>
      </c>
      <c r="F65" s="1019" t="s">
        <v>1140</v>
      </c>
      <c r="G65" s="1002"/>
      <c r="H65" s="991"/>
      <c r="I65" s="1024"/>
      <c r="J65" s="991">
        <f t="shared" si="19"/>
        <v>2327.6999999999998</v>
      </c>
      <c r="K65" s="1310"/>
      <c r="L65" s="991">
        <f t="shared" si="20"/>
        <v>2969.3</v>
      </c>
      <c r="M65" s="1310"/>
      <c r="N65" s="1310">
        <f t="shared" si="13"/>
        <v>0</v>
      </c>
      <c r="O65" s="1257">
        <f t="shared" si="21"/>
        <v>0</v>
      </c>
      <c r="P65" s="1257">
        <f t="shared" si="14"/>
        <v>0</v>
      </c>
      <c r="Q65" s="1257">
        <f t="shared" si="15"/>
        <v>0</v>
      </c>
      <c r="R65" s="1257">
        <f t="shared" si="16"/>
        <v>0</v>
      </c>
      <c r="S65" s="992"/>
      <c r="T65" s="989">
        <v>760</v>
      </c>
      <c r="U65" s="1183"/>
      <c r="V65" s="989">
        <v>890</v>
      </c>
      <c r="W65" s="1183"/>
      <c r="X65" s="154">
        <f t="shared" si="1"/>
        <v>0.17105263157894735</v>
      </c>
      <c r="Y65" s="992"/>
      <c r="Z65" s="989">
        <v>3188</v>
      </c>
      <c r="AA65" s="988"/>
      <c r="AB65" s="989">
        <v>3631</v>
      </c>
      <c r="AC65" s="1213"/>
      <c r="AD65" s="154">
        <f t="shared" si="2"/>
        <v>0.13895859473023831</v>
      </c>
      <c r="AE65" s="992"/>
      <c r="AF65" s="913">
        <v>4306</v>
      </c>
      <c r="AG65" s="988"/>
      <c r="AH65" s="913">
        <v>5624</v>
      </c>
      <c r="AI65" s="1213"/>
      <c r="AJ65" s="154">
        <f t="shared" si="3"/>
        <v>0.30608453320947504</v>
      </c>
      <c r="AK65" s="992"/>
      <c r="AL65" s="913">
        <v>1182</v>
      </c>
      <c r="AM65" s="988"/>
      <c r="AN65" s="913">
        <v>1699</v>
      </c>
      <c r="AO65" s="1213"/>
      <c r="AP65" s="154">
        <f t="shared" si="4"/>
        <v>0.43739424703891716</v>
      </c>
      <c r="AQ65" s="992"/>
      <c r="AR65" s="913">
        <v>3846</v>
      </c>
      <c r="AS65" s="988"/>
      <c r="AT65" s="913">
        <v>4238</v>
      </c>
      <c r="AU65" s="1213"/>
      <c r="AV65" s="154">
        <f t="shared" si="5"/>
        <v>0.10192407696307848</v>
      </c>
      <c r="AW65" s="992"/>
      <c r="AX65" s="1205">
        <v>3926</v>
      </c>
      <c r="AY65" s="1207"/>
      <c r="AZ65" s="913">
        <v>5172</v>
      </c>
      <c r="BA65" s="1213"/>
      <c r="BB65" s="154">
        <f t="shared" si="6"/>
        <v>0.31737137035150287</v>
      </c>
      <c r="BC65" s="992"/>
      <c r="BD65" s="913">
        <v>792</v>
      </c>
      <c r="BE65" s="988"/>
      <c r="BF65" s="913">
        <v>1254</v>
      </c>
      <c r="BG65" s="1213"/>
      <c r="BH65" s="154">
        <f t="shared" si="7"/>
        <v>0.58333333333333326</v>
      </c>
      <c r="BI65" s="992"/>
      <c r="BJ65" s="913">
        <v>3239</v>
      </c>
      <c r="BK65" s="988"/>
      <c r="BL65" s="913">
        <v>4604</v>
      </c>
      <c r="BM65" s="1213"/>
      <c r="BN65" s="154">
        <f t="shared" si="8"/>
        <v>0.42142636616239582</v>
      </c>
      <c r="BO65" s="992"/>
      <c r="BP65" s="913">
        <v>803</v>
      </c>
      <c r="BQ65" s="988"/>
      <c r="BR65" s="913">
        <v>789</v>
      </c>
      <c r="BS65" s="1213"/>
      <c r="BT65" s="154">
        <f t="shared" si="9"/>
        <v>-1.743462017434616E-2</v>
      </c>
      <c r="BU65" s="992"/>
      <c r="BV65" s="913">
        <v>1235</v>
      </c>
      <c r="BW65" s="988"/>
      <c r="BX65" s="913">
        <v>1792</v>
      </c>
      <c r="BY65" s="1213"/>
      <c r="BZ65" s="154">
        <f t="shared" si="10"/>
        <v>0.45101214574898796</v>
      </c>
      <c r="CA65" s="968"/>
      <c r="CC65" s="965"/>
      <c r="CD65" s="965"/>
      <c r="CE65" s="965"/>
      <c r="CF65" s="965"/>
      <c r="CG65" s="965"/>
      <c r="CH65" s="965"/>
      <c r="CI65" s="965"/>
      <c r="CJ65" s="965"/>
      <c r="CK65" s="965"/>
    </row>
    <row r="66" spans="1:89" s="1007" customFormat="1" ht="28.5">
      <c r="A66" s="1025" t="s">
        <v>1148</v>
      </c>
      <c r="B66" s="1026" t="s">
        <v>1149</v>
      </c>
      <c r="C66" s="899">
        <v>28</v>
      </c>
      <c r="D66" s="1016" t="s">
        <v>2149</v>
      </c>
      <c r="E66" s="995" t="s">
        <v>1115</v>
      </c>
      <c r="F66" s="1002"/>
      <c r="G66" s="1002" t="s">
        <v>1487</v>
      </c>
      <c r="H66" s="991" t="s">
        <v>229</v>
      </c>
      <c r="I66" s="990">
        <v>1</v>
      </c>
      <c r="J66" s="1027" t="s">
        <v>1151</v>
      </c>
      <c r="K66" s="1310">
        <f>AVERAGE(BW66,BQ66,BK66,BE66,AY66,AS66,AM66,AG66,AA66,U66)</f>
        <v>1</v>
      </c>
      <c r="L66" s="1027" t="s">
        <v>1151</v>
      </c>
      <c r="M66" s="1310">
        <f>AVERAGE(BY66,BS66,BM66,BG66,BA66,AU66,AO66,AI66,AC66,W66)</f>
        <v>1</v>
      </c>
      <c r="N66" s="1310">
        <f t="shared" si="13"/>
        <v>0</v>
      </c>
      <c r="O66" s="1257">
        <f t="shared" si="21"/>
        <v>0</v>
      </c>
      <c r="P66" s="1257">
        <f t="shared" si="14"/>
        <v>0</v>
      </c>
      <c r="Q66" s="1257">
        <f t="shared" si="15"/>
        <v>0</v>
      </c>
      <c r="R66" s="1257">
        <f t="shared" si="16"/>
        <v>0</v>
      </c>
      <c r="S66" s="992" t="s">
        <v>1129</v>
      </c>
      <c r="T66" s="989" t="s">
        <v>1151</v>
      </c>
      <c r="U66" s="1183">
        <v>1</v>
      </c>
      <c r="V66" s="989" t="s">
        <v>1151</v>
      </c>
      <c r="W66" s="1183">
        <v>1</v>
      </c>
      <c r="X66" s="154">
        <f>IF((V66=T66)=TRUE,0,1)</f>
        <v>0</v>
      </c>
      <c r="Y66" s="992"/>
      <c r="Z66" s="989" t="s">
        <v>1151</v>
      </c>
      <c r="AA66" s="988">
        <v>1</v>
      </c>
      <c r="AB66" s="989" t="s">
        <v>1151</v>
      </c>
      <c r="AC66" s="1213">
        <v>1</v>
      </c>
      <c r="AD66" s="154">
        <f>IF((AB66=Z66)=TRUE,0,1)</f>
        <v>0</v>
      </c>
      <c r="AE66" s="992"/>
      <c r="AF66" s="989" t="s">
        <v>1151</v>
      </c>
      <c r="AG66" s="988">
        <v>1</v>
      </c>
      <c r="AH66" s="989" t="s">
        <v>1151</v>
      </c>
      <c r="AI66" s="1213">
        <v>1</v>
      </c>
      <c r="AJ66" s="154">
        <f>IF((AH66=AF66)=TRUE,0,1)</f>
        <v>0</v>
      </c>
      <c r="AK66" s="992"/>
      <c r="AL66" s="989" t="s">
        <v>1151</v>
      </c>
      <c r="AM66" s="988">
        <v>1</v>
      </c>
      <c r="AN66" s="989" t="s">
        <v>1151</v>
      </c>
      <c r="AO66" s="1213">
        <v>1</v>
      </c>
      <c r="AP66" s="154">
        <f>IF((AN66=AL66)=TRUE,0,1)</f>
        <v>0</v>
      </c>
      <c r="AQ66" s="992"/>
      <c r="AR66" s="989" t="s">
        <v>1151</v>
      </c>
      <c r="AS66" s="988">
        <v>1</v>
      </c>
      <c r="AT66" s="989" t="s">
        <v>1151</v>
      </c>
      <c r="AU66" s="1213">
        <v>1</v>
      </c>
      <c r="AV66" s="154">
        <f>IF((AT66=AR66)=TRUE,0,1)</f>
        <v>0</v>
      </c>
      <c r="AW66" s="992"/>
      <c r="AX66" s="1180" t="s">
        <v>1151</v>
      </c>
      <c r="AY66" s="1207">
        <v>1</v>
      </c>
      <c r="AZ66" s="1180" t="s">
        <v>1151</v>
      </c>
      <c r="BA66" s="1213">
        <v>1</v>
      </c>
      <c r="BB66" s="154">
        <f>IF((AZ66=AX66)=TRUE,0,1)</f>
        <v>0</v>
      </c>
      <c r="BC66" s="992"/>
      <c r="BD66" s="989" t="s">
        <v>1151</v>
      </c>
      <c r="BE66" s="988">
        <v>1</v>
      </c>
      <c r="BF66" s="989" t="s">
        <v>1151</v>
      </c>
      <c r="BG66" s="1213">
        <v>1</v>
      </c>
      <c r="BH66" s="154">
        <f>IF((BF66=BD66)=TRUE,0,1)</f>
        <v>0</v>
      </c>
      <c r="BI66" s="992"/>
      <c r="BJ66" s="989" t="s">
        <v>1151</v>
      </c>
      <c r="BK66" s="988">
        <v>1</v>
      </c>
      <c r="BL66" s="989" t="s">
        <v>1151</v>
      </c>
      <c r="BM66" s="1213">
        <v>1</v>
      </c>
      <c r="BN66" s="154">
        <f>IF((BL66=BJ66)=TRUE,0,1)</f>
        <v>0</v>
      </c>
      <c r="BO66" s="992"/>
      <c r="BP66" s="989" t="s">
        <v>1151</v>
      </c>
      <c r="BQ66" s="988">
        <v>1</v>
      </c>
      <c r="BR66" s="989" t="s">
        <v>1151</v>
      </c>
      <c r="BS66" s="1213">
        <v>1</v>
      </c>
      <c r="BT66" s="154">
        <f>IF((BR66=BP66)=TRUE,0,1)</f>
        <v>0</v>
      </c>
      <c r="BU66" s="992"/>
      <c r="BV66" s="913" t="s">
        <v>1151</v>
      </c>
      <c r="BW66" s="988">
        <v>1</v>
      </c>
      <c r="BX66" s="913" t="s">
        <v>1151</v>
      </c>
      <c r="BY66" s="1213">
        <v>1</v>
      </c>
      <c r="BZ66" s="154">
        <f>IF((BX66=BV66)=TRUE,0,1)</f>
        <v>0</v>
      </c>
      <c r="CA66" s="968"/>
      <c r="CC66" s="965"/>
      <c r="CD66" s="965"/>
      <c r="CE66" s="965"/>
      <c r="CF66" s="965"/>
      <c r="CG66" s="965"/>
      <c r="CH66" s="965"/>
      <c r="CI66" s="965"/>
      <c r="CJ66" s="965"/>
      <c r="CK66" s="965"/>
    </row>
    <row r="67" spans="1:89" s="886" customFormat="1" ht="28.5">
      <c r="A67" s="1643" t="s">
        <v>2180</v>
      </c>
      <c r="B67" s="1643" t="s">
        <v>1152</v>
      </c>
      <c r="C67" s="899">
        <v>29</v>
      </c>
      <c r="D67" s="986" t="s">
        <v>1674</v>
      </c>
      <c r="E67" s="995" t="s">
        <v>1102</v>
      </c>
      <c r="F67" s="1019" t="s">
        <v>633</v>
      </c>
      <c r="G67" s="1002" t="s">
        <v>1488</v>
      </c>
      <c r="H67" s="991" t="s">
        <v>229</v>
      </c>
      <c r="I67" s="1652">
        <v>6</v>
      </c>
      <c r="J67" s="991">
        <f>AVERAGE(BV67,BP67,BJ67,BD67,AX67,AR67,AL67,AF67,Z67,T67)</f>
        <v>0</v>
      </c>
      <c r="K67" s="1310">
        <f>AVERAGE(BW67,BQ67,BK67,BE67,AY67,AS67,AM67,AG67,AA67,U67)</f>
        <v>6</v>
      </c>
      <c r="L67" s="991">
        <f>AVERAGE(BX67,BR67,BL67,BF67,AZ67,AT67,AN67,AH67,AB67,V67)</f>
        <v>0</v>
      </c>
      <c r="M67" s="1310">
        <f>AVERAGE(BY67,BS67,BM67,BG67,BA67,AU67,AO67,AI67,AC67,W67)</f>
        <v>6</v>
      </c>
      <c r="N67" s="1310">
        <f t="shared" si="13"/>
        <v>0</v>
      </c>
      <c r="O67" s="1257">
        <f t="shared" si="21"/>
        <v>0</v>
      </c>
      <c r="P67" s="1257">
        <f t="shared" si="14"/>
        <v>0</v>
      </c>
      <c r="Q67" s="1257">
        <f t="shared" si="15"/>
        <v>0</v>
      </c>
      <c r="R67" s="1257">
        <f t="shared" si="16"/>
        <v>0</v>
      </c>
      <c r="S67" s="992"/>
      <c r="T67" s="989">
        <v>0</v>
      </c>
      <c r="U67" s="1654">
        <f>6-T67*0.5-T68*3</f>
        <v>6</v>
      </c>
      <c r="V67" s="989">
        <v>0</v>
      </c>
      <c r="W67" s="1654">
        <f>6-V67*0.5-V68*3</f>
        <v>6</v>
      </c>
      <c r="X67" s="154">
        <f t="shared" si="1"/>
        <v>0</v>
      </c>
      <c r="Y67" s="992"/>
      <c r="Z67" s="989">
        <v>0</v>
      </c>
      <c r="AA67" s="1631">
        <f>6-Z67*0.5-Z68*3</f>
        <v>6</v>
      </c>
      <c r="AB67" s="989">
        <v>0</v>
      </c>
      <c r="AC67" s="1630">
        <f>6-AB67*0.5-AB68*3</f>
        <v>6</v>
      </c>
      <c r="AD67" s="154">
        <f t="shared" si="2"/>
        <v>0</v>
      </c>
      <c r="AE67" s="992"/>
      <c r="AF67" s="989">
        <v>0</v>
      </c>
      <c r="AG67" s="1631">
        <f>6-AF67*0.5-AF68*3</f>
        <v>6</v>
      </c>
      <c r="AH67" s="989">
        <v>0</v>
      </c>
      <c r="AI67" s="1630">
        <f>6-AH67*0.5-AH68*3</f>
        <v>6</v>
      </c>
      <c r="AJ67" s="154">
        <f t="shared" si="3"/>
        <v>0</v>
      </c>
      <c r="AK67" s="992"/>
      <c r="AL67" s="989">
        <v>0</v>
      </c>
      <c r="AM67" s="1631">
        <f>6-AL67*0.5-AL68*3</f>
        <v>6</v>
      </c>
      <c r="AN67" s="989">
        <v>0</v>
      </c>
      <c r="AO67" s="1630">
        <f>6-AN67*0.5-AN68*3</f>
        <v>6</v>
      </c>
      <c r="AP67" s="154">
        <f t="shared" si="4"/>
        <v>0</v>
      </c>
      <c r="AQ67" s="992"/>
      <c r="AR67" s="989">
        <v>0</v>
      </c>
      <c r="AS67" s="1631">
        <f>6-AR67*0.5-AR68*3</f>
        <v>6</v>
      </c>
      <c r="AT67" s="989">
        <v>0</v>
      </c>
      <c r="AU67" s="1630">
        <f>6-AT67*0.5-AT68*3</f>
        <v>6</v>
      </c>
      <c r="AV67" s="154">
        <f t="shared" si="5"/>
        <v>0</v>
      </c>
      <c r="AW67" s="992"/>
      <c r="AX67" s="1180">
        <v>0</v>
      </c>
      <c r="AY67" s="1639">
        <f>6-AX67*0.5-AX68*3</f>
        <v>6</v>
      </c>
      <c r="AZ67" s="1180">
        <v>0</v>
      </c>
      <c r="BA67" s="1630">
        <f>6-AZ67*0.5-AZ68*3</f>
        <v>6</v>
      </c>
      <c r="BB67" s="154">
        <f t="shared" si="6"/>
        <v>0</v>
      </c>
      <c r="BC67" s="992"/>
      <c r="BD67" s="989">
        <v>0</v>
      </c>
      <c r="BE67" s="1631">
        <f>6-BD67*0.5-BD68*3</f>
        <v>6</v>
      </c>
      <c r="BF67" s="989">
        <v>0</v>
      </c>
      <c r="BG67" s="1630">
        <f>6-BF67*0.5-BF68*3</f>
        <v>6</v>
      </c>
      <c r="BH67" s="154">
        <f t="shared" si="7"/>
        <v>0</v>
      </c>
      <c r="BI67" s="992"/>
      <c r="BJ67" s="989">
        <v>0</v>
      </c>
      <c r="BK67" s="1631">
        <f>6-BJ67*0.5-BJ68*3</f>
        <v>6</v>
      </c>
      <c r="BL67" s="989">
        <v>0</v>
      </c>
      <c r="BM67" s="1630">
        <f>6-BL67*0.5-BL68*3</f>
        <v>6</v>
      </c>
      <c r="BN67" s="154">
        <f t="shared" si="8"/>
        <v>0</v>
      </c>
      <c r="BO67" s="992"/>
      <c r="BP67" s="989">
        <v>0</v>
      </c>
      <c r="BQ67" s="1631">
        <f>6-BP67*0.5-BP68*3</f>
        <v>6</v>
      </c>
      <c r="BR67" s="989">
        <v>0</v>
      </c>
      <c r="BS67" s="1630">
        <f>6-BR67*0.5-BR68*3</f>
        <v>6</v>
      </c>
      <c r="BT67" s="154">
        <f t="shared" si="9"/>
        <v>0</v>
      </c>
      <c r="BU67" s="992"/>
      <c r="BV67" s="989">
        <v>0</v>
      </c>
      <c r="BW67" s="1631">
        <f>6-BV67*0.5-BV68*3</f>
        <v>6</v>
      </c>
      <c r="BX67" s="989">
        <v>0</v>
      </c>
      <c r="BY67" s="1630">
        <f>6-BX67*0.5-BX68*3</f>
        <v>6</v>
      </c>
      <c r="BZ67" s="154">
        <f t="shared" si="10"/>
        <v>0</v>
      </c>
      <c r="CA67" s="968"/>
      <c r="CC67" s="965"/>
      <c r="CD67" s="965"/>
      <c r="CE67" s="965"/>
      <c r="CF67" s="965"/>
      <c r="CG67" s="965"/>
      <c r="CH67" s="965"/>
      <c r="CI67" s="965"/>
      <c r="CJ67" s="965"/>
      <c r="CK67" s="965"/>
    </row>
    <row r="68" spans="1:89" s="886" customFormat="1" ht="28.5">
      <c r="A68" s="1643"/>
      <c r="B68" s="1643"/>
      <c r="C68" s="899">
        <v>30</v>
      </c>
      <c r="D68" s="986" t="s">
        <v>1153</v>
      </c>
      <c r="E68" s="995" t="s">
        <v>1102</v>
      </c>
      <c r="F68" s="1019" t="s">
        <v>633</v>
      </c>
      <c r="G68" s="1002" t="s">
        <v>399</v>
      </c>
      <c r="H68" s="991" t="s">
        <v>229</v>
      </c>
      <c r="I68" s="1652"/>
      <c r="J68" s="991">
        <f>AVERAGE(BV68,BP68,BJ68,BD68,AX68,AR68,AL68,AF68,Z68,T68)</f>
        <v>0</v>
      </c>
      <c r="K68" s="1310">
        <v>0</v>
      </c>
      <c r="L68" s="991">
        <f>AVERAGE(BX68,BR68,BL68,BF68,AZ68,AT68,AN68,AH68,AB68,V68)</f>
        <v>0</v>
      </c>
      <c r="M68" s="1310"/>
      <c r="N68" s="1310">
        <f t="shared" si="13"/>
        <v>0</v>
      </c>
      <c r="O68" s="1257">
        <f t="shared" si="21"/>
        <v>0</v>
      </c>
      <c r="P68" s="1257">
        <f t="shared" si="14"/>
        <v>0</v>
      </c>
      <c r="Q68" s="1257">
        <f t="shared" si="15"/>
        <v>0</v>
      </c>
      <c r="R68" s="1257">
        <f t="shared" si="16"/>
        <v>0</v>
      </c>
      <c r="S68" s="992"/>
      <c r="T68" s="989">
        <v>0</v>
      </c>
      <c r="U68" s="1654"/>
      <c r="V68" s="989">
        <v>0</v>
      </c>
      <c r="W68" s="1654"/>
      <c r="X68" s="154">
        <f>IF(AND(T68=0,V68&lt;&gt;0),1,IF(AND(T68=0,V68=0),0,V68/T68-1))</f>
        <v>0</v>
      </c>
      <c r="Y68" s="992"/>
      <c r="Z68" s="989">
        <v>0</v>
      </c>
      <c r="AA68" s="1631"/>
      <c r="AB68" s="989">
        <v>0</v>
      </c>
      <c r="AC68" s="1630"/>
      <c r="AD68" s="154">
        <f>IF(AND(Z68=0,AB68&lt;&gt;0),1,IF(AND(Z68=0,AB68=0),0,AB68/Z68-1))</f>
        <v>0</v>
      </c>
      <c r="AE68" s="992"/>
      <c r="AF68" s="989">
        <v>0</v>
      </c>
      <c r="AG68" s="1631"/>
      <c r="AH68" s="989">
        <v>0</v>
      </c>
      <c r="AI68" s="1630"/>
      <c r="AJ68" s="154">
        <f>IF(AND(AF68=0,AH68&lt;&gt;0),1,IF(AND(AF68=0,AH68=0),0,AH68/AF68-1))</f>
        <v>0</v>
      </c>
      <c r="AK68" s="992"/>
      <c r="AL68" s="989">
        <v>0</v>
      </c>
      <c r="AM68" s="1631"/>
      <c r="AN68" s="989">
        <v>0</v>
      </c>
      <c r="AO68" s="1630"/>
      <c r="AP68" s="154">
        <f>IF(AND(AL68=0,AN68&lt;&gt;0),1,IF(AND(AL68=0,AN68=0),0,AN68/AL68-1))</f>
        <v>0</v>
      </c>
      <c r="AQ68" s="992"/>
      <c r="AR68" s="989">
        <v>0</v>
      </c>
      <c r="AS68" s="1631"/>
      <c r="AT68" s="989">
        <v>0</v>
      </c>
      <c r="AU68" s="1630"/>
      <c r="AV68" s="154">
        <f>IF(AND(AR68=0,AT68&lt;&gt;0),1,IF(AND(AR68=0,AT68=0),0,AT68/AR68-1))</f>
        <v>0</v>
      </c>
      <c r="AW68" s="992"/>
      <c r="AX68" s="1180">
        <v>0</v>
      </c>
      <c r="AY68" s="1639"/>
      <c r="AZ68" s="1180">
        <v>0</v>
      </c>
      <c r="BA68" s="1630"/>
      <c r="BB68" s="154">
        <f>IF(AND(AX68=0,AZ68&lt;&gt;0),1,IF(AND(AX68=0,AZ68=0),0,AZ68/AX68-1))</f>
        <v>0</v>
      </c>
      <c r="BC68" s="992"/>
      <c r="BD68" s="989">
        <v>0</v>
      </c>
      <c r="BE68" s="1631"/>
      <c r="BF68" s="989">
        <v>0</v>
      </c>
      <c r="BG68" s="1630"/>
      <c r="BH68" s="154">
        <f>IF(AND(BD68=0,BF68&lt;&gt;0),1,IF(AND(BD68=0,BF68=0),0,BF68/BD68-1))</f>
        <v>0</v>
      </c>
      <c r="BI68" s="992"/>
      <c r="BJ68" s="989">
        <v>0</v>
      </c>
      <c r="BK68" s="1631"/>
      <c r="BL68" s="989">
        <v>0</v>
      </c>
      <c r="BM68" s="1630"/>
      <c r="BN68" s="154">
        <f>IF(AND(BJ68=0,BL68&lt;&gt;0),1,IF(AND(BJ68=0,BL68=0),0,BL68/BJ68-1))</f>
        <v>0</v>
      </c>
      <c r="BO68" s="992"/>
      <c r="BP68" s="989">
        <v>0</v>
      </c>
      <c r="BQ68" s="1631"/>
      <c r="BR68" s="989">
        <v>0</v>
      </c>
      <c r="BS68" s="1630"/>
      <c r="BT68" s="154">
        <f>IF(AND(BP68=0,BR68&lt;&gt;0),1,IF(AND(BP68=0,BR68=0),0,BR68/BP68-1))</f>
        <v>0</v>
      </c>
      <c r="BU68" s="992"/>
      <c r="BV68" s="989">
        <v>0</v>
      </c>
      <c r="BW68" s="1631"/>
      <c r="BX68" s="989">
        <v>0</v>
      </c>
      <c r="BY68" s="1630"/>
      <c r="BZ68" s="154">
        <f>IF(AND(BV68=0,BX68&lt;&gt;0),1,IF(AND(BV68=0,BX68=0),0,BX68/BV68-1))</f>
        <v>0</v>
      </c>
      <c r="CA68" s="968"/>
      <c r="CC68" s="965"/>
      <c r="CD68" s="965"/>
      <c r="CE68" s="965"/>
      <c r="CF68" s="965"/>
      <c r="CG68" s="965"/>
      <c r="CH68" s="965"/>
      <c r="CI68" s="965"/>
      <c r="CJ68" s="965"/>
      <c r="CK68" s="965"/>
    </row>
    <row r="69" spans="1:89" s="886" customFormat="1" ht="28.5">
      <c r="A69" s="1019" t="s">
        <v>1154</v>
      </c>
      <c r="B69" s="1028" t="s">
        <v>1155</v>
      </c>
      <c r="C69" s="899">
        <v>31</v>
      </c>
      <c r="D69" s="986" t="s">
        <v>2009</v>
      </c>
      <c r="E69" s="995" t="s">
        <v>1102</v>
      </c>
      <c r="F69" s="1019" t="s">
        <v>633</v>
      </c>
      <c r="G69" s="1002" t="s">
        <v>399</v>
      </c>
      <c r="H69" s="991" t="s">
        <v>229</v>
      </c>
      <c r="I69" s="990" t="s">
        <v>1489</v>
      </c>
      <c r="J69" s="1467">
        <f>AVERAGE(BV69,BP69,BJ69,BD69,AX69,AR69,AL69,AF69,Z69,T69)</f>
        <v>0</v>
      </c>
      <c r="K69" s="1313"/>
      <c r="L69" s="1467">
        <f>AVERAGE(BX69,BR69,BL69,BF69,AZ69,AT69,AN69,AH69,AB69,V69)</f>
        <v>0</v>
      </c>
      <c r="M69" s="1313"/>
      <c r="N69" s="1310">
        <f>M69-K69</f>
        <v>0</v>
      </c>
      <c r="O69" s="1258"/>
      <c r="P69" s="1258"/>
      <c r="Q69" s="1258"/>
      <c r="R69" s="1258"/>
      <c r="S69" s="992"/>
      <c r="T69" s="989">
        <v>0</v>
      </c>
      <c r="U69" s="1183" t="s">
        <v>1490</v>
      </c>
      <c r="V69" s="989">
        <v>0</v>
      </c>
      <c r="W69" s="1183" t="s">
        <v>1490</v>
      </c>
      <c r="X69" s="154">
        <f>IF(AND(T69=0,V69&lt;&gt;0),1,IF(AND(T69=0,V69=0),0,V69/T69-1))</f>
        <v>0</v>
      </c>
      <c r="Y69" s="992"/>
      <c r="Z69" s="989">
        <v>0</v>
      </c>
      <c r="AA69" s="988" t="s">
        <v>1074</v>
      </c>
      <c r="AB69" s="989">
        <v>0</v>
      </c>
      <c r="AC69" s="1213" t="s">
        <v>1074</v>
      </c>
      <c r="AD69" s="154">
        <f>IF(AND(Z69=0,AB69&lt;&gt;0),1,IF(AND(Z69=0,AB69=0),0,AB69/Z69-1))</f>
        <v>0</v>
      </c>
      <c r="AE69" s="992"/>
      <c r="AF69" s="989">
        <v>0</v>
      </c>
      <c r="AG69" s="988" t="s">
        <v>1074</v>
      </c>
      <c r="AH69" s="989">
        <v>0</v>
      </c>
      <c r="AI69" s="1213" t="s">
        <v>1074</v>
      </c>
      <c r="AJ69" s="154">
        <f>IF(AND(AF69=0,AH69&lt;&gt;0),1,IF(AND(AF69=0,AH69=0),0,AH69/AF69-1))</f>
        <v>0</v>
      </c>
      <c r="AK69" s="992"/>
      <c r="AL69" s="989">
        <v>0</v>
      </c>
      <c r="AM69" s="988" t="s">
        <v>1074</v>
      </c>
      <c r="AN69" s="989">
        <v>0</v>
      </c>
      <c r="AO69" s="1213" t="s">
        <v>1074</v>
      </c>
      <c r="AP69" s="154">
        <f>IF(AND(AL69=0,AN69&lt;&gt;0),1,IF(AND(AL69=0,AN69=0),0,AN69/AL69-1))</f>
        <v>0</v>
      </c>
      <c r="AQ69" s="992"/>
      <c r="AR69" s="989">
        <v>0</v>
      </c>
      <c r="AS69" s="988" t="s">
        <v>1074</v>
      </c>
      <c r="AT69" s="989">
        <v>0</v>
      </c>
      <c r="AU69" s="1213" t="s">
        <v>1074</v>
      </c>
      <c r="AV69" s="154">
        <f>IF(AND(AR69=0,AT69&lt;&gt;0),1,IF(AND(AR69=0,AT69=0),0,AT69/AR69-1))</f>
        <v>0</v>
      </c>
      <c r="AW69" s="992"/>
      <c r="AX69" s="1180">
        <v>0</v>
      </c>
      <c r="AY69" s="1207" t="s">
        <v>1074</v>
      </c>
      <c r="AZ69" s="1180">
        <v>0</v>
      </c>
      <c r="BA69" s="1213" t="s">
        <v>1074</v>
      </c>
      <c r="BB69" s="154">
        <f>IF(AND(AX69=0,AZ69&lt;&gt;0),1,IF(AND(AX69=0,AZ69=0),0,AZ69/AX69-1))</f>
        <v>0</v>
      </c>
      <c r="BC69" s="992"/>
      <c r="BD69" s="989">
        <v>0</v>
      </c>
      <c r="BE69" s="988" t="s">
        <v>1074</v>
      </c>
      <c r="BF69" s="989">
        <v>0</v>
      </c>
      <c r="BG69" s="1213" t="s">
        <v>1074</v>
      </c>
      <c r="BH69" s="154">
        <f>IF(AND(BD69=0,BF69&lt;&gt;0),1,IF(AND(BD69=0,BF69=0),0,BF69/BD69-1))</f>
        <v>0</v>
      </c>
      <c r="BI69" s="992"/>
      <c r="BJ69" s="989">
        <v>0</v>
      </c>
      <c r="BK69" s="988" t="s">
        <v>1074</v>
      </c>
      <c r="BL69" s="989">
        <v>0</v>
      </c>
      <c r="BM69" s="1213" t="s">
        <v>1074</v>
      </c>
      <c r="BN69" s="154">
        <f>IF(AND(BJ69=0,BL69&lt;&gt;0),1,IF(AND(BJ69=0,BL69=0),0,BL69/BJ69-1))</f>
        <v>0</v>
      </c>
      <c r="BO69" s="992"/>
      <c r="BP69" s="989">
        <v>0</v>
      </c>
      <c r="BQ69" s="988" t="s">
        <v>1074</v>
      </c>
      <c r="BR69" s="989">
        <v>0</v>
      </c>
      <c r="BS69" s="1213" t="s">
        <v>1074</v>
      </c>
      <c r="BT69" s="154">
        <f>IF(AND(BP69=0,BR69&lt;&gt;0),1,IF(AND(BP69=0,BR69=0),0,BR69/BP69-1))</f>
        <v>0</v>
      </c>
      <c r="BU69" s="992"/>
      <c r="BV69" s="989">
        <v>0</v>
      </c>
      <c r="BW69" s="988" t="s">
        <v>1074</v>
      </c>
      <c r="BX69" s="989">
        <v>0</v>
      </c>
      <c r="BY69" s="1213" t="s">
        <v>1074</v>
      </c>
      <c r="BZ69" s="154">
        <f>IF(AND(BV69=0,BX69&lt;&gt;0),1,IF(AND(BV69=0,BX69=0),0,BX69/BV69-1))</f>
        <v>0</v>
      </c>
      <c r="CA69" s="968"/>
      <c r="CC69" s="965"/>
      <c r="CD69" s="965"/>
      <c r="CE69" s="965"/>
      <c r="CF69" s="965"/>
      <c r="CG69" s="965"/>
      <c r="CH69" s="965"/>
      <c r="CI69" s="965"/>
      <c r="CJ69" s="965"/>
      <c r="CK69" s="965"/>
    </row>
    <row r="70" spans="1:89" s="886" customFormat="1" ht="14.25">
      <c r="A70" s="1643" t="s">
        <v>2179</v>
      </c>
      <c r="B70" s="1643" t="s">
        <v>1158</v>
      </c>
      <c r="C70" s="899">
        <v>32</v>
      </c>
      <c r="D70" s="986" t="s">
        <v>2011</v>
      </c>
      <c r="E70" s="995" t="s">
        <v>204</v>
      </c>
      <c r="F70" s="1002"/>
      <c r="G70" s="1002" t="s">
        <v>1491</v>
      </c>
      <c r="H70" s="991" t="s">
        <v>229</v>
      </c>
      <c r="I70" s="1652">
        <v>3</v>
      </c>
      <c r="J70" s="991">
        <f>AVERAGE(BV70,BP70,BJ70,BD70,AX70,AR70,AL70,AF70,Z70,T70)</f>
        <v>0</v>
      </c>
      <c r="K70" s="1310">
        <f>AVERAGE(BW70,BQ70,BK70,BE70,AY70,AS70,AM70,AG70,AA70,U70)</f>
        <v>3</v>
      </c>
      <c r="L70" s="991">
        <f>AVERAGE(BX70,BR70,BL70,BF70,AZ70,AT70,AN70,AH70,AB70,V70)</f>
        <v>0</v>
      </c>
      <c r="M70" s="1310">
        <f>AVERAGE(BY70,BS70,BM70,BG70,BA70,AU70,AO70,AI70,AC70,W70)</f>
        <v>3</v>
      </c>
      <c r="N70" s="1310">
        <f>M70-K70</f>
        <v>0</v>
      </c>
      <c r="O70" s="1257">
        <f>I70-M70</f>
        <v>0</v>
      </c>
      <c r="P70" s="1257">
        <f>O70*0.7</f>
        <v>0</v>
      </c>
      <c r="Q70" s="1257">
        <f>P70/9</f>
        <v>0</v>
      </c>
      <c r="R70" s="1257">
        <f t="shared" ref="R70:R77" si="22">Q70/2</f>
        <v>0</v>
      </c>
      <c r="S70" s="992"/>
      <c r="T70" s="989">
        <v>0</v>
      </c>
      <c r="U70" s="1654">
        <f>3-T70*0.5-T71*1</f>
        <v>3</v>
      </c>
      <c r="V70" s="989">
        <v>0</v>
      </c>
      <c r="W70" s="1654">
        <f>3-V70*0.5-V71*1</f>
        <v>3</v>
      </c>
      <c r="X70" s="154">
        <f>IF(AND(T70=0,V70&lt;&gt;0),1,IF(AND(T70=0,V70=0),0,V70/T70-1))</f>
        <v>0</v>
      </c>
      <c r="Y70" s="992"/>
      <c r="Z70" s="989">
        <v>0</v>
      </c>
      <c r="AA70" s="1631">
        <f>3-Z70*0.5-Z71*1</f>
        <v>3</v>
      </c>
      <c r="AB70" s="989">
        <v>0</v>
      </c>
      <c r="AC70" s="1630">
        <f>3-AB70*0.5-AB71*1</f>
        <v>3</v>
      </c>
      <c r="AD70" s="154">
        <f>IF(AND(Z70=0,AB70&lt;&gt;0),1,IF(AND(Z70=0,AB70=0),0,AB70/Z70-1))</f>
        <v>0</v>
      </c>
      <c r="AE70" s="992"/>
      <c r="AF70" s="989">
        <v>0</v>
      </c>
      <c r="AG70" s="1631">
        <f>3-AF70*0.5-AF71*1</f>
        <v>3</v>
      </c>
      <c r="AH70" s="989">
        <v>0</v>
      </c>
      <c r="AI70" s="1630">
        <f>3-AH70*0.5-AH71*1</f>
        <v>3</v>
      </c>
      <c r="AJ70" s="154">
        <f>IF(AND(AF70=0,AH70&lt;&gt;0),1,IF(AND(AF70=0,AH70=0),0,AH70/AF70-1))</f>
        <v>0</v>
      </c>
      <c r="AK70" s="992"/>
      <c r="AL70" s="989">
        <v>0</v>
      </c>
      <c r="AM70" s="1631">
        <f>3-AL70*0.5-AL71*1</f>
        <v>3</v>
      </c>
      <c r="AN70" s="989">
        <v>0</v>
      </c>
      <c r="AO70" s="1630">
        <f>3-AN70*0.5-AN71*1</f>
        <v>3</v>
      </c>
      <c r="AP70" s="154">
        <f>IF(AND(AL70=0,AN70&lt;&gt;0),1,IF(AND(AL70=0,AN70=0),0,AN70/AL70-1))</f>
        <v>0</v>
      </c>
      <c r="AQ70" s="992"/>
      <c r="AR70" s="989">
        <v>0</v>
      </c>
      <c r="AS70" s="1631">
        <f>3-AR70*0.5-AR71*1</f>
        <v>3</v>
      </c>
      <c r="AT70" s="989">
        <v>0</v>
      </c>
      <c r="AU70" s="1630">
        <f>3-AT70*0.5-AT71*1</f>
        <v>3</v>
      </c>
      <c r="AV70" s="154">
        <f>IF(AND(AR70=0,AT70&lt;&gt;0),1,IF(AND(AR70=0,AT70=0),0,AT70/AR70-1))</f>
        <v>0</v>
      </c>
      <c r="AW70" s="992"/>
      <c r="AX70" s="1180">
        <v>0</v>
      </c>
      <c r="AY70" s="1639">
        <f>3-AX70*0.5-AX71*1</f>
        <v>3</v>
      </c>
      <c r="AZ70" s="1180">
        <v>0</v>
      </c>
      <c r="BA70" s="1630">
        <f>3-AZ70*0.5-AZ71*1</f>
        <v>3</v>
      </c>
      <c r="BB70" s="154">
        <f>IF(AND(AX70=0,AZ70&lt;&gt;0),1,IF(AND(AX70=0,AZ70=0),0,AZ70/AX70-1))</f>
        <v>0</v>
      </c>
      <c r="BC70" s="992"/>
      <c r="BD70" s="989">
        <v>0</v>
      </c>
      <c r="BE70" s="1631">
        <f>3-BD70*0.5-BD71*1</f>
        <v>3</v>
      </c>
      <c r="BF70" s="989">
        <v>0</v>
      </c>
      <c r="BG70" s="1630">
        <f>3-BF70*0.5-BF71*1</f>
        <v>3</v>
      </c>
      <c r="BH70" s="154">
        <f>IF(AND(BD70=0,BF70&lt;&gt;0),1,IF(AND(BD70=0,BF70=0),0,BF70/BD70-1))</f>
        <v>0</v>
      </c>
      <c r="BI70" s="992"/>
      <c r="BJ70" s="989">
        <v>0</v>
      </c>
      <c r="BK70" s="1631">
        <f>3-BJ70*0.5-BJ71*1</f>
        <v>3</v>
      </c>
      <c r="BL70" s="989">
        <v>0</v>
      </c>
      <c r="BM70" s="1630">
        <f>3-BL70*0.5-BL71*1</f>
        <v>3</v>
      </c>
      <c r="BN70" s="154">
        <f>IF(AND(BJ70=0,BL70&lt;&gt;0),1,IF(AND(BJ70=0,BL70=0),0,BL70/BJ70-1))</f>
        <v>0</v>
      </c>
      <c r="BO70" s="992"/>
      <c r="BP70" s="989">
        <v>0</v>
      </c>
      <c r="BQ70" s="1631">
        <f>3-BP70*0.5-BP71*1</f>
        <v>3</v>
      </c>
      <c r="BR70" s="989">
        <v>0</v>
      </c>
      <c r="BS70" s="1630">
        <f>3-BR70*0.5-BR71*1</f>
        <v>3</v>
      </c>
      <c r="BT70" s="154">
        <f>IF(AND(BP70=0,BR70&lt;&gt;0),1,IF(AND(BP70=0,BR70=0),0,BR70/BP70-1))</f>
        <v>0</v>
      </c>
      <c r="BU70" s="992"/>
      <c r="BV70" s="989">
        <v>0</v>
      </c>
      <c r="BW70" s="1631">
        <f>3-BV70*0.5-BV71*1</f>
        <v>3</v>
      </c>
      <c r="BX70" s="989">
        <v>0</v>
      </c>
      <c r="BY70" s="1630">
        <f>3-BX70*0.5-BX71*1</f>
        <v>3</v>
      </c>
      <c r="BZ70" s="154">
        <f>IF(AND(BV70=0,BX70&lt;&gt;0),1,IF(AND(BV70=0,BX70=0),0,BX70/BV70-1))</f>
        <v>0</v>
      </c>
      <c r="CA70" s="968"/>
      <c r="CC70" s="965"/>
      <c r="CD70" s="965"/>
      <c r="CE70" s="965"/>
      <c r="CF70" s="965"/>
      <c r="CG70" s="965"/>
      <c r="CH70" s="965"/>
      <c r="CI70" s="965"/>
      <c r="CJ70" s="965"/>
      <c r="CK70" s="965"/>
    </row>
    <row r="71" spans="1:89" s="886" customFormat="1" ht="14.25">
      <c r="A71" s="1643"/>
      <c r="B71" s="1643"/>
      <c r="C71" s="899">
        <v>33</v>
      </c>
      <c r="D71" s="986" t="s">
        <v>1159</v>
      </c>
      <c r="E71" s="995" t="s">
        <v>204</v>
      </c>
      <c r="F71" s="1002"/>
      <c r="G71" s="1002" t="s">
        <v>1491</v>
      </c>
      <c r="H71" s="991" t="s">
        <v>229</v>
      </c>
      <c r="I71" s="1652"/>
      <c r="J71" s="991">
        <f>AVERAGE(BV71,BP71,BJ71,BD71,AX71,AR71,AL71,AF71,Z71,T71)</f>
        <v>0</v>
      </c>
      <c r="K71" s="1310">
        <v>0</v>
      </c>
      <c r="L71" s="991">
        <f>AVERAGE(BX71,BR71,BL71,BF71,AZ71,AT71,AN71,AH71,AB71,V71)</f>
        <v>0</v>
      </c>
      <c r="M71" s="1310"/>
      <c r="N71" s="1310">
        <f>M71-K71</f>
        <v>0</v>
      </c>
      <c r="O71" s="1257">
        <f>I71-M71</f>
        <v>0</v>
      </c>
      <c r="P71" s="1257">
        <f>O71*0.7</f>
        <v>0</v>
      </c>
      <c r="Q71" s="1257">
        <f>P71/9</f>
        <v>0</v>
      </c>
      <c r="R71" s="1257">
        <f t="shared" si="22"/>
        <v>0</v>
      </c>
      <c r="S71" s="992"/>
      <c r="T71" s="989">
        <v>0</v>
      </c>
      <c r="U71" s="1654"/>
      <c r="V71" s="989">
        <v>0</v>
      </c>
      <c r="W71" s="1654"/>
      <c r="X71" s="154">
        <f>IF(AND(T71=0,V71&lt;&gt;0),1,IF(AND(T71=0,V71=0),0,V71/T71-1))</f>
        <v>0</v>
      </c>
      <c r="Y71" s="992"/>
      <c r="Z71" s="989">
        <v>0</v>
      </c>
      <c r="AA71" s="1631"/>
      <c r="AB71" s="989">
        <v>0</v>
      </c>
      <c r="AC71" s="1630"/>
      <c r="AD71" s="154">
        <f>IF(AND(Z71=0,AB71&lt;&gt;0),1,IF(AND(Z71=0,AB71=0),0,AB71/Z71-1))</f>
        <v>0</v>
      </c>
      <c r="AE71" s="992"/>
      <c r="AF71" s="989">
        <v>0</v>
      </c>
      <c r="AG71" s="1631"/>
      <c r="AH71" s="989">
        <v>0</v>
      </c>
      <c r="AI71" s="1630"/>
      <c r="AJ71" s="154">
        <f>IF(AND(AF71=0,AH71&lt;&gt;0),1,IF(AND(AF71=0,AH71=0),0,AH71/AF71-1))</f>
        <v>0</v>
      </c>
      <c r="AK71" s="992"/>
      <c r="AL71" s="989">
        <v>0</v>
      </c>
      <c r="AM71" s="1631"/>
      <c r="AN71" s="989">
        <v>0</v>
      </c>
      <c r="AO71" s="1630"/>
      <c r="AP71" s="154">
        <f>IF(AND(AL71=0,AN71&lt;&gt;0),1,IF(AND(AL71=0,AN71=0),0,AN71/AL71-1))</f>
        <v>0</v>
      </c>
      <c r="AQ71" s="992"/>
      <c r="AR71" s="989">
        <v>0</v>
      </c>
      <c r="AS71" s="1631"/>
      <c r="AT71" s="989">
        <v>0</v>
      </c>
      <c r="AU71" s="1630"/>
      <c r="AV71" s="154">
        <f>IF(AND(AR71=0,AT71&lt;&gt;0),1,IF(AND(AR71=0,AT71=0),0,AT71/AR71-1))</f>
        <v>0</v>
      </c>
      <c r="AW71" s="992"/>
      <c r="AX71" s="1180">
        <v>0</v>
      </c>
      <c r="AY71" s="1639"/>
      <c r="AZ71" s="1180">
        <v>0</v>
      </c>
      <c r="BA71" s="1630"/>
      <c r="BB71" s="154">
        <f>IF(AND(AX71=0,AZ71&lt;&gt;0),1,IF(AND(AX71=0,AZ71=0),0,AZ71/AX71-1))</f>
        <v>0</v>
      </c>
      <c r="BC71" s="992"/>
      <c r="BD71" s="989">
        <v>0</v>
      </c>
      <c r="BE71" s="1631"/>
      <c r="BF71" s="989">
        <v>0</v>
      </c>
      <c r="BG71" s="1630"/>
      <c r="BH71" s="154">
        <f>IF(AND(BD71=0,BF71&lt;&gt;0),1,IF(AND(BD71=0,BF71=0),0,BF71/BD71-1))</f>
        <v>0</v>
      </c>
      <c r="BI71" s="992"/>
      <c r="BJ71" s="989">
        <v>0</v>
      </c>
      <c r="BK71" s="1631"/>
      <c r="BL71" s="989">
        <v>0</v>
      </c>
      <c r="BM71" s="1630"/>
      <c r="BN71" s="154">
        <f>IF(AND(BJ71=0,BL71&lt;&gt;0),1,IF(AND(BJ71=0,BL71=0),0,BL71/BJ71-1))</f>
        <v>0</v>
      </c>
      <c r="BO71" s="992"/>
      <c r="BP71" s="989">
        <v>0</v>
      </c>
      <c r="BQ71" s="1631"/>
      <c r="BR71" s="989">
        <v>0</v>
      </c>
      <c r="BS71" s="1630"/>
      <c r="BT71" s="154">
        <f>IF(AND(BP71=0,BR71&lt;&gt;0),1,IF(AND(BP71=0,BR71=0),0,BR71/BP71-1))</f>
        <v>0</v>
      </c>
      <c r="BU71" s="992"/>
      <c r="BV71" s="989">
        <v>0</v>
      </c>
      <c r="BW71" s="1631"/>
      <c r="BX71" s="989">
        <v>0</v>
      </c>
      <c r="BY71" s="1630"/>
      <c r="BZ71" s="154">
        <f>IF(AND(BV71=0,BX71&lt;&gt;0),1,IF(AND(BV71=0,BX71=0),0,BX71/BV71-1))</f>
        <v>0</v>
      </c>
      <c r="CA71" s="968"/>
      <c r="CC71" s="965"/>
      <c r="CD71" s="965"/>
      <c r="CE71" s="965"/>
      <c r="CF71" s="965"/>
      <c r="CG71" s="965"/>
      <c r="CH71" s="965"/>
      <c r="CI71" s="965"/>
      <c r="CJ71" s="965"/>
      <c r="CK71" s="965"/>
    </row>
    <row r="72" spans="1:89" s="886" customFormat="1" ht="28.5">
      <c r="A72" s="1025" t="s">
        <v>1160</v>
      </c>
      <c r="B72" s="1026" t="s">
        <v>1161</v>
      </c>
      <c r="C72" s="899">
        <v>34</v>
      </c>
      <c r="D72" s="986" t="s">
        <v>1852</v>
      </c>
      <c r="E72" s="995" t="s">
        <v>205</v>
      </c>
      <c r="F72" s="1002"/>
      <c r="G72" s="1002" t="s">
        <v>1491</v>
      </c>
      <c r="H72" s="991" t="s">
        <v>229</v>
      </c>
      <c r="I72" s="990">
        <v>2</v>
      </c>
      <c r="J72" s="1027" t="s">
        <v>1162</v>
      </c>
      <c r="K72" s="1310">
        <f>AVERAGE(BW72,BQ72,BK72,BE72,AY72,AS72,AM72,AG72,AA72,U72)</f>
        <v>2</v>
      </c>
      <c r="L72" s="1027" t="s">
        <v>1162</v>
      </c>
      <c r="M72" s="1310">
        <f>AVERAGE(BY72,BS72,BM72,BG72,BA72,AU72,AO72,AI72,AC72,W72)</f>
        <v>2</v>
      </c>
      <c r="N72" s="1310">
        <f>M72-K72</f>
        <v>0</v>
      </c>
      <c r="O72" s="1257">
        <f>I72-M72</f>
        <v>0</v>
      </c>
      <c r="P72" s="1257">
        <f>O72*0.7</f>
        <v>0</v>
      </c>
      <c r="Q72" s="1257">
        <f>P72/9</f>
        <v>0</v>
      </c>
      <c r="R72" s="1257">
        <f t="shared" si="22"/>
        <v>0</v>
      </c>
      <c r="S72" s="992" t="s">
        <v>1129</v>
      </c>
      <c r="T72" s="989" t="s">
        <v>1162</v>
      </c>
      <c r="U72" s="1183">
        <v>2</v>
      </c>
      <c r="V72" s="989" t="s">
        <v>2466</v>
      </c>
      <c r="W72" s="1183">
        <v>2</v>
      </c>
      <c r="X72" s="154">
        <f>IF((V72=T72)=TRUE,0,1)</f>
        <v>0</v>
      </c>
      <c r="Y72" s="992"/>
      <c r="Z72" s="989" t="s">
        <v>1162</v>
      </c>
      <c r="AA72" s="988">
        <v>2</v>
      </c>
      <c r="AB72" s="989" t="s">
        <v>1162</v>
      </c>
      <c r="AC72" s="1213">
        <v>2</v>
      </c>
      <c r="AD72" s="154">
        <f>IF((AB72=Z72)=TRUE,0,1)</f>
        <v>0</v>
      </c>
      <c r="AE72" s="992"/>
      <c r="AF72" s="989" t="s">
        <v>1162</v>
      </c>
      <c r="AG72" s="988">
        <v>2</v>
      </c>
      <c r="AH72" s="989" t="s">
        <v>1162</v>
      </c>
      <c r="AI72" s="1213">
        <v>2</v>
      </c>
      <c r="AJ72" s="154">
        <f>IF((AH72=AF72)=TRUE,0,1)</f>
        <v>0</v>
      </c>
      <c r="AK72" s="992"/>
      <c r="AL72" s="989" t="s">
        <v>1162</v>
      </c>
      <c r="AM72" s="988">
        <v>2</v>
      </c>
      <c r="AN72" s="989" t="s">
        <v>1162</v>
      </c>
      <c r="AO72" s="1213">
        <v>2</v>
      </c>
      <c r="AP72" s="154">
        <f>IF((AN72=AL72)=TRUE,0,1)</f>
        <v>0</v>
      </c>
      <c r="AQ72" s="992"/>
      <c r="AR72" s="989" t="s">
        <v>1162</v>
      </c>
      <c r="AS72" s="988">
        <v>2</v>
      </c>
      <c r="AT72" s="989" t="s">
        <v>1162</v>
      </c>
      <c r="AU72" s="1213">
        <v>2</v>
      </c>
      <c r="AV72" s="154">
        <f>IF((AT72=AR72)=TRUE,0,1)</f>
        <v>0</v>
      </c>
      <c r="AW72" s="992"/>
      <c r="AX72" s="1180" t="s">
        <v>1162</v>
      </c>
      <c r="AY72" s="1207">
        <v>2</v>
      </c>
      <c r="AZ72" s="1180" t="s">
        <v>1162</v>
      </c>
      <c r="BA72" s="1213">
        <v>2</v>
      </c>
      <c r="BB72" s="154">
        <f>IF((AZ72=AX72)=TRUE,0,1)</f>
        <v>0</v>
      </c>
      <c r="BC72" s="992"/>
      <c r="BD72" s="989" t="s">
        <v>1162</v>
      </c>
      <c r="BE72" s="988">
        <v>2</v>
      </c>
      <c r="BF72" s="989" t="s">
        <v>1162</v>
      </c>
      <c r="BG72" s="1213">
        <v>2</v>
      </c>
      <c r="BH72" s="154">
        <f>IF((BF72=BD72)=TRUE,0,1)</f>
        <v>0</v>
      </c>
      <c r="BI72" s="992"/>
      <c r="BJ72" s="989" t="s">
        <v>1162</v>
      </c>
      <c r="BK72" s="988">
        <v>2</v>
      </c>
      <c r="BL72" s="989" t="s">
        <v>1162</v>
      </c>
      <c r="BM72" s="1213">
        <v>2</v>
      </c>
      <c r="BN72" s="154">
        <f>IF((BL72=BJ72)=TRUE,0,1)</f>
        <v>0</v>
      </c>
      <c r="BO72" s="992"/>
      <c r="BP72" s="989" t="s">
        <v>1162</v>
      </c>
      <c r="BQ72" s="988">
        <v>2</v>
      </c>
      <c r="BR72" s="989" t="s">
        <v>1162</v>
      </c>
      <c r="BS72" s="1213">
        <v>2</v>
      </c>
      <c r="BT72" s="154">
        <f>IF((BR72=BP72)=TRUE,0,1)</f>
        <v>0</v>
      </c>
      <c r="BU72" s="992"/>
      <c r="BV72" s="989" t="s">
        <v>1162</v>
      </c>
      <c r="BW72" s="988">
        <v>2</v>
      </c>
      <c r="BX72" s="989" t="s">
        <v>1162</v>
      </c>
      <c r="BY72" s="1213">
        <v>2</v>
      </c>
      <c r="BZ72" s="154">
        <f>IF((BX72=BV72)=TRUE,0,1)</f>
        <v>0</v>
      </c>
      <c r="CA72" s="968"/>
      <c r="CC72" s="965"/>
      <c r="CD72" s="965"/>
      <c r="CE72" s="965"/>
      <c r="CF72" s="965"/>
      <c r="CG72" s="965"/>
      <c r="CH72" s="965"/>
      <c r="CI72" s="965"/>
      <c r="CJ72" s="965"/>
      <c r="CK72" s="965"/>
    </row>
    <row r="73" spans="1:89" s="886" customFormat="1" ht="14.25">
      <c r="A73" s="1644" t="s">
        <v>1492</v>
      </c>
      <c r="B73" s="1645" t="s">
        <v>1164</v>
      </c>
      <c r="C73" s="899">
        <v>35</v>
      </c>
      <c r="D73" s="1341" t="s">
        <v>1163</v>
      </c>
      <c r="E73" s="995" t="s">
        <v>205</v>
      </c>
      <c r="F73" s="1002"/>
      <c r="G73" s="1648" t="s">
        <v>399</v>
      </c>
      <c r="H73" s="1667" t="s">
        <v>1493</v>
      </c>
      <c r="I73" s="1649">
        <v>10</v>
      </c>
      <c r="J73" s="991">
        <f>AVERAGE(BV73,BP73,BJ73,BD73,AX73,AR73,AL73,AF73,Z73,T73)</f>
        <v>359015069.08300006</v>
      </c>
      <c r="K73" s="1310">
        <v>0</v>
      </c>
      <c r="L73" s="991">
        <f>AVERAGE(BX73,BR73,BL73,BF73,AZ73,AT73,AN73,AH73,AB73,V73)</f>
        <v>374235180.671</v>
      </c>
      <c r="M73" s="1624">
        <v>0</v>
      </c>
      <c r="N73" s="1624">
        <f>M73-K73</f>
        <v>0</v>
      </c>
      <c r="O73" s="1627">
        <f>I73-M73</f>
        <v>10</v>
      </c>
      <c r="P73" s="1627">
        <f>O73*0.7</f>
        <v>7</v>
      </c>
      <c r="Q73" s="1627">
        <f>P73/9</f>
        <v>0.77777777777777779</v>
      </c>
      <c r="R73" s="1627">
        <f t="shared" si="22"/>
        <v>0.3888888888888889</v>
      </c>
      <c r="S73" s="992"/>
      <c r="T73" s="989">
        <v>219161691.91999999</v>
      </c>
      <c r="U73" s="1638">
        <f>IF(T28+T29+T30+T31+T32+T33+T43+T44+T67+T68+T41+T42=0,10,"行业水平得分")</f>
        <v>10</v>
      </c>
      <c r="V73" s="989">
        <v>224257018.72999999</v>
      </c>
      <c r="W73" s="1638">
        <f>IF(V28+V29+V30+V31+V32+V33+V43+V44+V67+V68+V41+V42=0,10,"行业水平得分")</f>
        <v>10</v>
      </c>
      <c r="X73" s="154">
        <f>IF(AND(T73=0,V73&lt;&gt;0),1,IF(AND(T73=0,V73=0),0,V73/T73-1))</f>
        <v>2.3249167157643358E-2</v>
      </c>
      <c r="Y73" s="992"/>
      <c r="Z73" s="1021">
        <v>803965379.51999998</v>
      </c>
      <c r="AA73" s="1633" t="str">
        <f>IF(Z28+Z29+Z30+Z31+Z32+Z33+Z43+Z44+Z67+Z68+Z41+Z42=0,10,"行业水平得分")</f>
        <v>行业水平得分</v>
      </c>
      <c r="AB73" s="1021">
        <v>816692964.88</v>
      </c>
      <c r="AC73" s="1671" t="str">
        <f>IF(AB28+AB29+AB30+AB31+AB32+AB33+AB43+AB44+AB67+AB68+AB41+AB42=0,10,"行业水平得分")</f>
        <v>行业水平得分</v>
      </c>
      <c r="AD73" s="154">
        <f>IF(AND(Z73=0,AB73&lt;&gt;0),1,IF(AND(Z73=0,AB73=0),0,AB73/Z73-1))</f>
        <v>1.5831011737842404E-2</v>
      </c>
      <c r="AE73" s="992"/>
      <c r="AF73" s="989">
        <v>553478053.49000013</v>
      </c>
      <c r="AG73" s="1633" t="str">
        <f>IF(AF28+AF29+AF30+AF31+AF32+AF33+AF43+AF44+AF67+AF68+AF41+AF42=0,10,"行业水平得分")</f>
        <v>行业水平得分</v>
      </c>
      <c r="AH73" s="989">
        <v>566654306.72000003</v>
      </c>
      <c r="AI73" s="1641" t="str">
        <f>IF(AH28+AH29+AH30+AH31+AH32+AH33+AH43+AH44+AH67+AH68+AH41+AH42=0,10,"行业水平得分")</f>
        <v>行业水平得分</v>
      </c>
      <c r="AJ73" s="154">
        <f>IF(AND(AF73=0,AH73&lt;&gt;0),1,IF(AND(AF73=0,AH73=0),0,AH73/AF73-1))</f>
        <v>2.380627948464431E-2</v>
      </c>
      <c r="AK73" s="992"/>
      <c r="AL73" s="989">
        <v>268983251.95999998</v>
      </c>
      <c r="AM73" s="1633" t="str">
        <f>IF(AL28+AL29+AL30+AL31+AL32+AL33+AL43+AL44+AL67+AL68+AL41+AL42=0,10,"行业水平得分")</f>
        <v>行业水平得分</v>
      </c>
      <c r="AN73" s="989">
        <v>306998636.07999998</v>
      </c>
      <c r="AO73" s="1641" t="str">
        <f>IF(AN28+AN29+AN30+AN31+AN32+AN33+AN43+AN44+AN67+AN68+AN41+AN42=0,10,"行业水平得分")</f>
        <v>行业水平得分</v>
      </c>
      <c r="AP73" s="154">
        <f>IF(AND(AL73=0,AN73&lt;&gt;0),1,IF(AND(AL73=0,AN73=0),0,AN73/AL73-1))</f>
        <v>0.14132992981158998</v>
      </c>
      <c r="AQ73" s="992"/>
      <c r="AR73" s="1029">
        <v>498430654.99000007</v>
      </c>
      <c r="AS73" s="1632" t="str">
        <f>IF(AR28+AR29+AR30+AR31+AR32+AR33+AR43+AR44+AR67+AR68+AR41+AR42=0,10,"行业水平得分")</f>
        <v>行业水平得分</v>
      </c>
      <c r="AT73" s="1029">
        <v>525688483</v>
      </c>
      <c r="AU73" s="1641" t="str">
        <f>IF(AT28+AT29+AT30+AT31+AT32+AT33+AT43+AT44+AT67+AT68+AT41+AT42=0,10,"行业水平得分")</f>
        <v>行业水平得分</v>
      </c>
      <c r="AV73" s="154">
        <f>IF(AND(AR73=0,AT73&lt;&gt;0),1,IF(AND(AR73=0,AT73=0),0,AT73/AR73-1))</f>
        <v>5.4687302510610714E-2</v>
      </c>
      <c r="AW73" s="992"/>
      <c r="AX73" s="1208">
        <v>510216980.48000002</v>
      </c>
      <c r="AY73" s="1640" t="str">
        <f>IF(AX28+AX29+AX30+AX31+AX32+AX33+AX43+AX44+AX67+AX68+AX41+AX42=0,10,"行业水平得分")</f>
        <v>行业水平得分</v>
      </c>
      <c r="AZ73" s="1029">
        <v>541961679.08999991</v>
      </c>
      <c r="BA73" s="1641" t="str">
        <f>IF(AZ28+AZ29+AZ30+AZ31+AZ32+AZ33+AZ43+AZ44+AZ67+AZ68+AZ41+AZ42=0,10,"行业水平得分")</f>
        <v>行业水平得分</v>
      </c>
      <c r="BB73" s="154">
        <f>IF(AND(AX73=0,AZ73&lt;&gt;0),1,IF(AND(AX73=0,AZ73=0),0,AZ73/AX73-1))</f>
        <v>6.2218036295333068E-2</v>
      </c>
      <c r="BC73" s="992"/>
      <c r="BD73" s="1029">
        <v>86955164.340000004</v>
      </c>
      <c r="BE73" s="1633">
        <f>IF(BD28+BD29+BD30+BD31+BD32+BD33+BD43+BD44+BD67+BD68+BD41+BD42=0,10,"行业水平得分")</f>
        <v>10</v>
      </c>
      <c r="BF73" s="1029">
        <v>87224857.019999996</v>
      </c>
      <c r="BG73" s="1634">
        <f>IF(BF28+BF29+BF30+BF31+BF32+BF33+BF43+BF44+BF67+BF68+BF41+BF42=0,10,"行业水平得分")</f>
        <v>10</v>
      </c>
      <c r="BH73" s="154">
        <f>IF(AND(BD73=0,BF73&lt;&gt;0),1,IF(AND(BD73=0,BF73=0),0,BF73/BD73-1))</f>
        <v>3.101514234916225E-3</v>
      </c>
      <c r="BI73" s="992"/>
      <c r="BJ73" s="1029">
        <v>416219170.48000002</v>
      </c>
      <c r="BK73" s="1632" t="str">
        <f>IF(BJ28+BJ29+BJ30+BJ31+BJ32+BJ33+BJ43+BJ44+BJ67+BJ68+BJ41+BJ42=0,10,"行业水平得分")</f>
        <v>行业水平得分</v>
      </c>
      <c r="BL73" s="1029">
        <v>427053943.67000008</v>
      </c>
      <c r="BM73" s="1632" t="str">
        <f>IF(BL28+BL29+BL30+BL31+BL32+BL33+BL43+BL44+BL67+BL68+BL41+BL42=0,10,"行业水平得分")</f>
        <v>行业水平得分</v>
      </c>
      <c r="BN73" s="154">
        <f>IF(AND(BJ73=0,BL73&lt;&gt;0),1,IF(AND(BJ73=0,BL73=0),0,BL73/BJ73-1))</f>
        <v>2.6031413155489735E-2</v>
      </c>
      <c r="BO73" s="992"/>
      <c r="BP73" s="1029">
        <v>97065923.040000007</v>
      </c>
      <c r="BQ73" s="1633">
        <f>IF(BP28+BP29+BP30+BP31+BP32+BP33+BP43+BP44+BP67+BP68+BP41+BP42=0,10,"行业水平得分")</f>
        <v>10</v>
      </c>
      <c r="BR73" s="1029">
        <v>104187336.73999999</v>
      </c>
      <c r="BS73" s="1634">
        <f>IF(BR28+BR29+BR30+BR31+BR32+BR33+BR43+BR44+BR67+BR68+BR41+BR42=0,10,"行业水平得分")</f>
        <v>10</v>
      </c>
      <c r="BT73" s="154">
        <f>IF(AND(BP73=0,BR73&lt;&gt;0),1,IF(AND(BP73=0,BR73=0),0,BR73/BP73-1))</f>
        <v>7.3366774630735376E-2</v>
      </c>
      <c r="BU73" s="992"/>
      <c r="BV73" s="1029">
        <v>135674420.60999998</v>
      </c>
      <c r="BW73" s="1632" t="str">
        <f>IF(BV28+BV29+BV30+BV31+BV32+BV33+BV43+BV44+BV67+BV68+BV41+BV42=0,10,"行业水平得分")</f>
        <v>行业水平得分</v>
      </c>
      <c r="BX73" s="1029">
        <v>141632580.78</v>
      </c>
      <c r="BY73" s="1632" t="str">
        <f>IF(BX28+BX29+BX30+BX31+BX32+BX33+BX43+BX44+BX67+BX68+BX41+BX42=0,10,"行业水平得分")</f>
        <v>行业水平得分</v>
      </c>
      <c r="BZ73" s="154">
        <f>IF(AND(BV73=0,BX73&lt;&gt;0),1,IF(AND(BV73=0,BX73=0),0,BX73/BV73-1))</f>
        <v>4.3915132588823846E-2</v>
      </c>
      <c r="CA73" s="968"/>
      <c r="CC73" s="965"/>
      <c r="CD73" s="965"/>
      <c r="CE73" s="965"/>
      <c r="CF73" s="965"/>
      <c r="CG73" s="965"/>
      <c r="CH73" s="965"/>
      <c r="CI73" s="965"/>
      <c r="CJ73" s="965"/>
      <c r="CK73" s="965"/>
    </row>
    <row r="74" spans="1:89" s="886" customFormat="1" ht="14.25">
      <c r="A74" s="1643"/>
      <c r="B74" s="1646"/>
      <c r="C74" s="899">
        <v>36</v>
      </c>
      <c r="D74" s="1341" t="s">
        <v>2389</v>
      </c>
      <c r="E74" s="995" t="s">
        <v>205</v>
      </c>
      <c r="F74" s="1002"/>
      <c r="G74" s="1648"/>
      <c r="H74" s="1668"/>
      <c r="I74" s="1650"/>
      <c r="J74" s="991">
        <f>AVERAGE(BV74,BP74,BJ74,BD74,AX74,AR74,AL74,AF74,Z74,T74)</f>
        <v>15842242.294</v>
      </c>
      <c r="K74" s="1310"/>
      <c r="L74" s="991">
        <f>AVERAGE(BX74,BR74,BL74,BF74,AZ74,AT74,AN74,AH74,AB74,V74)</f>
        <v>12901857.574999999</v>
      </c>
      <c r="M74" s="1625"/>
      <c r="N74" s="1625"/>
      <c r="O74" s="1628"/>
      <c r="P74" s="1628"/>
      <c r="Q74" s="1628"/>
      <c r="R74" s="1628"/>
      <c r="S74" s="992"/>
      <c r="T74" s="989">
        <v>5024700</v>
      </c>
      <c r="U74" s="1638"/>
      <c r="V74" s="989">
        <v>4990300</v>
      </c>
      <c r="W74" s="1638"/>
      <c r="X74" s="154">
        <f>IF(AND(T74=0,V74&lt;&gt;0),1,IF(AND(T74=0,V74=0),0,V74/T74-1))</f>
        <v>-6.8461798714350985E-3</v>
      </c>
      <c r="Y74" s="992"/>
      <c r="Z74" s="1021">
        <v>29273930.940000001</v>
      </c>
      <c r="AA74" s="1633"/>
      <c r="AB74" s="1021">
        <v>25843931.18</v>
      </c>
      <c r="AC74" s="1671"/>
      <c r="AD74" s="154">
        <f>IF(AND(Z74=0,AB74&lt;&gt;0),1,IF(AND(Z74=0,AB74=0),0,AB74/Z74-1))</f>
        <v>-0.11716908696102846</v>
      </c>
      <c r="AE74" s="992"/>
      <c r="AF74" s="989">
        <v>29287800</v>
      </c>
      <c r="AG74" s="1633"/>
      <c r="AH74" s="989">
        <v>28525800</v>
      </c>
      <c r="AI74" s="1641"/>
      <c r="AJ74" s="154">
        <f>IF(AND(AF74=0,AH74&lt;&gt;0),1,IF(AND(AF74=0,AH74=0),0,AH74/AF74-1))</f>
        <v>-2.6017659230123114E-2</v>
      </c>
      <c r="AK74" s="992"/>
      <c r="AL74" s="989">
        <v>20000</v>
      </c>
      <c r="AM74" s="1633"/>
      <c r="AN74" s="989">
        <v>20000</v>
      </c>
      <c r="AO74" s="1641"/>
      <c r="AP74" s="154">
        <f>IF(AND(AL74=0,AN74&lt;&gt;0),1,IF(AND(AL74=0,AN74=0),0,AN74/AL74-1))</f>
        <v>0</v>
      </c>
      <c r="AQ74" s="992"/>
      <c r="AR74" s="1029">
        <v>60377401</v>
      </c>
      <c r="AS74" s="1632"/>
      <c r="AT74" s="1029">
        <v>33480092.550000001</v>
      </c>
      <c r="AU74" s="1641"/>
      <c r="AV74" s="154">
        <f>IF(AND(AR74=0,AT74&lt;&gt;0),1,IF(AND(AR74=0,AT74=0),0,AT74/AR74-1))</f>
        <v>-0.44548635755288635</v>
      </c>
      <c r="AW74" s="992"/>
      <c r="AX74" s="1208">
        <v>16492600</v>
      </c>
      <c r="AY74" s="1640"/>
      <c r="AZ74" s="1029">
        <v>17797000</v>
      </c>
      <c r="BA74" s="1641"/>
      <c r="BB74" s="154">
        <f>IF(AND(AX74=0,AZ74&lt;&gt;0),1,IF(AND(AX74=0,AZ74=0),0,AZ74/AX74-1))</f>
        <v>7.9090016128445573E-2</v>
      </c>
      <c r="BC74" s="992"/>
      <c r="BD74" s="1029">
        <v>6113730</v>
      </c>
      <c r="BE74" s="1633"/>
      <c r="BF74" s="1029">
        <v>6357330</v>
      </c>
      <c r="BG74" s="1634"/>
      <c r="BH74" s="154">
        <f>IF(AND(BD74=0,BF74&lt;&gt;0),1,IF(AND(BD74=0,BF74=0),0,BF74/BD74-1))</f>
        <v>3.9844742898361485E-2</v>
      </c>
      <c r="BI74" s="992"/>
      <c r="BJ74" s="1029">
        <v>2813500</v>
      </c>
      <c r="BK74" s="1632"/>
      <c r="BL74" s="1029">
        <v>2968000</v>
      </c>
      <c r="BM74" s="1632"/>
      <c r="BN74" s="154">
        <f>IF(AND(BJ74=0,BL74&lt;&gt;0),1,IF(AND(BJ74=0,BL74=0),0,BL74/BJ74-1))</f>
        <v>5.4913808423671551E-2</v>
      </c>
      <c r="BO74" s="992"/>
      <c r="BP74" s="1029">
        <v>321661</v>
      </c>
      <c r="BQ74" s="1633"/>
      <c r="BR74" s="1029">
        <v>648222.02</v>
      </c>
      <c r="BS74" s="1634"/>
      <c r="BT74" s="154">
        <f>IF(AND(BP74=0,BR74&lt;&gt;0),1,IF(AND(BP74=0,BR74=0),0,BR74/BP74-1))</f>
        <v>1.0152334911599481</v>
      </c>
      <c r="BU74" s="992"/>
      <c r="BV74" s="1029">
        <v>8697100</v>
      </c>
      <c r="BW74" s="1632"/>
      <c r="BX74" s="1029">
        <v>8387900</v>
      </c>
      <c r="BY74" s="1632"/>
      <c r="BZ74" s="154">
        <f>IF(AND(BV74=0,BX74&lt;&gt;0),1,IF(AND(BV74=0,BX74=0),0,BX74/BV74-1))</f>
        <v>-3.5552080578583611E-2</v>
      </c>
      <c r="CA74" s="968"/>
      <c r="CC74" s="965"/>
      <c r="CD74" s="965"/>
      <c r="CE74" s="965"/>
      <c r="CF74" s="965"/>
      <c r="CG74" s="965"/>
      <c r="CH74" s="965"/>
      <c r="CI74" s="965"/>
      <c r="CJ74" s="965"/>
      <c r="CK74" s="965"/>
    </row>
    <row r="75" spans="1:89" s="886" customFormat="1" ht="14.25">
      <c r="A75" s="1643"/>
      <c r="B75" s="1647"/>
      <c r="C75" s="899">
        <v>37</v>
      </c>
      <c r="D75" s="1341" t="s">
        <v>1661</v>
      </c>
      <c r="E75" s="995" t="s">
        <v>205</v>
      </c>
      <c r="F75" s="1002"/>
      <c r="G75" s="1648"/>
      <c r="H75" s="1669"/>
      <c r="I75" s="1651"/>
      <c r="J75" s="991">
        <f>AVERAGE(BV75,BP75,BJ75,BD75,AX75,AR75,AL75,AF75,Z75,T75)</f>
        <v>177428.05</v>
      </c>
      <c r="K75" s="1310"/>
      <c r="L75" s="991">
        <f>AVERAGE(BX75,BR75,BL75,BF75,AZ75,AT75,AN75,AH75,AB75,V75)</f>
        <v>158786.16999999998</v>
      </c>
      <c r="M75" s="1626"/>
      <c r="N75" s="1626"/>
      <c r="O75" s="1629"/>
      <c r="P75" s="1629"/>
      <c r="Q75" s="1629"/>
      <c r="R75" s="1629"/>
      <c r="S75" s="992"/>
      <c r="T75" s="989">
        <v>0</v>
      </c>
      <c r="U75" s="1638"/>
      <c r="V75" s="989">
        <v>0</v>
      </c>
      <c r="W75" s="1638"/>
      <c r="X75" s="154">
        <f>IF(AND(T75=0,V75&lt;&gt;0),1,IF(AND(T75=0,V75=0),0,V75/T75-1))</f>
        <v>0</v>
      </c>
      <c r="Y75" s="992"/>
      <c r="Z75" s="1021">
        <v>264700.5</v>
      </c>
      <c r="AA75" s="1633"/>
      <c r="AB75" s="1021">
        <v>258851.8</v>
      </c>
      <c r="AC75" s="1671"/>
      <c r="AD75" s="154">
        <f>IF(AND(Z75=0,AB75&lt;&gt;0),1,IF(AND(Z75=0,AB75=0),0,AB75/Z75-1))</f>
        <v>-2.2095538164831563E-2</v>
      </c>
      <c r="AE75" s="992"/>
      <c r="AF75" s="989">
        <v>619131.6</v>
      </c>
      <c r="AG75" s="1633"/>
      <c r="AH75" s="989">
        <v>458840.7</v>
      </c>
      <c r="AI75" s="1641"/>
      <c r="AJ75" s="154">
        <f>IF(AND(AF75=0,AH75&lt;&gt;0),1,IF(AND(AF75=0,AH75=0),0,AH75/AF75-1))</f>
        <v>-0.25889633157151071</v>
      </c>
      <c r="AK75" s="992"/>
      <c r="AL75" s="989">
        <v>11066.1</v>
      </c>
      <c r="AM75" s="1633"/>
      <c r="AN75" s="989">
        <v>11066.1</v>
      </c>
      <c r="AO75" s="1641"/>
      <c r="AP75" s="154">
        <f>IF(AND(AL75=0,AN75&lt;&gt;0),1,IF(AND(AL75=0,AN75=0),0,AN75/AL75-1))</f>
        <v>0</v>
      </c>
      <c r="AQ75" s="992"/>
      <c r="AR75" s="1029">
        <v>227487.9</v>
      </c>
      <c r="AS75" s="1632"/>
      <c r="AT75" s="1029">
        <v>217232.8</v>
      </c>
      <c r="AU75" s="1641"/>
      <c r="AV75" s="154">
        <f>IF(AND(AR75=0,AT75&lt;&gt;0),1,IF(AND(AR75=0,AT75=0),0,AT75/AR75-1))</f>
        <v>-4.507976028615146E-2</v>
      </c>
      <c r="AW75" s="992"/>
      <c r="AX75" s="1208">
        <v>217848.19999999998</v>
      </c>
      <c r="AY75" s="1640"/>
      <c r="AZ75" s="1029">
        <v>216091.8</v>
      </c>
      <c r="BA75" s="1641"/>
      <c r="BB75" s="154">
        <f>IF(AND(AX75=0,AZ75&lt;&gt;0),1,IF(AND(AX75=0,AZ75=0),0,AZ75/AX75-1))</f>
        <v>-8.0624948932329632E-3</v>
      </c>
      <c r="BC75" s="992"/>
      <c r="BD75" s="1029">
        <v>1025.3</v>
      </c>
      <c r="BE75" s="1633"/>
      <c r="BF75" s="1029">
        <v>1025.3</v>
      </c>
      <c r="BG75" s="1634"/>
      <c r="BH75" s="154">
        <f>IF(AND(BD75=0,BF75&lt;&gt;0),1,IF(AND(BD75=0,BF75=0),0,BF75/BD75-1))</f>
        <v>0</v>
      </c>
      <c r="BI75" s="992"/>
      <c r="BJ75" s="1029">
        <v>208138.5</v>
      </c>
      <c r="BK75" s="1632"/>
      <c r="BL75" s="1029">
        <v>208374.2</v>
      </c>
      <c r="BM75" s="1632"/>
      <c r="BN75" s="154">
        <f>IF(AND(BJ75=0,BL75&lt;&gt;0),1,IF(AND(BJ75=0,BL75=0),0,BL75/BJ75-1))</f>
        <v>1.1324190382846488E-3</v>
      </c>
      <c r="BO75" s="992"/>
      <c r="BP75" s="1029">
        <v>222864.40000000002</v>
      </c>
      <c r="BQ75" s="1633"/>
      <c r="BR75" s="1029">
        <v>214360.99999999997</v>
      </c>
      <c r="BS75" s="1634"/>
      <c r="BT75" s="154">
        <f>IF(AND(BP75=0,BR75&lt;&gt;0),1,IF(AND(BP75=0,BR75=0),0,BR75/BP75-1))</f>
        <v>-3.8155039566660442E-2</v>
      </c>
      <c r="BU75" s="992"/>
      <c r="BV75" s="1029">
        <v>2018</v>
      </c>
      <c r="BW75" s="1632"/>
      <c r="BX75" s="1029">
        <v>2018</v>
      </c>
      <c r="BY75" s="1632"/>
      <c r="BZ75" s="154">
        <f>IF(AND(BV75=0,BX75&lt;&gt;0),1,IF(AND(BV75=0,BX75=0),0,BX75/BV75-1))</f>
        <v>0</v>
      </c>
      <c r="CA75" s="968"/>
      <c r="CC75" s="965"/>
      <c r="CD75" s="965"/>
      <c r="CE75" s="965"/>
      <c r="CF75" s="965"/>
      <c r="CG75" s="965"/>
      <c r="CH75" s="965"/>
      <c r="CI75" s="965"/>
      <c r="CJ75" s="965"/>
      <c r="CK75" s="965"/>
    </row>
    <row r="76" spans="1:89" s="1041" customFormat="1" ht="14.25">
      <c r="A76" s="1030"/>
      <c r="B76" s="1031"/>
      <c r="C76" s="1032"/>
      <c r="D76" s="1033" t="s">
        <v>1494</v>
      </c>
      <c r="E76" s="1034"/>
      <c r="F76" s="1035"/>
      <c r="G76" s="1035"/>
      <c r="H76" s="1036"/>
      <c r="I76" s="1037">
        <f>SUM(I4:I75)</f>
        <v>90</v>
      </c>
      <c r="J76" s="1038"/>
      <c r="K76" s="1308"/>
      <c r="L76" s="1038"/>
      <c r="M76" s="1308"/>
      <c r="N76" s="1310"/>
      <c r="O76" s="1259">
        <f>SUM(O4:O75)</f>
        <v>15.004194076044865</v>
      </c>
      <c r="P76" s="1259">
        <f>O76*0.7</f>
        <v>10.502935853231405</v>
      </c>
      <c r="Q76" s="1259">
        <f>P76/9</f>
        <v>1.1669928725812673</v>
      </c>
      <c r="R76" s="1259">
        <f t="shared" si="22"/>
        <v>0.58349643629063364</v>
      </c>
      <c r="S76" s="992"/>
      <c r="T76" s="1038"/>
      <c r="U76" s="1187">
        <f>SUM(U4:U75)</f>
        <v>84.73684210526315</v>
      </c>
      <c r="V76" s="1038"/>
      <c r="W76" s="1187">
        <f>SUM(W4:W75)</f>
        <v>85.571428571428569</v>
      </c>
      <c r="X76" s="1086"/>
      <c r="Y76" s="992"/>
      <c r="Z76" s="1038"/>
      <c r="AA76" s="1039">
        <f>SUM(AA4:AA75)</f>
        <v>76.866013071895424</v>
      </c>
      <c r="AB76" s="1038"/>
      <c r="AC76" s="1226">
        <f>SUM(AC4:AC75)</f>
        <v>75.326388888888886</v>
      </c>
      <c r="AD76" s="1086"/>
      <c r="AE76" s="1039"/>
      <c r="AF76" s="1038"/>
      <c r="AG76" s="1039">
        <f>SUM(AG4:AG75)</f>
        <v>76.473214285714278</v>
      </c>
      <c r="AH76" s="1038"/>
      <c r="AI76" s="1226">
        <f>SUM(AI4:AI75)</f>
        <v>73.945747800586503</v>
      </c>
      <c r="AJ76" s="1086"/>
      <c r="AK76" s="1039"/>
      <c r="AL76" s="1038"/>
      <c r="AM76" s="1039">
        <f>SUM(AM4:AM75)</f>
        <v>67.444444444444443</v>
      </c>
      <c r="AN76" s="1038"/>
      <c r="AO76" s="1226">
        <f>SUM(AO4:AO75)</f>
        <v>71.325581395348834</v>
      </c>
      <c r="AP76" s="1086"/>
      <c r="AQ76" s="1039"/>
      <c r="AR76" s="1038"/>
      <c r="AS76" s="1039">
        <f>SUM(AS4:AS75)</f>
        <v>75.296747967479675</v>
      </c>
      <c r="AT76" s="1038"/>
      <c r="AU76" s="1226">
        <f>SUM(AU4:AU75)</f>
        <v>75.42307692307692</v>
      </c>
      <c r="AV76" s="1086"/>
      <c r="AW76" s="1039"/>
      <c r="AX76" s="1038"/>
      <c r="AY76" s="1039">
        <f>SUM(AY4:AY75)</f>
        <v>76.040229885057471</v>
      </c>
      <c r="AZ76" s="1038"/>
      <c r="BA76" s="1226">
        <f>SUM(BA4:BA75)</f>
        <v>74.971111111111114</v>
      </c>
      <c r="BB76" s="1086"/>
      <c r="BC76" s="1039"/>
      <c r="BD76" s="1039"/>
      <c r="BE76" s="1039">
        <f>SUM(BE4:BE75)</f>
        <v>83.801886792452834</v>
      </c>
      <c r="BF76" s="1038"/>
      <c r="BG76" s="1226">
        <f>SUM(BG4:BG75)</f>
        <v>86.746913580246911</v>
      </c>
      <c r="BH76" s="1086"/>
      <c r="BI76" s="1039"/>
      <c r="BJ76" s="1039"/>
      <c r="BK76" s="1039">
        <f>SUM(BK4:BK75)</f>
        <v>74.487562189054728</v>
      </c>
      <c r="BL76" s="1038"/>
      <c r="BM76" s="1226">
        <f>SUM(BM4:BM75)</f>
        <v>74.308771929824559</v>
      </c>
      <c r="BN76" s="1086"/>
      <c r="BO76" s="1039"/>
      <c r="BP76" s="1039"/>
      <c r="BQ76" s="1039">
        <f>SUM(BQ4:BQ75)</f>
        <v>82.796296296296305</v>
      </c>
      <c r="BR76" s="1039"/>
      <c r="BS76" s="1226">
        <f>SUM(BS4:BS75)</f>
        <v>86.966666666666669</v>
      </c>
      <c r="BT76" s="1086"/>
      <c r="BU76" s="1039"/>
      <c r="BV76" s="1039"/>
      <c r="BW76" s="1039">
        <f>SUM(BW4:BW75)</f>
        <v>73.758373205741634</v>
      </c>
      <c r="BX76" s="1039"/>
      <c r="BY76" s="1226">
        <f>SUM(BY4:BY75)</f>
        <v>75.372372372372368</v>
      </c>
      <c r="BZ76" s="1086"/>
      <c r="CA76" s="1040"/>
      <c r="CC76" s="1042"/>
      <c r="CD76" s="1042"/>
      <c r="CE76" s="1042"/>
      <c r="CF76" s="1042"/>
      <c r="CG76" s="1042"/>
      <c r="CH76" s="1042"/>
      <c r="CI76" s="1042"/>
      <c r="CJ76" s="1042"/>
      <c r="CK76" s="1042"/>
    </row>
    <row r="77" spans="1:89" s="886" customFormat="1" ht="14.25">
      <c r="A77" s="1043"/>
      <c r="B77" s="1044"/>
      <c r="C77" s="1045"/>
      <c r="D77" s="945" t="s">
        <v>1495</v>
      </c>
      <c r="E77" s="1043"/>
      <c r="F77" s="1046"/>
      <c r="G77" s="1046"/>
      <c r="H77" s="1047"/>
      <c r="I77" s="990">
        <v>80</v>
      </c>
      <c r="J77" s="1047"/>
      <c r="K77" s="1317"/>
      <c r="L77" s="1047"/>
      <c r="M77" s="1321">
        <f>SUM(M4:M72)</f>
        <v>74.995805923955132</v>
      </c>
      <c r="N77" s="1317"/>
      <c r="O77" s="1259">
        <f>SUM(O4:O72)</f>
        <v>5.0041940760448647</v>
      </c>
      <c r="P77" s="1259">
        <f>O77*0.7</f>
        <v>3.502935853231405</v>
      </c>
      <c r="Q77" s="1259">
        <f>P77/9</f>
        <v>0.38921509480348943</v>
      </c>
      <c r="R77" s="1259">
        <f t="shared" si="22"/>
        <v>0.19460754740174471</v>
      </c>
      <c r="S77" s="1048" t="s">
        <v>1496</v>
      </c>
      <c r="T77" s="1047"/>
      <c r="U77" s="1188"/>
      <c r="V77" s="1047"/>
      <c r="W77" s="1188"/>
      <c r="X77" s="837"/>
      <c r="Y77" s="965"/>
      <c r="Z77" s="1049"/>
      <c r="AA77" s="1050"/>
      <c r="AB77" s="1049"/>
      <c r="AC77" s="1227"/>
      <c r="AD77" s="1085"/>
      <c r="AE77" s="968"/>
      <c r="AF77" s="1047"/>
      <c r="AG77" s="1046"/>
      <c r="AH77" s="1047"/>
      <c r="AI77" s="1231"/>
      <c r="AJ77" s="837"/>
      <c r="AK77" s="965"/>
      <c r="AL77" s="1049"/>
      <c r="AM77" s="1050"/>
      <c r="AN77" s="1049"/>
      <c r="AO77" s="1227"/>
      <c r="AP77" s="1085"/>
      <c r="AQ77" s="968"/>
      <c r="AR77" s="1047"/>
      <c r="AS77" s="1046"/>
      <c r="AT77" s="1047"/>
      <c r="AU77" s="1231"/>
      <c r="AV77" s="837"/>
      <c r="AW77" s="965"/>
      <c r="AX77" s="1049"/>
      <c r="AY77" s="1050"/>
      <c r="AZ77" s="1049"/>
      <c r="BA77" s="1227"/>
      <c r="BB77" s="1085"/>
      <c r="BC77" s="968"/>
      <c r="BD77" s="965"/>
      <c r="BE77" s="1046"/>
      <c r="BF77" s="1047"/>
      <c r="BG77" s="1231"/>
      <c r="BH77" s="837"/>
      <c r="BI77" s="965"/>
      <c r="BJ77" s="968"/>
      <c r="BK77" s="1050"/>
      <c r="BL77" s="1049"/>
      <c r="BM77" s="1227"/>
      <c r="BN77" s="1085"/>
      <c r="BO77" s="968"/>
      <c r="BP77" s="965"/>
      <c r="BQ77" s="1046"/>
      <c r="BR77" s="965"/>
      <c r="BS77" s="1231"/>
      <c r="BT77" s="837"/>
      <c r="BU77" s="965"/>
      <c r="BV77" s="968"/>
      <c r="BW77" s="1050"/>
      <c r="BX77" s="968"/>
      <c r="BY77" s="1227"/>
      <c r="BZ77" s="1085"/>
      <c r="CA77" s="968"/>
      <c r="CB77" s="968"/>
      <c r="CC77" s="965"/>
      <c r="CD77" s="965"/>
      <c r="CE77" s="965"/>
      <c r="CF77" s="965"/>
      <c r="CG77" s="965"/>
      <c r="CH77" s="965"/>
      <c r="CI77" s="965"/>
      <c r="CJ77" s="965"/>
      <c r="CK77" s="965"/>
    </row>
    <row r="78" spans="1:89" s="886" customFormat="1" ht="14.25">
      <c r="A78" s="1043"/>
      <c r="B78" s="1044"/>
      <c r="C78" s="1045"/>
      <c r="D78" s="945" t="s">
        <v>1497</v>
      </c>
      <c r="F78" s="1046"/>
      <c r="G78" s="1046"/>
      <c r="H78" s="965"/>
      <c r="I78" s="990">
        <v>10</v>
      </c>
      <c r="J78" s="1051"/>
      <c r="K78" s="1315"/>
      <c r="L78" s="1051"/>
      <c r="M78" s="1314">
        <f>M73</f>
        <v>0</v>
      </c>
      <c r="N78" s="1317"/>
      <c r="O78" s="1259"/>
      <c r="P78" s="1259"/>
      <c r="Q78" s="1259"/>
      <c r="R78" s="1260"/>
      <c r="S78" s="1053"/>
      <c r="T78" s="1047"/>
      <c r="U78" s="1188"/>
      <c r="V78" s="1047"/>
      <c r="W78" s="1188"/>
      <c r="X78" s="837"/>
      <c r="Y78" s="965"/>
      <c r="Z78" s="1049"/>
      <c r="AA78" s="1050"/>
      <c r="AB78" s="1049"/>
      <c r="AC78" s="1227"/>
      <c r="AD78" s="1085"/>
      <c r="AE78" s="968"/>
      <c r="AF78" s="1047"/>
      <c r="AG78" s="1046"/>
      <c r="AH78" s="1047"/>
      <c r="AI78" s="1231"/>
      <c r="AJ78" s="837"/>
      <c r="AK78" s="965"/>
      <c r="AL78" s="1049"/>
      <c r="AM78" s="1050"/>
      <c r="AN78" s="1049"/>
      <c r="AO78" s="1227"/>
      <c r="AP78" s="1085"/>
      <c r="AQ78" s="968"/>
      <c r="AR78" s="1047"/>
      <c r="AS78" s="1046"/>
      <c r="AT78" s="1047"/>
      <c r="AU78" s="1231"/>
      <c r="AV78" s="837"/>
      <c r="AW78" s="965"/>
      <c r="AX78" s="1049"/>
      <c r="AY78" s="1050"/>
      <c r="AZ78" s="1049"/>
      <c r="BA78" s="1227"/>
      <c r="BB78" s="1085"/>
      <c r="BC78" s="968"/>
      <c r="BD78" s="965"/>
      <c r="BE78" s="1046"/>
      <c r="BF78" s="1047"/>
      <c r="BG78" s="1231"/>
      <c r="BH78" s="837"/>
      <c r="BI78" s="965"/>
      <c r="BJ78" s="968"/>
      <c r="BK78" s="1050"/>
      <c r="BL78" s="1049"/>
      <c r="BM78" s="1227"/>
      <c r="BN78" s="1085"/>
      <c r="BO78" s="968"/>
      <c r="BP78" s="965"/>
      <c r="BQ78" s="1046"/>
      <c r="BR78" s="965"/>
      <c r="BS78" s="1231"/>
      <c r="BT78" s="837"/>
      <c r="BU78" s="965"/>
      <c r="BV78" s="968"/>
      <c r="BW78" s="1050"/>
      <c r="BX78" s="968"/>
      <c r="BY78" s="1227"/>
      <c r="BZ78" s="1085"/>
      <c r="CA78" s="968"/>
      <c r="CB78" s="968"/>
      <c r="CC78" s="965"/>
      <c r="CD78" s="965"/>
      <c r="CE78" s="965"/>
      <c r="CF78" s="965"/>
      <c r="CG78" s="965"/>
      <c r="CH78" s="965"/>
      <c r="CI78" s="965"/>
      <c r="CJ78" s="965"/>
      <c r="CK78" s="965"/>
    </row>
    <row r="79" spans="1:89" s="886" customFormat="1" ht="14.25">
      <c r="A79" s="1043"/>
      <c r="B79" s="1044"/>
      <c r="C79" s="1045"/>
      <c r="D79" s="1054" t="s">
        <v>1498</v>
      </c>
      <c r="F79" s="1046"/>
      <c r="G79" s="1046"/>
      <c r="H79" s="965"/>
      <c r="I79" s="1055"/>
      <c r="J79" s="1051"/>
      <c r="K79" s="1315"/>
      <c r="L79" s="1051"/>
      <c r="M79" s="1315"/>
      <c r="N79" s="1315"/>
      <c r="O79" s="1261">
        <f t="shared" ref="O79:O84" si="23">AVERAGE(W79,AC79,AI79,AO79,AU79,BA79,BG79,BM79,BS79,BY79)</f>
        <v>77.995805923955146</v>
      </c>
      <c r="P79" s="1261"/>
      <c r="Q79" s="1261"/>
      <c r="R79" s="1261"/>
      <c r="S79" s="1056"/>
      <c r="T79" s="1057"/>
      <c r="U79" s="1189">
        <f>SUBTOTAL(9,U4:U75)</f>
        <v>84.73684210526315</v>
      </c>
      <c r="V79" s="1057"/>
      <c r="W79" s="1189">
        <f>SUBTOTAL(9,W4:W75)</f>
        <v>85.571428571428569</v>
      </c>
      <c r="X79" s="1087"/>
      <c r="Y79" s="992"/>
      <c r="Z79" s="1057"/>
      <c r="AA79" s="1058">
        <f>SUBTOTAL(9,AA4:AA75)</f>
        <v>76.866013071895424</v>
      </c>
      <c r="AB79" s="1057"/>
      <c r="AC79" s="1228">
        <f>SUBTOTAL(9,AC4:AC75)</f>
        <v>75.326388888888886</v>
      </c>
      <c r="AD79" s="1087"/>
      <c r="AE79" s="992"/>
      <c r="AF79" s="1057"/>
      <c r="AG79" s="1058">
        <f>SUBTOTAL(9,AG4:AG75)</f>
        <v>76.473214285714278</v>
      </c>
      <c r="AH79" s="1057"/>
      <c r="AI79" s="1232">
        <f>SUBTOTAL(9,AI4:AI75)</f>
        <v>73.945747800586503</v>
      </c>
      <c r="AJ79" s="1087"/>
      <c r="AK79" s="992"/>
      <c r="AL79" s="1057"/>
      <c r="AM79" s="1058">
        <f>SUBTOTAL(9,AM4:AM75)</f>
        <v>67.444444444444443</v>
      </c>
      <c r="AN79" s="1057"/>
      <c r="AO79" s="1228">
        <f>SUBTOTAL(9,AO4:AO75)</f>
        <v>71.325581395348834</v>
      </c>
      <c r="AP79" s="1087"/>
      <c r="AQ79" s="992"/>
      <c r="AR79" s="1057"/>
      <c r="AS79" s="1058">
        <f>SUBTOTAL(9,AS4:AS75)</f>
        <v>75.296747967479675</v>
      </c>
      <c r="AT79" s="1057"/>
      <c r="AU79" s="1232">
        <f>SUBTOTAL(9,AU4:AU75)</f>
        <v>75.42307692307692</v>
      </c>
      <c r="AV79" s="1087"/>
      <c r="AW79" s="992"/>
      <c r="AX79" s="1057"/>
      <c r="AY79" s="1058">
        <f>SUBTOTAL(9,AY4:AY75)</f>
        <v>76.040229885057471</v>
      </c>
      <c r="AZ79" s="1057"/>
      <c r="BA79" s="1228">
        <f>SUBTOTAL(9,BA4:BA75)</f>
        <v>74.971111111111114</v>
      </c>
      <c r="BB79" s="1087"/>
      <c r="BC79" s="992"/>
      <c r="BD79" s="992"/>
      <c r="BE79" s="1058">
        <f>SUBTOTAL(9,BE4:BE75)</f>
        <v>83.801886792452834</v>
      </c>
      <c r="BF79" s="1057"/>
      <c r="BG79" s="1232">
        <f>SUBTOTAL(9,BG4:BG75)</f>
        <v>86.746913580246911</v>
      </c>
      <c r="BH79" s="1087"/>
      <c r="BI79" s="992"/>
      <c r="BJ79" s="992"/>
      <c r="BK79" s="1058">
        <f>SUBTOTAL(9,BK4:BK75)</f>
        <v>74.487562189054728</v>
      </c>
      <c r="BL79" s="1057"/>
      <c r="BM79" s="1228">
        <f>SUBTOTAL(9,BM4:BM75)</f>
        <v>74.308771929824559</v>
      </c>
      <c r="BN79" s="1087"/>
      <c r="BO79" s="992"/>
      <c r="BP79" s="992"/>
      <c r="BQ79" s="1058">
        <f>SUBTOTAL(9,BQ4:BQ75)</f>
        <v>82.796296296296305</v>
      </c>
      <c r="BR79" s="992"/>
      <c r="BS79" s="1232">
        <f>SUBTOTAL(9,BS4:BS75)</f>
        <v>86.966666666666669</v>
      </c>
      <c r="BT79" s="1087"/>
      <c r="BU79" s="992"/>
      <c r="BV79" s="992"/>
      <c r="BW79" s="1059">
        <f>SUBTOTAL(9,BW4:BW75)</f>
        <v>73.758373205741634</v>
      </c>
      <c r="BX79" s="992"/>
      <c r="BY79" s="1228">
        <f>SUBTOTAL(9,BY4:BY75)</f>
        <v>75.372372372372368</v>
      </c>
      <c r="BZ79" s="1087"/>
      <c r="CA79" s="968"/>
      <c r="CB79" s="1060"/>
      <c r="CC79" s="965"/>
      <c r="CD79" s="965"/>
      <c r="CE79" s="965"/>
      <c r="CF79" s="965"/>
      <c r="CG79" s="965"/>
      <c r="CH79" s="965"/>
      <c r="CI79" s="965"/>
      <c r="CJ79" s="965"/>
      <c r="CK79" s="965"/>
    </row>
    <row r="80" spans="1:89" s="1070" customFormat="1" ht="14.25">
      <c r="A80" s="1061"/>
      <c r="B80" s="1062"/>
      <c r="C80" s="1063"/>
      <c r="D80" s="1064" t="s">
        <v>1499</v>
      </c>
      <c r="E80" s="1061"/>
      <c r="F80" s="1065"/>
      <c r="G80" s="1065"/>
      <c r="H80" s="1066"/>
      <c r="I80" s="1067"/>
      <c r="J80" s="1066"/>
      <c r="K80" s="1316"/>
      <c r="L80" s="1066"/>
      <c r="M80" s="1316"/>
      <c r="N80" s="1316"/>
      <c r="O80" s="1261">
        <f>AVERAGE(W80,AC80,AI80,AO80,AU80,BA80,BG80,BM80,BS80,BY80)</f>
        <v>74.995805923955146</v>
      </c>
      <c r="P80" s="1261"/>
      <c r="Q80" s="1261"/>
      <c r="R80" s="1261"/>
      <c r="S80" s="965"/>
      <c r="T80" s="1057"/>
      <c r="U80" s="1190">
        <f>U79-U81</f>
        <v>74.73684210526315</v>
      </c>
      <c r="V80" s="1057"/>
      <c r="W80" s="1190">
        <f>W79-W81</f>
        <v>75.571428571428569</v>
      </c>
      <c r="X80" s="1087"/>
      <c r="Y80" s="992"/>
      <c r="Z80" s="1057"/>
      <c r="AA80" s="1068">
        <f>AA79-AA81</f>
        <v>76.866013071895424</v>
      </c>
      <c r="AB80" s="1057"/>
      <c r="AC80" s="1218">
        <f>AC79-AC81</f>
        <v>75.326388888888886</v>
      </c>
      <c r="AD80" s="1087"/>
      <c r="AE80" s="992"/>
      <c r="AF80" s="1057"/>
      <c r="AG80" s="1068">
        <f>AG79-AG81</f>
        <v>76.473214285714278</v>
      </c>
      <c r="AH80" s="1057"/>
      <c r="AI80" s="1218">
        <f>AI79-AI81</f>
        <v>73.945747800586503</v>
      </c>
      <c r="AJ80" s="1087"/>
      <c r="AK80" s="992"/>
      <c r="AL80" s="1057"/>
      <c r="AM80" s="1068">
        <f>AM79-AM81</f>
        <v>67.444444444444443</v>
      </c>
      <c r="AN80" s="1057"/>
      <c r="AO80" s="1218">
        <f>AO79-AO81</f>
        <v>71.325581395348834</v>
      </c>
      <c r="AP80" s="1087"/>
      <c r="AQ80" s="992"/>
      <c r="AR80" s="1057"/>
      <c r="AS80" s="1068">
        <f>AS79-AS81</f>
        <v>75.296747967479675</v>
      </c>
      <c r="AT80" s="1057"/>
      <c r="AU80" s="1218">
        <f>AU79-AU81</f>
        <v>75.42307692307692</v>
      </c>
      <c r="AV80" s="1087"/>
      <c r="AW80" s="992"/>
      <c r="AX80" s="1057"/>
      <c r="AY80" s="1068">
        <f>AY79-AY81</f>
        <v>76.040229885057471</v>
      </c>
      <c r="AZ80" s="1057"/>
      <c r="BA80" s="1218">
        <f>BA79-BA81</f>
        <v>74.971111111111114</v>
      </c>
      <c r="BB80" s="1087"/>
      <c r="BC80" s="992"/>
      <c r="BD80" s="992"/>
      <c r="BE80" s="1068">
        <f>BE79-BE81</f>
        <v>73.801886792452834</v>
      </c>
      <c r="BF80" s="1057"/>
      <c r="BG80" s="1218">
        <f>BG79-BG81</f>
        <v>76.746913580246911</v>
      </c>
      <c r="BH80" s="1087"/>
      <c r="BI80" s="992"/>
      <c r="BJ80" s="992"/>
      <c r="BK80" s="1068">
        <f>BK79-BK81</f>
        <v>74.487562189054728</v>
      </c>
      <c r="BL80" s="1057"/>
      <c r="BM80" s="1218">
        <f>BM79-BM81</f>
        <v>74.308771929824559</v>
      </c>
      <c r="BN80" s="1087"/>
      <c r="BO80" s="992"/>
      <c r="BP80" s="992"/>
      <c r="BQ80" s="1068">
        <f>BQ79-BQ81</f>
        <v>72.796296296296305</v>
      </c>
      <c r="BR80" s="992"/>
      <c r="BS80" s="1218">
        <f>BS79-BS81</f>
        <v>76.966666666666669</v>
      </c>
      <c r="BT80" s="1087"/>
      <c r="BU80" s="992"/>
      <c r="BV80" s="992"/>
      <c r="BW80" s="1068">
        <f>BW79-BW81</f>
        <v>73.758373205741634</v>
      </c>
      <c r="BX80" s="992"/>
      <c r="BY80" s="1218">
        <f>BY79-BY81</f>
        <v>75.372372372372368</v>
      </c>
      <c r="BZ80" s="1087"/>
      <c r="CA80" s="1069"/>
      <c r="CB80" s="1069"/>
      <c r="CC80" s="1067"/>
      <c r="CD80" s="1067"/>
      <c r="CE80" s="1067"/>
      <c r="CF80" s="1067"/>
      <c r="CG80" s="1067"/>
      <c r="CH80" s="1067"/>
      <c r="CI80" s="1067"/>
      <c r="CJ80" s="1067"/>
      <c r="CK80" s="1067"/>
    </row>
    <row r="81" spans="1:89" s="886" customFormat="1" ht="14.25">
      <c r="A81" s="1043"/>
      <c r="B81" s="1044"/>
      <c r="C81" s="1045"/>
      <c r="D81" s="1064" t="s">
        <v>1500</v>
      </c>
      <c r="E81" s="1043"/>
      <c r="F81" s="1046"/>
      <c r="G81" s="1046"/>
      <c r="H81" s="1047"/>
      <c r="I81" s="1043"/>
      <c r="J81" s="1047"/>
      <c r="K81" s="1317"/>
      <c r="L81" s="1047"/>
      <c r="M81" s="1317"/>
      <c r="N81" s="1317"/>
      <c r="O81" s="1259">
        <f t="shared" si="23"/>
        <v>3</v>
      </c>
      <c r="P81" s="1259">
        <f>O81*0.7</f>
        <v>2.0999999999999996</v>
      </c>
      <c r="Q81" s="1259">
        <f>P81/9</f>
        <v>0.23333333333333328</v>
      </c>
      <c r="R81" s="1259">
        <f>Q81/2</f>
        <v>0.11666666666666664</v>
      </c>
      <c r="S81" s="1071"/>
      <c r="T81" s="1057"/>
      <c r="U81" s="1190">
        <f>IF(U73=10, 10, 0)</f>
        <v>10</v>
      </c>
      <c r="V81" s="1057"/>
      <c r="W81" s="1190">
        <f>IF(W73=10, 10, 0)</f>
        <v>10</v>
      </c>
      <c r="X81" s="1087"/>
      <c r="Y81" s="992"/>
      <c r="Z81" s="1057"/>
      <c r="AA81" s="1068">
        <f>IF(AA73=10, 10, 0)</f>
        <v>0</v>
      </c>
      <c r="AB81" s="1057"/>
      <c r="AC81" s="1218">
        <f>IF(AC73=10, 10, 0)</f>
        <v>0</v>
      </c>
      <c r="AD81" s="1087"/>
      <c r="AE81" s="992"/>
      <c r="AF81" s="1057"/>
      <c r="AG81" s="1068">
        <f>IF(AG73=10, 10, 0)</f>
        <v>0</v>
      </c>
      <c r="AH81" s="1057"/>
      <c r="AI81" s="1218">
        <f>IF(AI73=10, 10, 0)</f>
        <v>0</v>
      </c>
      <c r="AJ81" s="1087"/>
      <c r="AK81" s="992"/>
      <c r="AL81" s="1057"/>
      <c r="AM81" s="1068">
        <f>IF(AM73=10, 10, 0)</f>
        <v>0</v>
      </c>
      <c r="AN81" s="1057"/>
      <c r="AO81" s="1218">
        <f>IF(AO73=10, 10, 0)</f>
        <v>0</v>
      </c>
      <c r="AP81" s="1087"/>
      <c r="AQ81" s="992"/>
      <c r="AR81" s="1057"/>
      <c r="AS81" s="1068">
        <f>IF(AS73=10, 10, 0)</f>
        <v>0</v>
      </c>
      <c r="AT81" s="1057"/>
      <c r="AU81" s="1218">
        <f>IF(AU73=10, 10, 0)</f>
        <v>0</v>
      </c>
      <c r="AV81" s="1087"/>
      <c r="AW81" s="992"/>
      <c r="AX81" s="1057"/>
      <c r="AY81" s="1068">
        <f>IF(AY73=10, 10, 0)</f>
        <v>0</v>
      </c>
      <c r="AZ81" s="1057"/>
      <c r="BA81" s="1218">
        <f>IF(BA73=10, 10, 0)</f>
        <v>0</v>
      </c>
      <c r="BB81" s="1087"/>
      <c r="BC81" s="992"/>
      <c r="BD81" s="992"/>
      <c r="BE81" s="1068">
        <f>IF(BE73=10, 10, 0)</f>
        <v>10</v>
      </c>
      <c r="BF81" s="1057"/>
      <c r="BG81" s="1218">
        <f>IF(BG73=10, 10, 0)</f>
        <v>10</v>
      </c>
      <c r="BH81" s="1087"/>
      <c r="BI81" s="992"/>
      <c r="BJ81" s="992"/>
      <c r="BK81" s="1068">
        <f>IF(BK73=10, 10, 0)</f>
        <v>0</v>
      </c>
      <c r="BL81" s="1057"/>
      <c r="BM81" s="1218">
        <f>IF(BM73=10, 10, 0)</f>
        <v>0</v>
      </c>
      <c r="BN81" s="1087"/>
      <c r="BO81" s="992"/>
      <c r="BP81" s="992"/>
      <c r="BQ81" s="1068">
        <f>IF(BQ73=10, 10, 0)</f>
        <v>10</v>
      </c>
      <c r="BR81" s="992"/>
      <c r="BS81" s="1218">
        <f>IF(BS73=10, 10, 0)</f>
        <v>10</v>
      </c>
      <c r="BT81" s="1087"/>
      <c r="BU81" s="992"/>
      <c r="BV81" s="992"/>
      <c r="BW81" s="1068">
        <f>IF(BW73=10, 10, 0)</f>
        <v>0</v>
      </c>
      <c r="BX81" s="992"/>
      <c r="BY81" s="1218">
        <f>IF(BY73=10, 10, 0)</f>
        <v>0</v>
      </c>
      <c r="BZ81" s="1087"/>
      <c r="CA81" s="968"/>
      <c r="CB81" s="1060"/>
      <c r="CC81" s="965"/>
      <c r="CD81" s="965"/>
      <c r="CE81" s="965"/>
      <c r="CF81" s="965"/>
      <c r="CG81" s="965"/>
      <c r="CH81" s="965"/>
      <c r="CI81" s="965"/>
      <c r="CJ81" s="965"/>
      <c r="CK81" s="965"/>
    </row>
    <row r="82" spans="1:89" s="950" customFormat="1" ht="14.25">
      <c r="A82" s="1055"/>
      <c r="B82" s="1072"/>
      <c r="C82" s="1073"/>
      <c r="D82" s="1064" t="s">
        <v>1501</v>
      </c>
      <c r="E82" s="1055"/>
      <c r="F82" s="1052"/>
      <c r="G82" s="1052"/>
      <c r="H82" s="1051"/>
      <c r="I82" s="1055"/>
      <c r="J82" s="1051"/>
      <c r="K82" s="1315"/>
      <c r="L82" s="1051"/>
      <c r="M82" s="1315"/>
      <c r="N82" s="1315"/>
      <c r="O82" s="1259">
        <f t="shared" si="23"/>
        <v>7</v>
      </c>
      <c r="P82" s="1259">
        <f>O82*0.7</f>
        <v>4.8999999999999995</v>
      </c>
      <c r="Q82" s="1259">
        <f>P82/9</f>
        <v>0.5444444444444444</v>
      </c>
      <c r="R82" s="1259">
        <f>Q82/2</f>
        <v>0.2722222222222222</v>
      </c>
      <c r="S82" s="965"/>
      <c r="T82" s="1057"/>
      <c r="U82" s="1186">
        <f>10-U81</f>
        <v>0</v>
      </c>
      <c r="V82" s="1057"/>
      <c r="W82" s="1186">
        <f>10-W81</f>
        <v>0</v>
      </c>
      <c r="X82" s="1087"/>
      <c r="Y82" s="992"/>
      <c r="Z82" s="1057"/>
      <c r="AA82" s="998">
        <f>10-AA81</f>
        <v>10</v>
      </c>
      <c r="AB82" s="1057"/>
      <c r="AC82" s="1221">
        <f>10-AC81</f>
        <v>10</v>
      </c>
      <c r="AD82" s="1087"/>
      <c r="AE82" s="992"/>
      <c r="AF82" s="1057"/>
      <c r="AG82" s="998">
        <f>10-AG81</f>
        <v>10</v>
      </c>
      <c r="AH82" s="1057"/>
      <c r="AI82" s="1221">
        <f>10-AI81</f>
        <v>10</v>
      </c>
      <c r="AJ82" s="1087"/>
      <c r="AK82" s="992"/>
      <c r="AL82" s="1057"/>
      <c r="AM82" s="998">
        <f>10-AM81</f>
        <v>10</v>
      </c>
      <c r="AN82" s="1057"/>
      <c r="AO82" s="1221">
        <f>10-AO81</f>
        <v>10</v>
      </c>
      <c r="AP82" s="1087"/>
      <c r="AQ82" s="992"/>
      <c r="AR82" s="1057"/>
      <c r="AS82" s="998">
        <f>10-AS81</f>
        <v>10</v>
      </c>
      <c r="AT82" s="1057"/>
      <c r="AU82" s="1221">
        <f>10-AU81</f>
        <v>10</v>
      </c>
      <c r="AV82" s="1087"/>
      <c r="AW82" s="992"/>
      <c r="AX82" s="1057"/>
      <c r="AY82" s="998">
        <f>10-AY81</f>
        <v>10</v>
      </c>
      <c r="AZ82" s="1057"/>
      <c r="BA82" s="1221">
        <f>10-BA81</f>
        <v>10</v>
      </c>
      <c r="BB82" s="1087"/>
      <c r="BC82" s="992"/>
      <c r="BD82" s="992"/>
      <c r="BE82" s="998">
        <f>10-BE81</f>
        <v>0</v>
      </c>
      <c r="BF82" s="1057"/>
      <c r="BG82" s="1221">
        <f>10-BG81</f>
        <v>0</v>
      </c>
      <c r="BH82" s="1087"/>
      <c r="BI82" s="992"/>
      <c r="BJ82" s="992"/>
      <c r="BK82" s="998">
        <f>10-BK81</f>
        <v>10</v>
      </c>
      <c r="BL82" s="1057"/>
      <c r="BM82" s="1221">
        <f>10-BM81</f>
        <v>10</v>
      </c>
      <c r="BN82" s="1087"/>
      <c r="BO82" s="992"/>
      <c r="BP82" s="992"/>
      <c r="BQ82" s="998">
        <f>10-BQ81</f>
        <v>0</v>
      </c>
      <c r="BR82" s="992"/>
      <c r="BS82" s="1221">
        <f>10-BS81</f>
        <v>0</v>
      </c>
      <c r="BT82" s="1087"/>
      <c r="BU82" s="992"/>
      <c r="BV82" s="992"/>
      <c r="BW82" s="998">
        <f>10-BW81</f>
        <v>10</v>
      </c>
      <c r="BX82" s="992"/>
      <c r="BY82" s="1221">
        <f>10-BY81</f>
        <v>10</v>
      </c>
      <c r="BZ82" s="1087"/>
      <c r="CA82" s="1060"/>
      <c r="CB82" s="1060"/>
      <c r="CC82" s="1071"/>
      <c r="CD82" s="1071"/>
      <c r="CE82" s="1071"/>
      <c r="CF82" s="1071"/>
      <c r="CG82" s="1071"/>
      <c r="CH82" s="1071"/>
      <c r="CI82" s="1071"/>
      <c r="CJ82" s="1071"/>
      <c r="CK82" s="1071"/>
    </row>
    <row r="83" spans="1:89" s="886" customFormat="1" ht="14.25">
      <c r="A83" s="1043"/>
      <c r="B83" s="1044"/>
      <c r="C83" s="1045"/>
      <c r="D83" s="1064" t="s">
        <v>1502</v>
      </c>
      <c r="E83" s="1043"/>
      <c r="F83" s="1046"/>
      <c r="G83" s="1046"/>
      <c r="H83" s="1047"/>
      <c r="I83" s="1074">
        <v>10</v>
      </c>
      <c r="J83" s="1047"/>
      <c r="K83" s="1317"/>
      <c r="L83" s="1047"/>
      <c r="M83" s="1317"/>
      <c r="N83" s="1317"/>
      <c r="O83" s="1259">
        <f t="shared" si="23"/>
        <v>10</v>
      </c>
      <c r="P83" s="1259">
        <f>O83*0.7</f>
        <v>7</v>
      </c>
      <c r="Q83" s="1259">
        <f>P83/9</f>
        <v>0.77777777777777779</v>
      </c>
      <c r="R83" s="1259">
        <f>Q83/2</f>
        <v>0.3888888888888889</v>
      </c>
      <c r="S83" s="965"/>
      <c r="T83" s="1057"/>
      <c r="U83" s="1190">
        <v>10</v>
      </c>
      <c r="V83" s="1057"/>
      <c r="W83" s="1190">
        <v>10</v>
      </c>
      <c r="X83" s="1087"/>
      <c r="Y83" s="992"/>
      <c r="Z83" s="1057"/>
      <c r="AA83" s="1068">
        <v>10</v>
      </c>
      <c r="AB83" s="1057"/>
      <c r="AC83" s="1221">
        <v>10</v>
      </c>
      <c r="AD83" s="1087"/>
      <c r="AE83" s="992"/>
      <c r="AF83" s="1057"/>
      <c r="AG83" s="1068">
        <v>10</v>
      </c>
      <c r="AH83" s="1057"/>
      <c r="AI83" s="1218">
        <v>10</v>
      </c>
      <c r="AJ83" s="1087"/>
      <c r="AK83" s="992"/>
      <c r="AL83" s="1057"/>
      <c r="AM83" s="1068">
        <v>10</v>
      </c>
      <c r="AN83" s="1057"/>
      <c r="AO83" s="1221">
        <v>10</v>
      </c>
      <c r="AP83" s="1087"/>
      <c r="AQ83" s="992"/>
      <c r="AR83" s="1057"/>
      <c r="AS83" s="1068">
        <v>10</v>
      </c>
      <c r="AT83" s="1057"/>
      <c r="AU83" s="1218">
        <v>10</v>
      </c>
      <c r="AV83" s="1087"/>
      <c r="AW83" s="992"/>
      <c r="AX83" s="1057"/>
      <c r="AY83" s="1068">
        <v>10</v>
      </c>
      <c r="AZ83" s="1057"/>
      <c r="BA83" s="1221">
        <v>10</v>
      </c>
      <c r="BB83" s="1087"/>
      <c r="BC83" s="992"/>
      <c r="BD83" s="992"/>
      <c r="BE83" s="1068">
        <v>10</v>
      </c>
      <c r="BF83" s="1057"/>
      <c r="BG83" s="1218">
        <v>10</v>
      </c>
      <c r="BH83" s="1087"/>
      <c r="BI83" s="992"/>
      <c r="BJ83" s="992"/>
      <c r="BK83" s="1068">
        <v>10</v>
      </c>
      <c r="BL83" s="1057"/>
      <c r="BM83" s="1221">
        <v>10</v>
      </c>
      <c r="BN83" s="1087"/>
      <c r="BO83" s="992"/>
      <c r="BP83" s="992"/>
      <c r="BQ83" s="1068">
        <v>10</v>
      </c>
      <c r="BR83" s="992"/>
      <c r="BS83" s="1218">
        <v>10</v>
      </c>
      <c r="BT83" s="1087"/>
      <c r="BU83" s="992"/>
      <c r="BV83" s="992"/>
      <c r="BW83" s="998">
        <v>10</v>
      </c>
      <c r="BX83" s="992"/>
      <c r="BY83" s="1221">
        <v>10</v>
      </c>
      <c r="BZ83" s="1087"/>
      <c r="CA83" s="968"/>
      <c r="CB83" s="1060"/>
      <c r="CC83" s="965"/>
      <c r="CD83" s="965"/>
      <c r="CE83" s="965"/>
      <c r="CF83" s="965"/>
      <c r="CG83" s="965"/>
      <c r="CH83" s="965"/>
      <c r="CI83" s="965"/>
      <c r="CJ83" s="965"/>
      <c r="CK83" s="965"/>
    </row>
    <row r="84" spans="1:89" s="886" customFormat="1" ht="14.25">
      <c r="A84" s="1043"/>
      <c r="B84" s="1044"/>
      <c r="C84" s="1045"/>
      <c r="D84" s="1064" t="s">
        <v>1475</v>
      </c>
      <c r="E84" s="1043"/>
      <c r="F84" s="1046"/>
      <c r="G84" s="1046"/>
      <c r="H84" s="1047"/>
      <c r="I84" s="1043"/>
      <c r="J84" s="1047"/>
      <c r="K84" s="1317"/>
      <c r="L84" s="1047"/>
      <c r="M84" s="1317"/>
      <c r="N84" s="1317"/>
      <c r="O84" s="1261">
        <f t="shared" si="23"/>
        <v>5.0041940760448664</v>
      </c>
      <c r="P84" s="1259"/>
      <c r="Q84" s="1259"/>
      <c r="R84" s="1259"/>
      <c r="S84" s="965"/>
      <c r="T84" s="1057"/>
      <c r="U84" s="1190">
        <f>100-SUM(U80:U83)</f>
        <v>5.2631578947368496</v>
      </c>
      <c r="V84" s="1057"/>
      <c r="W84" s="1218">
        <f>100-SUM(W80:W83)</f>
        <v>4.4285714285714306</v>
      </c>
      <c r="X84" s="1219"/>
      <c r="Y84" s="1219"/>
      <c r="Z84" s="1220"/>
      <c r="AA84" s="1218">
        <f>100-SUM(AA80:AA83)</f>
        <v>3.1339869281045765</v>
      </c>
      <c r="AB84" s="1220"/>
      <c r="AC84" s="1221">
        <f>100-SUM(AC80:AC83)</f>
        <v>4.6736111111111143</v>
      </c>
      <c r="AD84" s="1219"/>
      <c r="AE84" s="1219"/>
      <c r="AF84" s="1220"/>
      <c r="AG84" s="1218">
        <f>100-SUM(AG80:AG83)</f>
        <v>3.5267857142857224</v>
      </c>
      <c r="AH84" s="1220"/>
      <c r="AI84" s="1218">
        <f>100-SUM(AI80:AI83)</f>
        <v>6.0542521994134972</v>
      </c>
      <c r="AJ84" s="1219"/>
      <c r="AK84" s="1219"/>
      <c r="AL84" s="1220"/>
      <c r="AM84" s="1218">
        <f>100-SUM(AM80:AM83)</f>
        <v>12.555555555555557</v>
      </c>
      <c r="AN84" s="1220"/>
      <c r="AO84" s="1221">
        <f>100-SUM(AO80:AO83)</f>
        <v>8.6744186046511658</v>
      </c>
      <c r="AP84" s="1219"/>
      <c r="AQ84" s="1219"/>
      <c r="AR84" s="1220"/>
      <c r="AS84" s="1218">
        <f>100-SUM(AS80:AS83)</f>
        <v>4.7032520325203251</v>
      </c>
      <c r="AT84" s="1220"/>
      <c r="AU84" s="1218">
        <f>100-SUM(AU80:AU83)</f>
        <v>4.5769230769230802</v>
      </c>
      <c r="AV84" s="1219"/>
      <c r="AW84" s="1219"/>
      <c r="AX84" s="1220"/>
      <c r="AY84" s="1218">
        <f>100-SUM(AY80:AY83)</f>
        <v>3.9597701149425291</v>
      </c>
      <c r="AZ84" s="1220"/>
      <c r="BA84" s="1221">
        <f>100-SUM(BA80:BA83)</f>
        <v>5.0288888888888863</v>
      </c>
      <c r="BB84" s="1219"/>
      <c r="BC84" s="1219"/>
      <c r="BD84" s="1219"/>
      <c r="BE84" s="1218">
        <f>100-SUM(BE80:BE83)</f>
        <v>6.1981132075471663</v>
      </c>
      <c r="BF84" s="1220"/>
      <c r="BG84" s="1218">
        <f>100-SUM(BG80:BG83)</f>
        <v>3.2530864197530889</v>
      </c>
      <c r="BH84" s="1219"/>
      <c r="BI84" s="1219"/>
      <c r="BJ84" s="1219"/>
      <c r="BK84" s="1218">
        <f>100-SUM(BK80:BK83)</f>
        <v>5.5124378109452721</v>
      </c>
      <c r="BL84" s="1220"/>
      <c r="BM84" s="1221">
        <f>100-SUM(BM80:BM83)</f>
        <v>5.6912280701754412</v>
      </c>
      <c r="BN84" s="1219"/>
      <c r="BO84" s="1219"/>
      <c r="BP84" s="1219"/>
      <c r="BQ84" s="1218">
        <f>100-SUM(BQ80:BQ83)</f>
        <v>7.2037037037036953</v>
      </c>
      <c r="BR84" s="1219"/>
      <c r="BS84" s="1218">
        <f>100-SUM(BS80:BS83)</f>
        <v>3.0333333333333314</v>
      </c>
      <c r="BT84" s="1219"/>
      <c r="BU84" s="1219"/>
      <c r="BV84" s="1219"/>
      <c r="BW84" s="1221">
        <f>100-SUM(BW80:BW83)</f>
        <v>6.2416267942583659</v>
      </c>
      <c r="BX84" s="1219"/>
      <c r="BY84" s="1221">
        <f>100-SUM(BY80:BY83)</f>
        <v>4.627627627627632</v>
      </c>
      <c r="BZ84" s="1219"/>
      <c r="CA84" s="968"/>
      <c r="CB84" s="1060"/>
      <c r="CC84" s="965"/>
      <c r="CD84" s="965"/>
      <c r="CE84" s="965"/>
      <c r="CF84" s="965"/>
      <c r="CG84" s="965"/>
      <c r="CH84" s="965"/>
      <c r="CI84" s="965"/>
      <c r="CJ84" s="965"/>
      <c r="CK84" s="965"/>
    </row>
    <row r="85" spans="1:89" s="886" customFormat="1" ht="14.25">
      <c r="A85" s="1043"/>
      <c r="B85" s="1044"/>
      <c r="C85" s="1045"/>
      <c r="E85" s="1043"/>
      <c r="F85" s="1046"/>
      <c r="G85" s="1046"/>
      <c r="H85" s="1047"/>
      <c r="I85" s="1043"/>
      <c r="J85" s="1047"/>
      <c r="K85" s="1317"/>
      <c r="L85" s="1047"/>
      <c r="M85" s="1317"/>
      <c r="N85" s="1317"/>
      <c r="T85" s="1075"/>
      <c r="U85" s="1192"/>
      <c r="V85" s="1075"/>
      <c r="W85" s="1191"/>
      <c r="X85" s="26"/>
      <c r="Z85" s="1075"/>
      <c r="AB85" s="1075"/>
      <c r="AC85" s="1229"/>
      <c r="AD85" s="26"/>
      <c r="AF85" s="1075"/>
      <c r="AH85" s="1075"/>
      <c r="AI85" s="1229"/>
      <c r="AJ85" s="26"/>
      <c r="AL85" s="1075"/>
      <c r="AN85" s="1075"/>
      <c r="AO85" s="1229"/>
      <c r="AP85" s="26"/>
      <c r="AR85" s="1075"/>
      <c r="AT85" s="1075"/>
      <c r="AU85" s="1229"/>
      <c r="AV85" s="26"/>
      <c r="AX85" s="1075"/>
      <c r="AZ85" s="1075"/>
      <c r="BA85" s="1229"/>
      <c r="BB85" s="26"/>
      <c r="BF85" s="1075"/>
      <c r="BG85" s="1229"/>
      <c r="BH85" s="26"/>
      <c r="BL85" s="1075"/>
      <c r="BM85" s="1229"/>
      <c r="BN85" s="26"/>
      <c r="BS85" s="1229"/>
      <c r="BT85" s="26"/>
      <c r="BY85" s="1229"/>
      <c r="BZ85" s="26"/>
      <c r="CA85" s="968"/>
      <c r="CB85" s="1060"/>
      <c r="CC85" s="965"/>
      <c r="CD85" s="965"/>
      <c r="CE85" s="965"/>
      <c r="CF85" s="965"/>
      <c r="CG85" s="965"/>
      <c r="CH85" s="965"/>
      <c r="CI85" s="965"/>
      <c r="CJ85" s="965"/>
      <c r="CK85" s="965"/>
    </row>
    <row r="86" spans="1:89" s="886" customFormat="1" ht="14.25">
      <c r="A86" s="1043"/>
      <c r="B86" s="1044"/>
      <c r="C86" s="1045"/>
      <c r="D86" s="1076"/>
      <c r="E86" s="1043"/>
      <c r="F86" s="1046"/>
      <c r="G86" s="1046"/>
      <c r="H86" s="1047"/>
      <c r="I86" s="1343"/>
      <c r="J86" s="1047"/>
      <c r="K86" s="1317"/>
      <c r="L86" s="1047"/>
      <c r="M86" s="1317"/>
      <c r="N86" s="1317"/>
      <c r="O86" s="965"/>
      <c r="P86" s="965"/>
      <c r="Q86" s="965"/>
      <c r="R86" s="1344"/>
      <c r="S86" s="965"/>
      <c r="T86" s="1051"/>
      <c r="U86" s="1188"/>
      <c r="V86" s="1047"/>
      <c r="W86" s="1188"/>
      <c r="X86" s="837"/>
      <c r="Y86" s="965"/>
      <c r="Z86" s="1077"/>
      <c r="AA86" s="1050"/>
      <c r="AB86" s="1049"/>
      <c r="AC86" s="1227"/>
      <c r="AD86" s="1085"/>
      <c r="AE86" s="968"/>
      <c r="AF86" s="1051"/>
      <c r="AG86" s="1046"/>
      <c r="AH86" s="1047"/>
      <c r="AI86" s="1231"/>
      <c r="AJ86" s="837"/>
      <c r="AK86" s="965"/>
      <c r="AL86" s="1077"/>
      <c r="AM86" s="1050"/>
      <c r="AN86" s="1049"/>
      <c r="AO86" s="1227"/>
      <c r="AP86" s="1085"/>
      <c r="AQ86" s="968"/>
      <c r="AR86" s="1051"/>
      <c r="AS86" s="1046"/>
      <c r="AT86" s="1047"/>
      <c r="AU86" s="1231"/>
      <c r="AV86" s="837"/>
      <c r="AW86" s="965"/>
      <c r="AX86" s="1077"/>
      <c r="AY86" s="1050"/>
      <c r="AZ86" s="1049"/>
      <c r="BA86" s="1227"/>
      <c r="BB86" s="1085"/>
      <c r="BC86" s="968"/>
      <c r="BD86" s="1071"/>
      <c r="BE86" s="1046"/>
      <c r="BF86" s="1047"/>
      <c r="BG86" s="1231"/>
      <c r="BH86" s="837"/>
      <c r="BI86" s="965"/>
      <c r="BJ86" s="1060"/>
      <c r="BK86" s="1050"/>
      <c r="BL86" s="1049"/>
      <c r="BM86" s="1227"/>
      <c r="BN86" s="1085"/>
      <c r="BO86" s="968"/>
      <c r="BP86" s="1071"/>
      <c r="BQ86" s="1046"/>
      <c r="BR86" s="965"/>
      <c r="BS86" s="1231"/>
      <c r="BT86" s="837"/>
      <c r="BU86" s="965"/>
      <c r="BV86" s="1060"/>
      <c r="BW86" s="1050"/>
      <c r="BX86" s="968"/>
      <c r="BY86" s="1227"/>
      <c r="BZ86" s="1088"/>
      <c r="CA86" s="968"/>
      <c r="CB86" s="1060"/>
      <c r="CC86" s="965"/>
      <c r="CD86" s="965"/>
      <c r="CE86" s="965"/>
      <c r="CF86" s="965"/>
      <c r="CG86" s="965"/>
      <c r="CH86" s="965"/>
      <c r="CI86" s="965"/>
      <c r="CJ86" s="965"/>
      <c r="CK86" s="965"/>
    </row>
    <row r="87" spans="1:89" s="886" customFormat="1" ht="18.75">
      <c r="A87" s="1043"/>
      <c r="B87" s="1044"/>
      <c r="C87" s="1045"/>
      <c r="D87" s="968"/>
      <c r="E87" s="1043"/>
      <c r="F87" s="1046"/>
      <c r="G87" s="1046"/>
      <c r="H87" s="1047"/>
      <c r="I87" s="1343"/>
      <c r="J87" s="1047"/>
      <c r="K87" s="1317"/>
      <c r="L87" s="1047"/>
      <c r="M87" s="1317"/>
      <c r="N87" s="1317"/>
      <c r="O87" s="965"/>
      <c r="P87" s="965"/>
      <c r="Q87" s="965"/>
      <c r="R87" s="1344"/>
      <c r="S87" s="965"/>
      <c r="T87" s="1047"/>
      <c r="U87" s="1188"/>
      <c r="V87" s="1047"/>
      <c r="W87" s="1188"/>
      <c r="X87" s="837"/>
      <c r="Y87" s="965"/>
      <c r="Z87" s="1049"/>
      <c r="AA87" s="1050"/>
      <c r="AB87" s="1053"/>
      <c r="AC87" s="1233"/>
      <c r="AD87" s="1088"/>
      <c r="AE87" s="1299"/>
      <c r="AF87" s="1300"/>
      <c r="AG87" s="1301"/>
      <c r="AH87" s="1302"/>
      <c r="AI87" s="1303"/>
      <c r="AJ87" s="1304"/>
      <c r="AK87" s="965"/>
      <c r="AL87" s="1049"/>
      <c r="AM87" s="1050"/>
      <c r="AN87" s="1049"/>
      <c r="AO87" s="1227"/>
      <c r="AP87" s="1085"/>
      <c r="AQ87" s="968"/>
      <c r="AR87" s="1047"/>
      <c r="AS87" s="1046"/>
      <c r="AT87" s="1047"/>
      <c r="AU87" s="1231"/>
      <c r="AV87" s="837"/>
      <c r="AW87" s="965"/>
      <c r="AX87" s="1049"/>
      <c r="AY87" s="1050"/>
      <c r="AZ87" s="1049"/>
      <c r="BA87" s="1227"/>
      <c r="BB87" s="1085"/>
      <c r="BC87" s="968"/>
      <c r="BD87" s="965"/>
      <c r="BE87" s="1046"/>
      <c r="BF87" s="1047"/>
      <c r="BG87" s="1231"/>
      <c r="BH87" s="837"/>
      <c r="BI87" s="965"/>
      <c r="BJ87" s="968"/>
      <c r="BK87" s="1050"/>
      <c r="BL87" s="1049"/>
      <c r="BM87" s="1227"/>
      <c r="BN87" s="1085"/>
      <c r="BO87" s="968"/>
      <c r="BP87" s="965"/>
      <c r="BQ87" s="1046"/>
      <c r="BR87" s="965"/>
      <c r="BS87" s="1231"/>
      <c r="BT87" s="837"/>
      <c r="BU87" s="965"/>
      <c r="BV87" s="968"/>
      <c r="BW87" s="1050"/>
      <c r="BX87" s="968"/>
      <c r="BY87" s="1227"/>
      <c r="BZ87" s="1088"/>
      <c r="CA87" s="968"/>
      <c r="CB87" s="1060"/>
      <c r="CC87" s="965"/>
      <c r="CD87" s="965"/>
      <c r="CE87" s="965"/>
      <c r="CF87" s="965"/>
      <c r="CG87" s="965"/>
      <c r="CH87" s="965"/>
      <c r="CI87" s="965"/>
      <c r="CJ87" s="965"/>
      <c r="CK87" s="965"/>
    </row>
    <row r="88" spans="1:89" s="886" customFormat="1" ht="18.75">
      <c r="A88" s="1043"/>
      <c r="B88" s="1044"/>
      <c r="C88" s="1045"/>
      <c r="D88" s="1078" t="s">
        <v>1592</v>
      </c>
      <c r="E88" s="1043"/>
      <c r="F88" s="1046"/>
      <c r="G88" s="1046"/>
      <c r="H88" s="1047"/>
      <c r="I88" s="1343"/>
      <c r="J88" s="1047"/>
      <c r="K88" s="1317"/>
      <c r="L88" s="1047"/>
      <c r="M88" s="1317"/>
      <c r="N88" s="1317"/>
      <c r="O88" s="965"/>
      <c r="P88" s="965"/>
      <c r="Q88" s="965"/>
      <c r="R88" s="1344"/>
      <c r="S88" s="965"/>
      <c r="T88" s="1047"/>
      <c r="U88" s="1188"/>
      <c r="V88" s="1047"/>
      <c r="W88" s="1188"/>
      <c r="X88" s="837"/>
      <c r="Y88" s="965"/>
      <c r="Z88" s="1049"/>
      <c r="AA88" s="1050"/>
      <c r="AB88" s="1053"/>
      <c r="AC88" s="1233"/>
      <c r="AD88" s="1088"/>
      <c r="AE88" s="1299"/>
      <c r="AF88" s="1300"/>
      <c r="AG88" s="1301"/>
      <c r="AH88" s="1302"/>
      <c r="AI88" s="1303"/>
      <c r="AJ88" s="1304"/>
      <c r="AK88" s="965"/>
      <c r="AL88" s="1049"/>
      <c r="AM88" s="1050"/>
      <c r="AN88" s="1049"/>
      <c r="AO88" s="1227"/>
      <c r="AP88" s="1085"/>
      <c r="AQ88" s="968"/>
      <c r="AR88" s="1047"/>
      <c r="AS88" s="1046"/>
      <c r="AT88" s="1047"/>
      <c r="AU88" s="1231"/>
      <c r="AV88" s="837"/>
      <c r="AW88" s="965"/>
      <c r="AX88" s="1049"/>
      <c r="AY88" s="1050"/>
      <c r="AZ88" s="1049"/>
      <c r="BA88" s="1227"/>
      <c r="BB88" s="1085"/>
      <c r="BC88" s="968"/>
      <c r="BD88" s="965"/>
      <c r="BE88" s="1046"/>
      <c r="BF88" s="1047"/>
      <c r="BG88" s="1231"/>
      <c r="BH88" s="837"/>
      <c r="BI88" s="965"/>
      <c r="BJ88" s="968"/>
      <c r="BK88" s="1050"/>
      <c r="BL88" s="1049"/>
      <c r="BM88" s="1227"/>
      <c r="BN88" s="1085"/>
      <c r="BO88" s="968"/>
      <c r="BP88" s="965"/>
      <c r="BQ88" s="1046"/>
      <c r="BR88" s="965"/>
      <c r="BS88" s="1231"/>
      <c r="BT88" s="837"/>
      <c r="BU88" s="965"/>
      <c r="BV88" s="968"/>
      <c r="BW88" s="1050"/>
      <c r="BX88" s="968"/>
      <c r="BY88" s="1227"/>
      <c r="BZ88" s="1088"/>
      <c r="CA88" s="968"/>
      <c r="CB88" s="1060"/>
      <c r="CC88" s="965"/>
      <c r="CD88" s="965"/>
      <c r="CE88" s="965"/>
      <c r="CF88" s="965"/>
      <c r="CG88" s="965"/>
      <c r="CH88" s="965"/>
      <c r="CI88" s="965"/>
      <c r="CJ88" s="965"/>
      <c r="CK88" s="965"/>
    </row>
    <row r="89" spans="1:89" s="886" customFormat="1" ht="14.25">
      <c r="A89" s="1043"/>
      <c r="B89" s="1044"/>
      <c r="C89" s="1045"/>
      <c r="D89" s="955" t="s">
        <v>1636</v>
      </c>
      <c r="E89" s="1043"/>
      <c r="F89" s="1046"/>
      <c r="G89" s="1046"/>
      <c r="H89" s="1047"/>
      <c r="I89" s="1343"/>
      <c r="J89" s="1047"/>
      <c r="K89" s="1317"/>
      <c r="L89" s="1047"/>
      <c r="M89" s="1317"/>
      <c r="N89" s="1317"/>
      <c r="O89" s="965"/>
      <c r="P89" s="965"/>
      <c r="Q89" s="965"/>
      <c r="R89" s="1344"/>
      <c r="S89" s="965"/>
      <c r="T89" s="1047"/>
      <c r="U89" s="1188"/>
      <c r="V89" s="1047"/>
      <c r="W89" s="1188"/>
      <c r="X89" s="837"/>
      <c r="Y89" s="965"/>
      <c r="Z89" s="1049"/>
      <c r="AA89" s="1050"/>
      <c r="AB89" s="1053"/>
      <c r="AC89" s="1233"/>
      <c r="AD89" s="1088"/>
      <c r="AE89" s="1299"/>
      <c r="AF89" s="1300"/>
      <c r="AG89" s="1301"/>
      <c r="AH89" s="1407"/>
      <c r="AI89" s="1303"/>
      <c r="AJ89" s="1304"/>
      <c r="AK89" s="965"/>
      <c r="AL89" s="1049"/>
      <c r="AM89" s="1050"/>
      <c r="AN89" s="1049"/>
      <c r="AO89" s="1227"/>
      <c r="AP89" s="1085"/>
      <c r="AQ89" s="968"/>
      <c r="AR89" s="1047"/>
      <c r="AS89" s="1046"/>
      <c r="AT89" s="1047"/>
      <c r="AU89" s="1231"/>
      <c r="AV89" s="837"/>
      <c r="AW89" s="965"/>
      <c r="AX89" s="1049"/>
      <c r="AY89" s="1050"/>
      <c r="AZ89" s="1049"/>
      <c r="BA89" s="1227"/>
      <c r="BB89" s="1085"/>
      <c r="BC89" s="968"/>
      <c r="BD89" s="965"/>
      <c r="BE89" s="1046"/>
      <c r="BF89" s="1047"/>
      <c r="BG89" s="1231"/>
      <c r="BH89" s="837"/>
      <c r="BI89" s="965"/>
      <c r="BJ89" s="968"/>
      <c r="BK89" s="1050"/>
      <c r="BL89" s="1049"/>
      <c r="BM89" s="1227"/>
      <c r="BN89" s="1085"/>
      <c r="BO89" s="968"/>
      <c r="BP89" s="965"/>
      <c r="BQ89" s="1046"/>
      <c r="BR89" s="965"/>
      <c r="BS89" s="1231"/>
      <c r="BT89" s="837"/>
      <c r="BU89" s="965"/>
      <c r="BV89" s="968"/>
      <c r="BW89" s="1050"/>
      <c r="BX89" s="968"/>
      <c r="BY89" s="1227"/>
      <c r="BZ89" s="1088"/>
      <c r="CA89" s="968"/>
      <c r="CB89" s="1060"/>
      <c r="CC89" s="965"/>
      <c r="CD89" s="965"/>
      <c r="CE89" s="965"/>
      <c r="CF89" s="965"/>
      <c r="CG89" s="965"/>
      <c r="CH89" s="965"/>
      <c r="CI89" s="965"/>
      <c r="CJ89" s="965"/>
      <c r="CK89" s="965"/>
    </row>
    <row r="90" spans="1:89" s="886" customFormat="1" ht="14.25">
      <c r="A90" s="1043"/>
      <c r="B90" s="1044"/>
      <c r="C90" s="1045"/>
      <c r="D90" s="1076"/>
      <c r="E90" s="1043"/>
      <c r="F90" s="1046"/>
      <c r="G90" s="1046"/>
      <c r="H90" s="1047"/>
      <c r="I90" s="1343"/>
      <c r="J90" s="1047"/>
      <c r="K90" s="1317"/>
      <c r="L90" s="1047"/>
      <c r="M90" s="1317"/>
      <c r="N90" s="1317"/>
      <c r="O90" s="965"/>
      <c r="P90" s="965"/>
      <c r="Q90" s="965"/>
      <c r="R90" s="1344"/>
      <c r="S90" s="965"/>
      <c r="T90" s="1047"/>
      <c r="U90" s="1188"/>
      <c r="V90" s="1047"/>
      <c r="W90" s="1188"/>
      <c r="X90" s="837"/>
      <c r="Y90" s="965"/>
      <c r="Z90" s="1049"/>
      <c r="AA90" s="1050"/>
      <c r="AB90" s="1053"/>
      <c r="AC90" s="1233"/>
      <c r="AD90" s="1088"/>
      <c r="AE90" s="1299"/>
      <c r="AF90" s="1300"/>
      <c r="AG90" s="1301"/>
      <c r="AH90" s="1407"/>
      <c r="AI90" s="1303"/>
      <c r="AJ90" s="1304"/>
      <c r="AK90" s="965"/>
      <c r="AL90" s="1049"/>
      <c r="AM90" s="1050"/>
      <c r="AN90" s="1049"/>
      <c r="AO90" s="1227"/>
      <c r="AP90" s="1085"/>
      <c r="AQ90" s="968"/>
      <c r="AR90" s="1047"/>
      <c r="AS90" s="1046"/>
      <c r="AT90" s="1047"/>
      <c r="AU90" s="1231"/>
      <c r="AV90" s="837"/>
      <c r="AW90" s="965"/>
      <c r="AX90" s="1049"/>
      <c r="AY90" s="1050"/>
      <c r="AZ90" s="1049"/>
      <c r="BA90" s="1227"/>
      <c r="BB90" s="1085"/>
      <c r="BC90" s="968"/>
      <c r="BD90" s="965"/>
      <c r="BE90" s="1046"/>
      <c r="BF90" s="1047"/>
      <c r="BG90" s="1231"/>
      <c r="BH90" s="837"/>
      <c r="BI90" s="965"/>
      <c r="BJ90" s="968"/>
      <c r="BK90" s="1050"/>
      <c r="BL90" s="1049"/>
      <c r="BM90" s="1227"/>
      <c r="BN90" s="1085"/>
      <c r="BO90" s="968"/>
      <c r="BP90" s="965"/>
      <c r="BQ90" s="1046"/>
      <c r="BR90" s="965"/>
      <c r="BS90" s="1231"/>
      <c r="BT90" s="837"/>
      <c r="BU90" s="965"/>
      <c r="BV90" s="968"/>
      <c r="BW90" s="1050"/>
      <c r="BX90" s="968"/>
      <c r="BY90" s="1227"/>
      <c r="BZ90" s="1088"/>
      <c r="CA90" s="968"/>
      <c r="CB90" s="1060"/>
      <c r="CC90" s="965"/>
      <c r="CD90" s="965"/>
      <c r="CE90" s="965"/>
      <c r="CF90" s="965"/>
      <c r="CG90" s="965"/>
      <c r="CH90" s="965"/>
      <c r="CI90" s="965"/>
      <c r="CJ90" s="965"/>
      <c r="CK90" s="965"/>
    </row>
    <row r="91" spans="1:89" s="886" customFormat="1" ht="14.25">
      <c r="A91" s="1043"/>
      <c r="B91" s="1044"/>
      <c r="C91" s="1045"/>
      <c r="D91" s="1076"/>
      <c r="E91" s="1043"/>
      <c r="F91" s="1046"/>
      <c r="G91" s="1046"/>
      <c r="H91" s="1047"/>
      <c r="I91" s="1343"/>
      <c r="J91" s="1047"/>
      <c r="K91" s="1317"/>
      <c r="L91" s="1047"/>
      <c r="M91" s="1317"/>
      <c r="N91" s="1317"/>
      <c r="O91" s="965"/>
      <c r="P91" s="965"/>
      <c r="Q91" s="965"/>
      <c r="R91" s="1344"/>
      <c r="S91" s="965"/>
      <c r="T91" s="1047"/>
      <c r="U91" s="1188"/>
      <c r="V91" s="1047"/>
      <c r="W91" s="1188"/>
      <c r="X91" s="837"/>
      <c r="Y91" s="965"/>
      <c r="Z91" s="1049"/>
      <c r="AA91" s="1050"/>
      <c r="AB91" s="1049"/>
      <c r="AC91" s="1227"/>
      <c r="AD91" s="1085"/>
      <c r="AE91" s="1299"/>
      <c r="AF91" s="1300"/>
      <c r="AG91" s="1301"/>
      <c r="AH91" s="1300"/>
      <c r="AI91" s="1303"/>
      <c r="AJ91" s="1304"/>
      <c r="AK91" s="965"/>
      <c r="AL91" s="1049"/>
      <c r="AM91" s="1050"/>
      <c r="AN91" s="1049"/>
      <c r="AO91" s="1227"/>
      <c r="AP91" s="1085"/>
      <c r="AQ91" s="968"/>
      <c r="AR91" s="1047"/>
      <c r="AS91" s="1046"/>
      <c r="AT91" s="1047"/>
      <c r="AU91" s="1231"/>
      <c r="AV91" s="837"/>
      <c r="AW91" s="965"/>
      <c r="AX91" s="1049"/>
      <c r="AY91" s="1050"/>
      <c r="AZ91" s="1049"/>
      <c r="BA91" s="1227"/>
      <c r="BB91" s="1085"/>
      <c r="BC91" s="968"/>
      <c r="BD91" s="965"/>
      <c r="BE91" s="1046"/>
      <c r="BF91" s="1047"/>
      <c r="BG91" s="1231"/>
      <c r="BH91" s="837"/>
      <c r="BI91" s="965"/>
      <c r="BJ91" s="968"/>
      <c r="BK91" s="1050"/>
      <c r="BL91" s="1049"/>
      <c r="BM91" s="1227"/>
      <c r="BN91" s="1085"/>
      <c r="BO91" s="968"/>
      <c r="BP91" s="965"/>
      <c r="BQ91" s="1046"/>
      <c r="BR91" s="965"/>
      <c r="BS91" s="1231"/>
      <c r="BT91" s="837"/>
      <c r="BU91" s="965"/>
      <c r="BV91" s="968"/>
      <c r="BW91" s="1050"/>
      <c r="BX91" s="968"/>
      <c r="BY91" s="1227"/>
      <c r="BZ91" s="1088"/>
      <c r="CA91" s="968"/>
      <c r="CB91" s="1060"/>
      <c r="CC91" s="965"/>
      <c r="CD91" s="965"/>
      <c r="CE91" s="965"/>
      <c r="CF91" s="965"/>
      <c r="CG91" s="965"/>
      <c r="CH91" s="965"/>
      <c r="CI91" s="965"/>
      <c r="CJ91" s="965"/>
      <c r="CK91" s="965"/>
    </row>
    <row r="92" spans="1:89" s="886" customFormat="1" ht="14.25">
      <c r="A92" s="1043"/>
      <c r="B92" s="1044"/>
      <c r="C92" s="1045"/>
      <c r="D92" s="1076"/>
      <c r="E92" s="1043"/>
      <c r="F92" s="1046"/>
      <c r="G92" s="1046"/>
      <c r="H92" s="1047"/>
      <c r="I92" s="1343"/>
      <c r="J92" s="1047"/>
      <c r="K92" s="1317"/>
      <c r="L92" s="1047"/>
      <c r="M92" s="1317"/>
      <c r="N92" s="1317"/>
      <c r="O92" s="965"/>
      <c r="P92" s="965"/>
      <c r="Q92" s="965"/>
      <c r="R92" s="1344"/>
      <c r="S92" s="965"/>
      <c r="T92" s="1047"/>
      <c r="U92" s="1188"/>
      <c r="V92" s="1047"/>
      <c r="W92" s="1188"/>
      <c r="X92" s="837"/>
      <c r="Y92" s="965"/>
      <c r="Z92" s="1049"/>
      <c r="AA92" s="1050"/>
      <c r="AB92" s="1049"/>
      <c r="AC92" s="1227"/>
      <c r="AD92" s="1085"/>
      <c r="AE92" s="968"/>
      <c r="AF92" s="1047"/>
      <c r="AG92" s="1046"/>
      <c r="AH92" s="1047"/>
      <c r="AI92" s="1231"/>
      <c r="AJ92" s="837"/>
      <c r="AK92" s="965"/>
      <c r="AL92" s="1049"/>
      <c r="AM92" s="1050"/>
      <c r="AN92" s="1049"/>
      <c r="AO92" s="1227"/>
      <c r="AP92" s="1085"/>
      <c r="AQ92" s="968"/>
      <c r="AS92" s="1046"/>
      <c r="AT92" s="1047"/>
      <c r="AU92" s="1231"/>
      <c r="AV92" s="837"/>
      <c r="AW92" s="965"/>
      <c r="AX92" s="1049"/>
      <c r="AY92" s="1050"/>
      <c r="AZ92" s="1049"/>
      <c r="BA92" s="1227"/>
      <c r="BB92" s="1085"/>
      <c r="BC92" s="968"/>
      <c r="BD92" s="965"/>
      <c r="BE92" s="1046"/>
      <c r="BF92" s="1047"/>
      <c r="BG92" s="1231"/>
      <c r="BH92" s="837"/>
      <c r="BI92" s="965"/>
      <c r="BJ92" s="968"/>
      <c r="BK92" s="1050"/>
      <c r="BL92" s="1049"/>
      <c r="BM92" s="1227"/>
      <c r="BN92" s="1085"/>
      <c r="BO92" s="968"/>
      <c r="BP92" s="965"/>
      <c r="BQ92" s="1046"/>
      <c r="BR92" s="965"/>
      <c r="BS92" s="1231"/>
      <c r="BT92" s="837"/>
      <c r="BU92" s="965"/>
      <c r="BV92" s="968"/>
      <c r="BW92" s="1050"/>
      <c r="BX92" s="968"/>
      <c r="BY92" s="1227"/>
      <c r="BZ92" s="1088"/>
      <c r="CA92" s="968"/>
      <c r="CB92" s="1060"/>
      <c r="CC92" s="965"/>
      <c r="CD92" s="965"/>
      <c r="CE92" s="965"/>
      <c r="CF92" s="965"/>
      <c r="CG92" s="965"/>
      <c r="CH92" s="965"/>
      <c r="CI92" s="965"/>
      <c r="CJ92" s="965"/>
      <c r="CK92" s="965"/>
    </row>
    <row r="93" spans="1:89" s="886" customFormat="1" ht="14.25">
      <c r="A93" s="1043"/>
      <c r="B93" s="1044"/>
      <c r="C93" s="1045"/>
      <c r="D93" s="1076"/>
      <c r="E93" s="1043"/>
      <c r="F93" s="1046"/>
      <c r="G93" s="1046"/>
      <c r="H93" s="1047"/>
      <c r="I93" s="1343"/>
      <c r="J93" s="1047"/>
      <c r="K93" s="1317"/>
      <c r="L93" s="1047"/>
      <c r="M93" s="1317"/>
      <c r="N93" s="1317"/>
      <c r="O93" s="965"/>
      <c r="P93" s="965"/>
      <c r="Q93" s="965"/>
      <c r="R93" s="1344"/>
      <c r="S93" s="965"/>
      <c r="T93" s="1047"/>
      <c r="U93" s="1188"/>
      <c r="V93" s="1047"/>
      <c r="W93" s="1188"/>
      <c r="X93" s="837"/>
      <c r="Y93" s="965"/>
      <c r="Z93" s="1049"/>
      <c r="AA93" s="1050"/>
      <c r="AB93" s="1049"/>
      <c r="AC93" s="1227"/>
      <c r="AD93" s="1085"/>
      <c r="AE93" s="968"/>
      <c r="AF93" s="1047"/>
      <c r="AG93" s="1046"/>
      <c r="AH93" s="1047"/>
      <c r="AI93" s="1231"/>
      <c r="AJ93" s="837"/>
      <c r="AK93" s="965"/>
      <c r="AL93" s="1049"/>
      <c r="AM93" s="1050"/>
      <c r="AN93" s="1049"/>
      <c r="AO93" s="1227"/>
      <c r="AP93" s="1085"/>
      <c r="AQ93" s="968"/>
      <c r="AS93" s="1046"/>
      <c r="AT93" s="1047"/>
      <c r="AU93" s="1231"/>
      <c r="AV93" s="837"/>
      <c r="AW93" s="965"/>
      <c r="AX93" s="1049"/>
      <c r="AY93" s="1050"/>
      <c r="AZ93" s="1049"/>
      <c r="BA93" s="1227"/>
      <c r="BB93" s="1085"/>
      <c r="BC93" s="968"/>
      <c r="BD93" s="965"/>
      <c r="BE93" s="1046"/>
      <c r="BF93" s="1047"/>
      <c r="BG93" s="1231"/>
      <c r="BH93" s="837"/>
      <c r="BI93" s="965"/>
      <c r="BJ93" s="968"/>
      <c r="BK93" s="1050"/>
      <c r="BL93" s="1049"/>
      <c r="BM93" s="1227"/>
      <c r="BN93" s="1085"/>
      <c r="BO93" s="968"/>
      <c r="BP93" s="965"/>
      <c r="BQ93" s="1046"/>
      <c r="BR93" s="965"/>
      <c r="BS93" s="1231"/>
      <c r="BT93" s="837"/>
      <c r="BU93" s="965"/>
      <c r="BV93" s="968"/>
      <c r="BW93" s="1050"/>
      <c r="BX93" s="968"/>
      <c r="BY93" s="1227"/>
      <c r="BZ93" s="1085"/>
      <c r="CA93" s="968"/>
      <c r="CB93" s="1060"/>
      <c r="CC93" s="965"/>
      <c r="CD93" s="965"/>
      <c r="CE93" s="965"/>
      <c r="CF93" s="965"/>
      <c r="CG93" s="965"/>
      <c r="CH93" s="965"/>
      <c r="CI93" s="965"/>
      <c r="CJ93" s="965"/>
      <c r="CK93" s="965"/>
    </row>
    <row r="94" spans="1:89" s="886" customFormat="1" ht="14.25">
      <c r="A94" s="1043"/>
      <c r="B94" s="1044"/>
      <c r="C94" s="1045"/>
      <c r="D94" s="1076"/>
      <c r="E94" s="1043"/>
      <c r="F94" s="1046"/>
      <c r="G94" s="1046"/>
      <c r="H94" s="1047"/>
      <c r="I94" s="1343"/>
      <c r="J94" s="1047"/>
      <c r="K94" s="1317"/>
      <c r="L94" s="1047"/>
      <c r="M94" s="1317"/>
      <c r="N94" s="1317"/>
      <c r="O94" s="965"/>
      <c r="P94" s="965"/>
      <c r="Q94" s="965"/>
      <c r="R94" s="1344"/>
      <c r="S94" s="965"/>
      <c r="T94" s="1047"/>
      <c r="U94" s="1188"/>
      <c r="V94" s="1047"/>
      <c r="W94" s="1188"/>
      <c r="X94" s="837"/>
      <c r="Y94" s="965"/>
      <c r="Z94" s="1049"/>
      <c r="AA94" s="1050"/>
      <c r="AB94" s="1049"/>
      <c r="AC94" s="1227"/>
      <c r="AD94" s="1085"/>
      <c r="AE94" s="968"/>
      <c r="AF94" s="1047"/>
      <c r="AG94" s="1046"/>
      <c r="AH94" s="1047"/>
      <c r="AI94" s="1231"/>
      <c r="AJ94" s="837"/>
      <c r="AK94" s="965"/>
      <c r="AL94" s="1049"/>
      <c r="AM94" s="1050"/>
      <c r="AN94" s="1049"/>
      <c r="AO94" s="1227"/>
      <c r="AP94" s="1085"/>
      <c r="AQ94" s="968"/>
      <c r="AS94" s="1046"/>
      <c r="AT94" s="1047"/>
      <c r="AU94" s="1231"/>
      <c r="AV94" s="837"/>
      <c r="AW94" s="965"/>
      <c r="AX94" s="1049"/>
      <c r="AY94" s="1050"/>
      <c r="AZ94" s="1049"/>
      <c r="BA94" s="1227"/>
      <c r="BB94" s="1085"/>
      <c r="BC94" s="968"/>
      <c r="BD94" s="965"/>
      <c r="BE94" s="1046"/>
      <c r="BF94" s="1047"/>
      <c r="BG94" s="1231"/>
      <c r="BH94" s="837"/>
      <c r="BI94" s="965"/>
      <c r="BJ94" s="968"/>
      <c r="BK94" s="1050"/>
      <c r="BL94" s="1049"/>
      <c r="BM94" s="1227"/>
      <c r="BN94" s="1085"/>
      <c r="BO94" s="968"/>
      <c r="BP94" s="965"/>
      <c r="BQ94" s="1046"/>
      <c r="BR94" s="965"/>
      <c r="BS94" s="1231"/>
      <c r="BT94" s="837"/>
      <c r="BU94" s="965"/>
      <c r="BV94" s="968"/>
      <c r="BW94" s="1050"/>
      <c r="BX94" s="968"/>
      <c r="BY94" s="1227"/>
      <c r="BZ94" s="1085"/>
      <c r="CA94" s="968"/>
      <c r="CB94" s="1060"/>
      <c r="CC94" s="965"/>
      <c r="CD94" s="965"/>
      <c r="CE94" s="965"/>
      <c r="CF94" s="965"/>
      <c r="CG94" s="965"/>
      <c r="CH94" s="965"/>
      <c r="CI94" s="965"/>
      <c r="CJ94" s="965"/>
      <c r="CK94" s="965"/>
    </row>
    <row r="95" spans="1:89" s="886" customFormat="1" ht="14.25">
      <c r="A95" s="1043"/>
      <c r="B95" s="1044"/>
      <c r="C95" s="1045"/>
      <c r="D95" s="1076"/>
      <c r="E95" s="1043"/>
      <c r="F95" s="1046"/>
      <c r="G95" s="1046"/>
      <c r="H95" s="1047"/>
      <c r="I95" s="1343"/>
      <c r="J95" s="1047"/>
      <c r="K95" s="1317"/>
      <c r="L95" s="1047"/>
      <c r="M95" s="1317"/>
      <c r="N95" s="1317"/>
      <c r="O95" s="965"/>
      <c r="P95" s="965"/>
      <c r="Q95" s="965"/>
      <c r="R95" s="1344"/>
      <c r="S95" s="965"/>
      <c r="T95" s="1047"/>
      <c r="U95" s="1188"/>
      <c r="V95" s="1047"/>
      <c r="W95" s="1188"/>
      <c r="X95" s="837"/>
      <c r="Y95" s="965"/>
      <c r="Z95" s="1049"/>
      <c r="AA95" s="1050"/>
      <c r="AB95" s="1049"/>
      <c r="AC95" s="1227"/>
      <c r="AD95" s="1085"/>
      <c r="AE95" s="968"/>
      <c r="AF95" s="1047"/>
      <c r="AG95" s="1046"/>
      <c r="AH95" s="1047"/>
      <c r="AI95" s="1231"/>
      <c r="AJ95" s="837"/>
      <c r="AK95" s="965"/>
      <c r="AL95" s="1049"/>
      <c r="AM95" s="1050"/>
      <c r="AN95" s="1049"/>
      <c r="AO95" s="1227"/>
      <c r="AP95" s="1085"/>
      <c r="AQ95" s="968"/>
      <c r="AS95" s="1046"/>
      <c r="AT95" s="1047"/>
      <c r="AU95" s="1231"/>
      <c r="AV95" s="837"/>
      <c r="AW95" s="965"/>
      <c r="AX95" s="1049"/>
      <c r="AY95" s="1050"/>
      <c r="AZ95" s="1049"/>
      <c r="BA95" s="1227"/>
      <c r="BB95" s="1085"/>
      <c r="BC95" s="968"/>
      <c r="BD95" s="965"/>
      <c r="BE95" s="1046"/>
      <c r="BF95" s="1047"/>
      <c r="BG95" s="1231"/>
      <c r="BH95" s="837"/>
      <c r="BI95" s="965"/>
      <c r="BJ95" s="968"/>
      <c r="BK95" s="1050"/>
      <c r="BL95" s="1049"/>
      <c r="BM95" s="1227"/>
      <c r="BN95" s="1085"/>
      <c r="BO95" s="968"/>
      <c r="BP95" s="965"/>
      <c r="BQ95" s="1046"/>
      <c r="BR95" s="965"/>
      <c r="BS95" s="1231"/>
      <c r="BT95" s="837"/>
      <c r="BU95" s="965"/>
      <c r="BV95" s="968"/>
      <c r="BW95" s="1050"/>
      <c r="BX95" s="968"/>
      <c r="BY95" s="1227"/>
      <c r="BZ95" s="1085"/>
      <c r="CA95" s="968"/>
      <c r="CB95" s="1060"/>
      <c r="CC95" s="965"/>
      <c r="CD95" s="965"/>
      <c r="CE95" s="965"/>
      <c r="CF95" s="965"/>
      <c r="CG95" s="965"/>
      <c r="CH95" s="965"/>
      <c r="CI95" s="965"/>
      <c r="CJ95" s="965"/>
      <c r="CK95" s="965"/>
    </row>
    <row r="96" spans="1:89" s="886" customFormat="1" ht="14.25">
      <c r="A96" s="1043"/>
      <c r="B96" s="1044"/>
      <c r="C96" s="1045"/>
      <c r="D96" s="1076"/>
      <c r="E96" s="1043"/>
      <c r="F96" s="1046"/>
      <c r="G96" s="1046"/>
      <c r="H96" s="1047"/>
      <c r="S96" s="965"/>
      <c r="T96" s="1047"/>
      <c r="U96" s="1188"/>
      <c r="V96" s="1047"/>
      <c r="W96" s="1188"/>
      <c r="X96" s="837"/>
      <c r="Y96" s="965"/>
      <c r="Z96" s="1049"/>
      <c r="AA96" s="1050"/>
      <c r="AB96" s="1049"/>
      <c r="AC96" s="1227"/>
      <c r="AD96" s="1085"/>
      <c r="AE96" s="968"/>
      <c r="AF96" s="1047"/>
      <c r="AG96" s="1046"/>
      <c r="AH96" s="1047"/>
      <c r="AI96" s="1231"/>
      <c r="AJ96" s="837"/>
      <c r="AK96" s="965"/>
      <c r="AL96" s="1049"/>
      <c r="AM96" s="1050"/>
      <c r="AN96" s="1049"/>
      <c r="AO96" s="1227"/>
      <c r="AP96" s="1085"/>
      <c r="AQ96" s="968"/>
      <c r="AS96" s="1046"/>
      <c r="AT96" s="1047"/>
      <c r="AU96" s="1231"/>
      <c r="AV96" s="837"/>
      <c r="AW96" s="965"/>
      <c r="AX96" s="1049"/>
      <c r="AY96" s="1050"/>
      <c r="AZ96" s="1049"/>
      <c r="BA96" s="1227"/>
      <c r="BB96" s="1085"/>
      <c r="BC96" s="968"/>
      <c r="BD96" s="965"/>
      <c r="BE96" s="1046"/>
      <c r="BF96" s="1047"/>
      <c r="BG96" s="1231"/>
      <c r="BH96" s="26"/>
      <c r="BK96" s="1050"/>
      <c r="BL96" s="1049"/>
      <c r="BM96" s="1227"/>
      <c r="BN96" s="1085"/>
      <c r="BO96" s="968"/>
      <c r="BP96" s="965"/>
      <c r="BQ96" s="1046"/>
      <c r="BR96" s="965"/>
      <c r="BS96" s="1231"/>
      <c r="BT96" s="837"/>
      <c r="BU96" s="965"/>
      <c r="BV96" s="968"/>
      <c r="BW96" s="1050"/>
      <c r="BX96" s="968"/>
      <c r="BY96" s="1227"/>
      <c r="BZ96" s="1085"/>
      <c r="CA96" s="968"/>
      <c r="CB96" s="1060"/>
      <c r="CC96" s="965"/>
      <c r="CD96" s="965"/>
      <c r="CE96" s="965"/>
      <c r="CF96" s="965"/>
      <c r="CG96" s="965"/>
      <c r="CH96" s="965"/>
      <c r="CI96" s="965"/>
      <c r="CJ96" s="965"/>
      <c r="CK96" s="965"/>
    </row>
    <row r="97" spans="1:89" s="886" customFormat="1" ht="14.25">
      <c r="A97" s="1043"/>
      <c r="B97" s="1044"/>
      <c r="C97" s="1045"/>
      <c r="D97" s="1076"/>
      <c r="E97" s="1043"/>
      <c r="F97" s="1046"/>
      <c r="G97" s="1046"/>
      <c r="H97" s="1047"/>
      <c r="S97" s="965"/>
      <c r="T97" s="1047"/>
      <c r="U97" s="1188"/>
      <c r="V97" s="1047"/>
      <c r="W97" s="1188"/>
      <c r="X97" s="837"/>
      <c r="Y97" s="965"/>
      <c r="Z97" s="1049"/>
      <c r="AA97" s="1050"/>
      <c r="AB97" s="1049"/>
      <c r="AC97" s="1227"/>
      <c r="AD97" s="1085"/>
      <c r="AE97" s="968"/>
      <c r="AF97" s="1047"/>
      <c r="AG97" s="1046"/>
      <c r="AH97" s="1047"/>
      <c r="AI97" s="1231"/>
      <c r="AJ97" s="837"/>
      <c r="AK97" s="965"/>
      <c r="AL97" s="1049"/>
      <c r="AM97" s="1050"/>
      <c r="AN97" s="1049"/>
      <c r="AO97" s="1227"/>
      <c r="AP97" s="1085"/>
      <c r="AQ97" s="968"/>
      <c r="AS97" s="1046"/>
      <c r="AT97" s="1047"/>
      <c r="AU97" s="1231"/>
      <c r="AV97" s="837"/>
      <c r="AW97" s="965"/>
      <c r="AX97" s="1049"/>
      <c r="AY97" s="1050"/>
      <c r="AZ97" s="1049"/>
      <c r="BA97" s="1227"/>
      <c r="BB97" s="1085"/>
      <c r="BC97" s="968"/>
      <c r="BD97" s="965"/>
      <c r="BE97" s="1046"/>
      <c r="BF97" s="1050"/>
      <c r="BG97" s="1234"/>
      <c r="BH97" s="1085"/>
      <c r="BK97" s="1050"/>
      <c r="BL97" s="1049"/>
      <c r="BM97" s="1227"/>
      <c r="BN97" s="1085"/>
      <c r="BO97" s="968"/>
      <c r="BP97" s="965"/>
      <c r="BQ97" s="1046"/>
      <c r="BR97" s="965"/>
      <c r="BS97" s="1231"/>
      <c r="BT97" s="837"/>
      <c r="BU97" s="965"/>
      <c r="BV97" s="968"/>
      <c r="BW97" s="1050"/>
      <c r="BX97" s="968"/>
      <c r="BY97" s="1227"/>
      <c r="BZ97" s="1085"/>
      <c r="CA97" s="968"/>
      <c r="CB97" s="1060"/>
      <c r="CC97" s="965"/>
      <c r="CD97" s="965"/>
      <c r="CE97" s="965"/>
      <c r="CF97" s="965"/>
      <c r="CG97" s="965"/>
      <c r="CH97" s="965"/>
      <c r="CI97" s="965"/>
      <c r="CJ97" s="965"/>
      <c r="CK97" s="965"/>
    </row>
    <row r="98" spans="1:89" s="886" customFormat="1" ht="14.25">
      <c r="A98" s="1043"/>
      <c r="B98" s="1044"/>
      <c r="C98" s="1045"/>
      <c r="D98" s="1076"/>
      <c r="E98" s="1043"/>
      <c r="F98" s="1046"/>
      <c r="G98" s="1046"/>
      <c r="H98" s="1047"/>
      <c r="S98" s="965"/>
      <c r="T98" s="1047"/>
      <c r="U98" s="1188"/>
      <c r="V98" s="1047"/>
      <c r="W98" s="1188"/>
      <c r="X98" s="837"/>
      <c r="Y98" s="965"/>
      <c r="Z98" s="1049"/>
      <c r="AA98" s="1050"/>
      <c r="AB98" s="1049"/>
      <c r="AC98" s="1227"/>
      <c r="AD98" s="1085"/>
      <c r="AE98" s="968"/>
      <c r="AF98" s="1047"/>
      <c r="AG98" s="1046"/>
      <c r="AH98" s="1047"/>
      <c r="AI98" s="1231"/>
      <c r="AJ98" s="837"/>
      <c r="AK98" s="965"/>
      <c r="AL98" s="1049"/>
      <c r="AM98" s="1050"/>
      <c r="AN98" s="1049"/>
      <c r="AO98" s="1229"/>
      <c r="AP98" s="26"/>
      <c r="AS98" s="1046"/>
      <c r="AT98" s="1047"/>
      <c r="AU98" s="1231"/>
      <c r="AV98" s="837"/>
      <c r="AW98" s="965"/>
      <c r="AX98" s="1049"/>
      <c r="AY98" s="1050"/>
      <c r="BA98" s="1229"/>
      <c r="BB98" s="26"/>
      <c r="BC98" s="968"/>
      <c r="BD98" s="965"/>
      <c r="BE98" s="1046"/>
      <c r="BF98" s="1050"/>
      <c r="BG98" s="1234"/>
      <c r="BH98" s="1085"/>
      <c r="BK98" s="1050"/>
      <c r="BL98" s="1049"/>
      <c r="BM98" s="1227"/>
      <c r="BN98" s="1085"/>
      <c r="BO98" s="968"/>
      <c r="BP98" s="965"/>
      <c r="BQ98" s="1046"/>
      <c r="BR98" s="965"/>
      <c r="BS98" s="1231"/>
      <c r="BT98" s="837"/>
      <c r="BU98" s="965"/>
      <c r="BV98" s="968"/>
      <c r="BW98" s="1050"/>
      <c r="BX98" s="968"/>
      <c r="BY98" s="1227"/>
      <c r="BZ98" s="1085"/>
      <c r="CA98" s="968"/>
      <c r="CB98" s="1060"/>
      <c r="CC98" s="965"/>
      <c r="CD98" s="965"/>
      <c r="CE98" s="965"/>
      <c r="CF98" s="965"/>
      <c r="CG98" s="965"/>
      <c r="CH98" s="965"/>
      <c r="CI98" s="965"/>
      <c r="CJ98" s="965"/>
      <c r="CK98" s="965"/>
    </row>
    <row r="99" spans="1:89" s="886" customFormat="1" ht="14.25">
      <c r="A99" s="1043"/>
      <c r="B99" s="1044"/>
      <c r="C99" s="1045"/>
      <c r="D99" s="1076"/>
      <c r="E99" s="1043"/>
      <c r="F99" s="1046"/>
      <c r="G99" s="1046"/>
      <c r="H99" s="1047"/>
      <c r="S99" s="965"/>
      <c r="T99" s="1047"/>
      <c r="U99" s="1188"/>
      <c r="V99" s="1047"/>
      <c r="W99" s="1188"/>
      <c r="X99" s="837"/>
      <c r="Y99" s="965"/>
      <c r="Z99" s="1049"/>
      <c r="AA99" s="1050"/>
      <c r="AB99" s="1049"/>
      <c r="AC99" s="1227"/>
      <c r="AD99" s="1085"/>
      <c r="AE99" s="968"/>
      <c r="AF99" s="1047"/>
      <c r="AG99" s="1046"/>
      <c r="AH99" s="1047"/>
      <c r="AI99" s="1231"/>
      <c r="AJ99" s="837"/>
      <c r="AK99" s="965"/>
      <c r="AL99" s="1049"/>
      <c r="AM99" s="1050"/>
      <c r="AN99" s="1049"/>
      <c r="AO99" s="1229"/>
      <c r="AP99" s="26"/>
      <c r="AS99" s="1046"/>
      <c r="AT99" s="1047"/>
      <c r="AU99" s="1231"/>
      <c r="AV99" s="837"/>
      <c r="AW99" s="965"/>
      <c r="AX99" s="1049"/>
      <c r="AY99" s="1050"/>
      <c r="BA99" s="1229"/>
      <c r="BB99" s="26"/>
      <c r="BC99" s="968"/>
      <c r="BD99" s="965"/>
      <c r="BE99" s="1046"/>
      <c r="BF99" s="1050"/>
      <c r="BG99" s="1234"/>
      <c r="BH99" s="1085"/>
      <c r="BK99" s="1050"/>
      <c r="BL99" s="1049"/>
      <c r="BM99" s="1227"/>
      <c r="BN99" s="1085"/>
      <c r="BO99" s="968"/>
      <c r="BP99" s="965"/>
      <c r="BQ99" s="1046"/>
      <c r="BR99" s="965"/>
      <c r="BS99" s="1231"/>
      <c r="BT99" s="837"/>
      <c r="BU99" s="965"/>
      <c r="BV99" s="968"/>
      <c r="BW99" s="1050"/>
      <c r="BX99" s="968"/>
      <c r="BY99" s="1227"/>
      <c r="BZ99" s="1085"/>
      <c r="CA99" s="968"/>
      <c r="CB99" s="1060"/>
      <c r="CC99" s="965"/>
      <c r="CD99" s="965"/>
      <c r="CE99" s="965"/>
      <c r="CF99" s="965"/>
      <c r="CG99" s="965"/>
      <c r="CH99" s="965"/>
      <c r="CI99" s="965"/>
      <c r="CJ99" s="965"/>
      <c r="CK99" s="965"/>
    </row>
    <row r="100" spans="1:89" s="886" customFormat="1" ht="14.25">
      <c r="A100" s="1043"/>
      <c r="B100" s="1044"/>
      <c r="C100" s="1045"/>
      <c r="D100" s="1076"/>
      <c r="E100" s="1043"/>
      <c r="F100" s="1046"/>
      <c r="G100" s="1046"/>
      <c r="H100" s="1047"/>
      <c r="S100" s="965"/>
      <c r="T100" s="1047"/>
      <c r="U100" s="1188"/>
      <c r="V100" s="1047"/>
      <c r="W100" s="1188"/>
      <c r="X100" s="837"/>
      <c r="Y100" s="965"/>
      <c r="Z100" s="1049"/>
      <c r="AA100" s="1050"/>
      <c r="AB100" s="1049"/>
      <c r="AC100" s="1227"/>
      <c r="AD100" s="1085"/>
      <c r="AE100" s="968"/>
      <c r="AF100" s="1047"/>
      <c r="AG100" s="1046"/>
      <c r="AH100" s="1047"/>
      <c r="AI100" s="1231"/>
      <c r="AJ100" s="837"/>
      <c r="AK100" s="965"/>
      <c r="AL100" s="1049"/>
      <c r="AM100" s="1050"/>
      <c r="AN100" s="1049"/>
      <c r="AO100" s="1229"/>
      <c r="AP100" s="26"/>
      <c r="AS100" s="1046"/>
      <c r="AT100" s="1047"/>
      <c r="AU100" s="1231"/>
      <c r="AV100" s="837"/>
      <c r="AW100" s="965"/>
      <c r="AX100" s="1049"/>
      <c r="AY100" s="1050"/>
      <c r="BA100" s="1229"/>
      <c r="BB100" s="26"/>
      <c r="BC100" s="968"/>
      <c r="BD100" s="965"/>
      <c r="BE100" s="1046"/>
      <c r="BF100" s="1050"/>
      <c r="BG100" s="1234"/>
      <c r="BH100" s="1085"/>
      <c r="BK100" s="1050"/>
      <c r="BL100" s="1049"/>
      <c r="BM100" s="1227"/>
      <c r="BN100" s="1085"/>
      <c r="BO100" s="968"/>
      <c r="BP100" s="965"/>
      <c r="BQ100" s="1046"/>
      <c r="BR100" s="965"/>
      <c r="BS100" s="1231"/>
      <c r="BT100" s="837"/>
      <c r="BU100" s="965"/>
      <c r="BV100" s="968"/>
      <c r="BW100" s="1050"/>
      <c r="BX100" s="968"/>
      <c r="BY100" s="1227"/>
      <c r="BZ100" s="1085"/>
      <c r="CA100" s="968"/>
      <c r="CB100" s="1060"/>
      <c r="CC100" s="965"/>
      <c r="CD100" s="965"/>
      <c r="CE100" s="965"/>
      <c r="CF100" s="965"/>
      <c r="CG100" s="965"/>
      <c r="CH100" s="965"/>
      <c r="CI100" s="965"/>
      <c r="CJ100" s="965"/>
      <c r="CK100" s="965"/>
    </row>
    <row r="101" spans="1:89" s="886" customFormat="1" ht="14.25">
      <c r="A101" s="1043"/>
      <c r="B101" s="1044"/>
      <c r="C101" s="1045"/>
      <c r="D101" s="1076"/>
      <c r="E101" s="1043"/>
      <c r="F101" s="1046"/>
      <c r="G101" s="1046"/>
      <c r="H101" s="1047"/>
      <c r="S101" s="965"/>
      <c r="T101" s="1047"/>
      <c r="U101" s="1188"/>
      <c r="V101" s="1047"/>
      <c r="W101" s="1188"/>
      <c r="X101" s="837"/>
      <c r="Y101" s="965"/>
      <c r="Z101" s="1049"/>
      <c r="AA101" s="1050"/>
      <c r="AB101" s="1049"/>
      <c r="AC101" s="1227"/>
      <c r="AD101" s="1085"/>
      <c r="AE101" s="968"/>
      <c r="AF101" s="1047"/>
      <c r="AG101" s="1046"/>
      <c r="AH101" s="1047"/>
      <c r="AI101" s="1231"/>
      <c r="AJ101" s="837"/>
      <c r="AK101" s="965"/>
      <c r="AL101" s="1049"/>
      <c r="AM101" s="1050"/>
      <c r="AN101" s="1049"/>
      <c r="AO101" s="1229"/>
      <c r="AP101" s="26"/>
      <c r="AR101" s="1047"/>
      <c r="AS101" s="1046"/>
      <c r="AT101" s="1047"/>
      <c r="AU101" s="1231"/>
      <c r="AV101" s="837"/>
      <c r="AW101" s="965"/>
      <c r="AX101" s="1049"/>
      <c r="AY101" s="1050"/>
      <c r="BA101" s="1229"/>
      <c r="BB101" s="26"/>
      <c r="BC101" s="968"/>
      <c r="BD101" s="965"/>
      <c r="BE101" s="1046"/>
      <c r="BF101" s="1050"/>
      <c r="BG101" s="1234"/>
      <c r="BH101" s="1085"/>
      <c r="BK101" s="1050"/>
      <c r="BL101" s="1049"/>
      <c r="BM101" s="1227"/>
      <c r="BN101" s="1085"/>
      <c r="BO101" s="968"/>
      <c r="BP101" s="965"/>
      <c r="BQ101" s="1046"/>
      <c r="BR101" s="965"/>
      <c r="BS101" s="1231"/>
      <c r="BT101" s="837"/>
      <c r="BU101" s="965"/>
      <c r="BV101" s="968"/>
      <c r="BW101" s="1050"/>
      <c r="BX101" s="968"/>
      <c r="BY101" s="1227"/>
      <c r="BZ101" s="1085"/>
      <c r="CA101" s="968"/>
      <c r="CB101" s="1060"/>
      <c r="CC101" s="965"/>
      <c r="CD101" s="965"/>
      <c r="CE101" s="965"/>
      <c r="CF101" s="965"/>
      <c r="CG101" s="965"/>
      <c r="CH101" s="965"/>
      <c r="CI101" s="965"/>
      <c r="CJ101" s="965"/>
      <c r="CK101" s="965"/>
    </row>
    <row r="102" spans="1:89" s="886" customFormat="1" ht="14.25">
      <c r="A102" s="1043"/>
      <c r="B102" s="1044"/>
      <c r="C102" s="1045"/>
      <c r="D102" s="1076"/>
      <c r="E102" s="1043"/>
      <c r="F102" s="1046"/>
      <c r="G102" s="1046"/>
      <c r="H102" s="1047"/>
      <c r="S102" s="965"/>
      <c r="T102" s="1047"/>
      <c r="U102" s="1188"/>
      <c r="V102" s="1047"/>
      <c r="W102" s="1188"/>
      <c r="X102" s="837"/>
      <c r="Y102" s="965"/>
      <c r="Z102" s="1049"/>
      <c r="AA102" s="1050"/>
      <c r="AB102" s="1049"/>
      <c r="AC102" s="1227"/>
      <c r="AD102" s="1085"/>
      <c r="AE102" s="968"/>
      <c r="AF102" s="1047"/>
      <c r="AG102" s="1046"/>
      <c r="AH102" s="1047"/>
      <c r="AI102" s="1231"/>
      <c r="AJ102" s="837"/>
      <c r="AK102" s="965"/>
      <c r="AL102" s="1049"/>
      <c r="AM102" s="1050"/>
      <c r="AN102" s="1049"/>
      <c r="AO102" s="1229"/>
      <c r="AP102" s="26"/>
      <c r="AR102" s="1047"/>
      <c r="AS102" s="1046"/>
      <c r="AT102" s="1047"/>
      <c r="AU102" s="1231"/>
      <c r="AV102" s="837"/>
      <c r="AW102" s="965"/>
      <c r="AX102" s="1049"/>
      <c r="AY102" s="1050"/>
      <c r="BA102" s="1229"/>
      <c r="BB102" s="26"/>
      <c r="BC102" s="968"/>
      <c r="BD102" s="965"/>
      <c r="BE102" s="1046"/>
      <c r="BF102" s="1050"/>
      <c r="BG102" s="1234"/>
      <c r="BH102" s="1085"/>
      <c r="BK102" s="1050"/>
      <c r="BL102" s="1049"/>
      <c r="BM102" s="1227"/>
      <c r="BN102" s="1085"/>
      <c r="BO102" s="968"/>
      <c r="BP102" s="965"/>
      <c r="BQ102" s="1046"/>
      <c r="BR102" s="965"/>
      <c r="BS102" s="1231"/>
      <c r="BT102" s="837"/>
      <c r="BU102" s="965"/>
      <c r="BV102" s="968"/>
      <c r="BW102" s="1050"/>
      <c r="BX102" s="968"/>
      <c r="BY102" s="1227"/>
      <c r="BZ102" s="1085"/>
      <c r="CA102" s="968"/>
      <c r="CB102" s="1060"/>
      <c r="CC102" s="965"/>
      <c r="CD102" s="965"/>
      <c r="CE102" s="965"/>
      <c r="CF102" s="965"/>
      <c r="CG102" s="965"/>
      <c r="CH102" s="965"/>
      <c r="CI102" s="965"/>
      <c r="CJ102" s="965"/>
      <c r="CK102" s="965"/>
    </row>
    <row r="103" spans="1:89" s="886" customFormat="1" ht="14.25">
      <c r="A103" s="1043"/>
      <c r="B103" s="1044"/>
      <c r="C103" s="1045"/>
      <c r="D103" s="1076"/>
      <c r="E103" s="1043"/>
      <c r="F103" s="1046"/>
      <c r="G103" s="1046"/>
      <c r="H103" s="1047"/>
      <c r="S103" s="965"/>
      <c r="T103" s="1047"/>
      <c r="U103" s="1188"/>
      <c r="V103" s="1047"/>
      <c r="W103" s="1188"/>
      <c r="X103" s="837"/>
      <c r="Y103" s="965"/>
      <c r="Z103" s="1049"/>
      <c r="AA103" s="1050"/>
      <c r="AB103" s="1049"/>
      <c r="AC103" s="1227"/>
      <c r="AD103" s="1085"/>
      <c r="AE103" s="968"/>
      <c r="AF103" s="1047"/>
      <c r="AG103" s="1046"/>
      <c r="AH103" s="1047"/>
      <c r="AI103" s="1231"/>
      <c r="AJ103" s="837"/>
      <c r="AK103" s="965"/>
      <c r="AL103" s="1049"/>
      <c r="AM103" s="1050"/>
      <c r="AN103" s="1049"/>
      <c r="AO103" s="1229"/>
      <c r="AP103" s="26"/>
      <c r="AR103" s="1047"/>
      <c r="AS103" s="1046"/>
      <c r="AT103" s="1047"/>
      <c r="AU103" s="1231"/>
      <c r="AV103" s="837"/>
      <c r="AW103" s="965"/>
      <c r="AX103" s="1049"/>
      <c r="AY103" s="1050"/>
      <c r="BA103" s="1229"/>
      <c r="BB103" s="26"/>
      <c r="BC103" s="968"/>
      <c r="BD103" s="965"/>
      <c r="BE103" s="1046"/>
      <c r="BF103" s="1050"/>
      <c r="BG103" s="1234"/>
      <c r="BH103" s="1085"/>
      <c r="BI103" s="965"/>
      <c r="BJ103" s="968"/>
      <c r="BK103" s="1050"/>
      <c r="BL103" s="1049"/>
      <c r="BM103" s="1227"/>
      <c r="BN103" s="1085"/>
      <c r="BO103" s="968"/>
      <c r="BP103" s="965"/>
      <c r="BQ103" s="1046"/>
      <c r="BR103" s="965"/>
      <c r="BS103" s="1231"/>
      <c r="BT103" s="837"/>
      <c r="BU103" s="965"/>
      <c r="BV103" s="968"/>
      <c r="BW103" s="1050"/>
      <c r="BX103" s="968"/>
      <c r="BY103" s="1227"/>
      <c r="BZ103" s="1085"/>
      <c r="CA103" s="968"/>
      <c r="CB103" s="1060"/>
      <c r="CC103" s="965"/>
      <c r="CD103" s="965"/>
      <c r="CE103" s="965"/>
      <c r="CF103" s="965"/>
      <c r="CG103" s="965"/>
      <c r="CH103" s="965"/>
      <c r="CI103" s="965"/>
      <c r="CJ103" s="965"/>
      <c r="CK103" s="965"/>
    </row>
    <row r="104" spans="1:89" s="886" customFormat="1" ht="14.25">
      <c r="A104" s="1043"/>
      <c r="B104" s="1044"/>
      <c r="C104" s="1045"/>
      <c r="D104" s="1076"/>
      <c r="E104" s="1043"/>
      <c r="F104" s="1046"/>
      <c r="G104" s="1046"/>
      <c r="H104" s="1047"/>
      <c r="S104" s="965"/>
      <c r="T104" s="1047"/>
      <c r="U104" s="1188"/>
      <c r="V104" s="1047"/>
      <c r="W104" s="1188"/>
      <c r="X104" s="837"/>
      <c r="Y104" s="965"/>
      <c r="Z104" s="1049"/>
      <c r="AA104" s="1050"/>
      <c r="AB104" s="1049"/>
      <c r="AC104" s="1227"/>
      <c r="AD104" s="1085"/>
      <c r="AE104" s="968"/>
      <c r="AF104" s="1047"/>
      <c r="AG104" s="1046"/>
      <c r="AH104" s="1047"/>
      <c r="AI104" s="1231"/>
      <c r="AJ104" s="837"/>
      <c r="AK104" s="965"/>
      <c r="AL104" s="1049"/>
      <c r="AM104" s="1050"/>
      <c r="AN104" s="1049"/>
      <c r="AO104" s="1229"/>
      <c r="AP104" s="26"/>
      <c r="AR104" s="1047"/>
      <c r="AS104" s="1046"/>
      <c r="AT104" s="1047"/>
      <c r="AU104" s="1231"/>
      <c r="AV104" s="837"/>
      <c r="AW104" s="965"/>
      <c r="AX104" s="1049"/>
      <c r="AY104" s="1050"/>
      <c r="BA104" s="1229"/>
      <c r="BB104" s="26"/>
      <c r="BC104" s="968"/>
      <c r="BD104" s="965"/>
      <c r="BE104" s="1046"/>
      <c r="BF104" s="1047"/>
      <c r="BG104" s="1231"/>
      <c r="BH104" s="837"/>
      <c r="BI104" s="965"/>
      <c r="BJ104" s="968"/>
      <c r="BK104" s="1050"/>
      <c r="BL104" s="1049"/>
      <c r="BM104" s="1227"/>
      <c r="BN104" s="1085"/>
      <c r="BO104" s="968"/>
      <c r="BP104" s="965"/>
      <c r="BQ104" s="1046"/>
      <c r="BR104" s="965"/>
      <c r="BS104" s="1231"/>
      <c r="BT104" s="837"/>
      <c r="BU104" s="965"/>
      <c r="BV104" s="968"/>
      <c r="BW104" s="1050"/>
      <c r="BX104" s="968"/>
      <c r="BY104" s="1227"/>
      <c r="BZ104" s="1085"/>
      <c r="CA104" s="968"/>
      <c r="CB104" s="1060"/>
      <c r="CC104" s="965"/>
      <c r="CD104" s="965"/>
      <c r="CE104" s="965"/>
      <c r="CF104" s="965"/>
      <c r="CG104" s="965"/>
      <c r="CH104" s="965"/>
      <c r="CI104" s="965"/>
      <c r="CJ104" s="965"/>
      <c r="CK104" s="965"/>
    </row>
    <row r="105" spans="1:89" s="886" customFormat="1" ht="14.25">
      <c r="A105" s="1043"/>
      <c r="B105" s="1044"/>
      <c r="C105" s="1045"/>
      <c r="D105" s="1076"/>
      <c r="E105" s="1043"/>
      <c r="F105" s="1046"/>
      <c r="G105" s="1046"/>
      <c r="H105" s="1047"/>
      <c r="I105" s="1043"/>
      <c r="J105" s="1047"/>
      <c r="K105" s="1317"/>
      <c r="L105" s="1047"/>
      <c r="M105" s="1317"/>
      <c r="N105" s="1317"/>
      <c r="O105" s="965"/>
      <c r="P105" s="965"/>
      <c r="Q105" s="965"/>
      <c r="R105" s="965"/>
      <c r="S105" s="965"/>
      <c r="T105" s="1047"/>
      <c r="U105" s="1188"/>
      <c r="V105" s="1047"/>
      <c r="W105" s="1188"/>
      <c r="X105" s="837"/>
      <c r="Y105" s="965"/>
      <c r="Z105" s="1049"/>
      <c r="AA105" s="1050"/>
      <c r="AB105" s="1049"/>
      <c r="AC105" s="1227"/>
      <c r="AD105" s="1085"/>
      <c r="AE105" s="968"/>
      <c r="AF105" s="1047"/>
      <c r="AG105" s="1046"/>
      <c r="AH105" s="1047"/>
      <c r="AI105" s="1231"/>
      <c r="AJ105" s="837"/>
      <c r="AK105" s="965"/>
      <c r="AL105" s="1049"/>
      <c r="AM105" s="1050"/>
      <c r="AN105" s="1049"/>
      <c r="AO105" s="1227"/>
      <c r="AP105" s="1085"/>
      <c r="AQ105" s="968"/>
      <c r="AR105" s="1047"/>
      <c r="AS105" s="1046"/>
      <c r="AT105" s="1047"/>
      <c r="AU105" s="1231"/>
      <c r="AV105" s="837"/>
      <c r="AW105" s="965"/>
      <c r="AX105" s="1049"/>
      <c r="AY105" s="1050"/>
      <c r="AZ105" s="1049"/>
      <c r="BA105" s="1227"/>
      <c r="BB105" s="1085"/>
      <c r="BC105" s="968"/>
      <c r="BD105" s="965"/>
      <c r="BE105" s="1046"/>
      <c r="BF105" s="1047"/>
      <c r="BG105" s="1231"/>
      <c r="BH105" s="837"/>
      <c r="BI105" s="965"/>
      <c r="BJ105" s="968"/>
      <c r="BK105" s="1050"/>
      <c r="BL105" s="1049"/>
      <c r="BM105" s="1227"/>
      <c r="BN105" s="1085"/>
      <c r="BO105" s="968"/>
      <c r="BP105" s="965"/>
      <c r="BQ105" s="1046"/>
      <c r="BR105" s="965"/>
      <c r="BS105" s="1231"/>
      <c r="BT105" s="837"/>
      <c r="BU105" s="965"/>
      <c r="BV105" s="968"/>
      <c r="BW105" s="1050"/>
      <c r="BX105" s="968"/>
      <c r="BY105" s="1227"/>
      <c r="BZ105" s="1085"/>
      <c r="CA105" s="968"/>
      <c r="CB105" s="1060"/>
      <c r="CC105" s="965"/>
      <c r="CD105" s="965"/>
      <c r="CE105" s="965"/>
      <c r="CF105" s="965"/>
      <c r="CG105" s="965"/>
      <c r="CH105" s="965"/>
      <c r="CI105" s="965"/>
      <c r="CJ105" s="965"/>
      <c r="CK105" s="965"/>
    </row>
    <row r="106" spans="1:89" s="886" customFormat="1" ht="14.25">
      <c r="A106" s="1043"/>
      <c r="B106" s="1044"/>
      <c r="C106" s="1045"/>
      <c r="D106" s="1076"/>
      <c r="E106" s="1043"/>
      <c r="F106" s="1046"/>
      <c r="G106" s="1046"/>
      <c r="H106" s="1047"/>
      <c r="I106" s="1043"/>
      <c r="J106" s="1047"/>
      <c r="K106" s="1317"/>
      <c r="L106" s="1047"/>
      <c r="M106" s="1317"/>
      <c r="N106" s="1317"/>
      <c r="O106" s="965"/>
      <c r="P106" s="965"/>
      <c r="Q106" s="965"/>
      <c r="R106" s="965"/>
      <c r="S106" s="965"/>
      <c r="T106" s="1047"/>
      <c r="U106" s="1188"/>
      <c r="V106" s="1047"/>
      <c r="W106" s="1188"/>
      <c r="X106" s="837"/>
      <c r="Y106" s="965"/>
      <c r="Z106" s="1049"/>
      <c r="AA106" s="1050"/>
      <c r="AB106" s="1049"/>
      <c r="AC106" s="1227"/>
      <c r="AD106" s="1085"/>
      <c r="AE106" s="968"/>
      <c r="AF106" s="1047"/>
      <c r="AG106" s="1046"/>
      <c r="AH106" s="1047"/>
      <c r="AI106" s="1231"/>
      <c r="AJ106" s="837"/>
      <c r="AK106" s="965"/>
      <c r="AL106" s="1049"/>
      <c r="AM106" s="1050"/>
      <c r="AN106" s="1049"/>
      <c r="AO106" s="1227"/>
      <c r="AP106" s="1085"/>
      <c r="AQ106" s="968"/>
      <c r="AR106" s="1047"/>
      <c r="AS106" s="1046"/>
      <c r="AT106" s="1047"/>
      <c r="AU106" s="1231"/>
      <c r="AV106" s="837"/>
      <c r="AW106" s="965"/>
      <c r="AX106" s="1049"/>
      <c r="AY106" s="1050"/>
      <c r="AZ106" s="1049"/>
      <c r="BA106" s="1227"/>
      <c r="BB106" s="1085"/>
      <c r="BC106" s="968"/>
      <c r="BD106" s="965"/>
      <c r="BE106" s="1046"/>
      <c r="BF106" s="1047"/>
      <c r="BG106" s="1231"/>
      <c r="BH106" s="837"/>
      <c r="BI106" s="965"/>
      <c r="BJ106" s="968"/>
      <c r="BK106" s="1050"/>
      <c r="BL106" s="1049"/>
      <c r="BM106" s="1227"/>
      <c r="BN106" s="1085"/>
      <c r="BO106" s="968"/>
      <c r="BP106" s="965"/>
      <c r="BQ106" s="1046"/>
      <c r="BR106" s="965"/>
      <c r="BS106" s="1231"/>
      <c r="BT106" s="837"/>
      <c r="BU106" s="965"/>
      <c r="BV106" s="968"/>
      <c r="BW106" s="1050"/>
      <c r="BX106" s="968"/>
      <c r="BY106" s="1227"/>
      <c r="BZ106" s="1085"/>
      <c r="CA106" s="968"/>
      <c r="CB106" s="1060"/>
      <c r="CC106" s="965"/>
      <c r="CD106" s="965"/>
      <c r="CE106" s="965"/>
      <c r="CF106" s="965"/>
      <c r="CG106" s="965"/>
      <c r="CH106" s="965"/>
      <c r="CI106" s="965"/>
      <c r="CJ106" s="965"/>
      <c r="CK106" s="965"/>
    </row>
    <row r="107" spans="1:89" s="886" customFormat="1" ht="14.25">
      <c r="A107" s="1043"/>
      <c r="B107" s="1044"/>
      <c r="C107" s="1045"/>
      <c r="D107" s="1076"/>
      <c r="E107" s="1043"/>
      <c r="F107" s="1046"/>
      <c r="G107" s="1046"/>
      <c r="H107" s="1047"/>
      <c r="I107" s="1043"/>
      <c r="J107" s="1047"/>
      <c r="K107" s="1317"/>
      <c r="L107" s="1047"/>
      <c r="M107" s="1317"/>
      <c r="N107" s="1317"/>
      <c r="O107" s="965"/>
      <c r="P107" s="965"/>
      <c r="Q107" s="965"/>
      <c r="R107" s="965"/>
      <c r="S107" s="965"/>
      <c r="T107" s="1047"/>
      <c r="U107" s="1188"/>
      <c r="V107" s="1047"/>
      <c r="W107" s="1188"/>
      <c r="X107" s="837"/>
      <c r="Y107" s="965"/>
      <c r="Z107" s="1049"/>
      <c r="AA107" s="1050"/>
      <c r="AB107" s="1049"/>
      <c r="AC107" s="1227"/>
      <c r="AD107" s="1085"/>
      <c r="AE107" s="968"/>
      <c r="AF107" s="1047"/>
      <c r="AG107" s="1046"/>
      <c r="AH107" s="1047"/>
      <c r="AI107" s="1231"/>
      <c r="AJ107" s="837"/>
      <c r="AK107" s="965"/>
      <c r="AL107" s="1049"/>
      <c r="AM107" s="1050"/>
      <c r="AN107" s="1049"/>
      <c r="AO107" s="1227"/>
      <c r="AP107" s="1085"/>
      <c r="AQ107" s="968"/>
      <c r="AR107" s="1047"/>
      <c r="AS107" s="1046"/>
      <c r="AT107" s="1047"/>
      <c r="AU107" s="1231"/>
      <c r="AV107" s="837"/>
      <c r="AW107" s="965"/>
      <c r="AX107" s="1049"/>
      <c r="AY107" s="1050"/>
      <c r="AZ107" s="1049"/>
      <c r="BA107" s="1227"/>
      <c r="BB107" s="1085"/>
      <c r="BC107" s="968"/>
      <c r="BD107" s="965"/>
      <c r="BE107" s="1046"/>
      <c r="BF107" s="1047"/>
      <c r="BG107" s="1231"/>
      <c r="BH107" s="837"/>
      <c r="BI107" s="965"/>
      <c r="BJ107" s="968"/>
      <c r="BK107" s="1050"/>
      <c r="BL107" s="1049"/>
      <c r="BM107" s="1227"/>
      <c r="BN107" s="1085"/>
      <c r="BO107" s="968"/>
      <c r="BP107" s="965"/>
      <c r="BQ107" s="1046"/>
      <c r="BR107" s="965"/>
      <c r="BS107" s="1231"/>
      <c r="BT107" s="837"/>
      <c r="BU107" s="965"/>
      <c r="BV107" s="968"/>
      <c r="BW107" s="1050"/>
      <c r="BX107" s="968"/>
      <c r="BY107" s="1227"/>
      <c r="BZ107" s="1085"/>
      <c r="CA107" s="968"/>
      <c r="CB107" s="1060"/>
      <c r="CC107" s="965"/>
      <c r="CD107" s="965"/>
      <c r="CE107" s="965"/>
      <c r="CF107" s="965"/>
      <c r="CG107" s="965"/>
      <c r="CH107" s="965"/>
      <c r="CI107" s="965"/>
      <c r="CJ107" s="965"/>
      <c r="CK107" s="965"/>
    </row>
    <row r="108" spans="1:89" s="886" customFormat="1" ht="14.25">
      <c r="A108" s="1043"/>
      <c r="B108" s="1044"/>
      <c r="C108" s="1045"/>
      <c r="D108" s="1076"/>
      <c r="E108" s="1043"/>
      <c r="F108" s="1046"/>
      <c r="G108" s="1046"/>
      <c r="H108" s="1047"/>
      <c r="I108" s="1043"/>
      <c r="J108" s="1047"/>
      <c r="K108" s="1317"/>
      <c r="L108" s="1047"/>
      <c r="M108" s="1317"/>
      <c r="N108" s="1317"/>
      <c r="O108" s="965"/>
      <c r="P108" s="965"/>
      <c r="Q108" s="965"/>
      <c r="R108" s="965"/>
      <c r="S108" s="965"/>
      <c r="T108" s="1047"/>
      <c r="U108" s="1188"/>
      <c r="V108" s="1047"/>
      <c r="W108" s="1188"/>
      <c r="X108" s="837"/>
      <c r="Y108" s="965"/>
      <c r="Z108" s="1049"/>
      <c r="AA108" s="1050"/>
      <c r="AB108" s="1049"/>
      <c r="AC108" s="1227"/>
      <c r="AD108" s="1085"/>
      <c r="AE108" s="968"/>
      <c r="AF108" s="1047"/>
      <c r="AG108" s="1046"/>
      <c r="AH108" s="1047"/>
      <c r="AI108" s="1231"/>
      <c r="AJ108" s="837"/>
      <c r="AK108" s="965"/>
      <c r="AL108" s="1049"/>
      <c r="AM108" s="1050"/>
      <c r="AN108" s="1049"/>
      <c r="AO108" s="1227"/>
      <c r="AP108" s="1085"/>
      <c r="AQ108" s="968"/>
      <c r="AR108" s="1047"/>
      <c r="AS108" s="1046"/>
      <c r="AT108" s="1047"/>
      <c r="AU108" s="1231"/>
      <c r="AV108" s="837"/>
      <c r="AW108" s="965"/>
      <c r="AX108" s="1049"/>
      <c r="AY108" s="1050"/>
      <c r="AZ108" s="1049"/>
      <c r="BA108" s="1227"/>
      <c r="BB108" s="1085"/>
      <c r="BC108" s="968"/>
      <c r="BD108" s="965"/>
      <c r="BE108" s="1046"/>
      <c r="BF108" s="1047"/>
      <c r="BG108" s="1231"/>
      <c r="BH108" s="837"/>
      <c r="BI108" s="965"/>
      <c r="BJ108" s="968"/>
      <c r="BK108" s="1050"/>
      <c r="BL108" s="1049"/>
      <c r="BM108" s="1227"/>
      <c r="BN108" s="1085"/>
      <c r="BO108" s="968"/>
      <c r="BP108" s="965"/>
      <c r="BQ108" s="1046"/>
      <c r="BR108" s="965"/>
      <c r="BS108" s="1231"/>
      <c r="BT108" s="837"/>
      <c r="BU108" s="965"/>
      <c r="BV108" s="968"/>
      <c r="BW108" s="1050"/>
      <c r="BX108" s="968"/>
      <c r="BY108" s="1227"/>
      <c r="BZ108" s="1085"/>
      <c r="CA108" s="968"/>
      <c r="CB108" s="1060"/>
      <c r="CC108" s="965"/>
      <c r="CD108" s="965"/>
      <c r="CE108" s="965"/>
      <c r="CF108" s="965"/>
      <c r="CG108" s="965"/>
      <c r="CH108" s="965"/>
      <c r="CI108" s="965"/>
      <c r="CJ108" s="965"/>
      <c r="CK108" s="965"/>
    </row>
    <row r="109" spans="1:89" s="886" customFormat="1" ht="14.25">
      <c r="A109" s="1043"/>
      <c r="B109" s="1044"/>
      <c r="C109" s="1045"/>
      <c r="D109" s="1076"/>
      <c r="E109" s="1043"/>
      <c r="F109" s="1046"/>
      <c r="G109" s="1046"/>
      <c r="H109" s="1047"/>
      <c r="I109" s="1043"/>
      <c r="J109" s="1047"/>
      <c r="K109" s="1317"/>
      <c r="L109" s="1047"/>
      <c r="M109" s="1317"/>
      <c r="N109" s="1317"/>
      <c r="O109" s="965"/>
      <c r="P109" s="965"/>
      <c r="Q109" s="965"/>
      <c r="R109" s="965"/>
      <c r="S109" s="965"/>
      <c r="T109" s="1047"/>
      <c r="U109" s="1188"/>
      <c r="V109" s="1047"/>
      <c r="W109" s="1188"/>
      <c r="X109" s="837"/>
      <c r="Y109" s="965"/>
      <c r="Z109" s="1049"/>
      <c r="AA109" s="1050"/>
      <c r="AB109" s="1049"/>
      <c r="AC109" s="1227"/>
      <c r="AD109" s="1085"/>
      <c r="AE109" s="968"/>
      <c r="AF109" s="1047"/>
      <c r="AG109" s="1046"/>
      <c r="AH109" s="1047"/>
      <c r="AI109" s="1231"/>
      <c r="AJ109" s="837"/>
      <c r="AK109" s="965"/>
      <c r="AL109" s="1049"/>
      <c r="AM109" s="1050"/>
      <c r="AN109" s="1049"/>
      <c r="AO109" s="1227"/>
      <c r="AP109" s="1085"/>
      <c r="AQ109" s="968"/>
      <c r="AR109" s="1047"/>
      <c r="AS109" s="1046"/>
      <c r="AT109" s="1047"/>
      <c r="AU109" s="1231"/>
      <c r="AV109" s="837"/>
      <c r="AW109" s="965"/>
      <c r="AX109" s="1049"/>
      <c r="AY109" s="1050"/>
      <c r="AZ109" s="1049"/>
      <c r="BA109" s="1227"/>
      <c r="BB109" s="1085"/>
      <c r="BC109" s="968"/>
      <c r="BD109" s="965"/>
      <c r="BE109" s="1046"/>
      <c r="BF109" s="1047"/>
      <c r="BG109" s="1231"/>
      <c r="BH109" s="837"/>
      <c r="BI109" s="965"/>
      <c r="BJ109" s="968"/>
      <c r="BK109" s="1050"/>
      <c r="BL109" s="1049"/>
      <c r="BM109" s="1227"/>
      <c r="BN109" s="1085"/>
      <c r="BO109" s="968"/>
      <c r="BP109" s="965"/>
      <c r="BQ109" s="1046"/>
      <c r="BR109" s="965"/>
      <c r="BS109" s="1231"/>
      <c r="BT109" s="837"/>
      <c r="BU109" s="965"/>
      <c r="BV109" s="968"/>
      <c r="BW109" s="1050"/>
      <c r="BX109" s="968"/>
      <c r="BY109" s="1227"/>
      <c r="BZ109" s="1085"/>
      <c r="CA109" s="968"/>
      <c r="CB109" s="1060"/>
      <c r="CC109" s="965"/>
      <c r="CD109" s="965"/>
      <c r="CE109" s="965"/>
      <c r="CF109" s="965"/>
      <c r="CG109" s="965"/>
      <c r="CH109" s="965"/>
      <c r="CI109" s="965"/>
      <c r="CJ109" s="965"/>
      <c r="CK109" s="965"/>
    </row>
    <row r="110" spans="1:89" s="886" customFormat="1" ht="14.25">
      <c r="A110" s="1043"/>
      <c r="B110" s="1044"/>
      <c r="C110" s="1045"/>
      <c r="D110" s="1076"/>
      <c r="E110" s="1043"/>
      <c r="F110" s="1046"/>
      <c r="G110" s="1046"/>
      <c r="H110" s="1047"/>
      <c r="I110" s="1043"/>
      <c r="J110" s="1047"/>
      <c r="K110" s="1317"/>
      <c r="L110" s="1047"/>
      <c r="M110" s="1317"/>
      <c r="N110" s="1317"/>
      <c r="O110" s="965"/>
      <c r="P110" s="965"/>
      <c r="Q110" s="965"/>
      <c r="R110" s="965"/>
      <c r="S110" s="965"/>
      <c r="T110" s="1047"/>
      <c r="U110" s="1188"/>
      <c r="V110" s="1047"/>
      <c r="W110" s="1188"/>
      <c r="X110" s="837"/>
      <c r="Y110" s="965"/>
      <c r="Z110" s="1049"/>
      <c r="AA110" s="1050"/>
      <c r="AB110" s="1049"/>
      <c r="AC110" s="1227"/>
      <c r="AD110" s="1085"/>
      <c r="AE110" s="968"/>
      <c r="AF110" s="1047"/>
      <c r="AG110" s="1046"/>
      <c r="AH110" s="1047"/>
      <c r="AI110" s="1231"/>
      <c r="AJ110" s="837"/>
      <c r="AK110" s="965"/>
      <c r="AL110" s="1049"/>
      <c r="AM110" s="1050"/>
      <c r="AN110" s="1049"/>
      <c r="AO110" s="1227"/>
      <c r="AP110" s="1085"/>
      <c r="AQ110" s="968"/>
      <c r="AR110" s="1047"/>
      <c r="AS110" s="1046"/>
      <c r="AT110" s="1047"/>
      <c r="AU110" s="1231"/>
      <c r="AV110" s="837"/>
      <c r="AW110" s="965"/>
      <c r="AX110" s="1049"/>
      <c r="AY110" s="1050"/>
      <c r="AZ110" s="1049"/>
      <c r="BA110" s="1227"/>
      <c r="BB110" s="1085"/>
      <c r="BC110" s="968"/>
      <c r="BD110" s="965"/>
      <c r="BE110" s="1046"/>
      <c r="BF110" s="1047"/>
      <c r="BG110" s="1231"/>
      <c r="BH110" s="837"/>
      <c r="BI110" s="965"/>
      <c r="BJ110" s="968"/>
      <c r="BK110" s="1050"/>
      <c r="BL110" s="1049"/>
      <c r="BM110" s="1227"/>
      <c r="BN110" s="1085"/>
      <c r="BO110" s="968"/>
      <c r="BP110" s="965"/>
      <c r="BQ110" s="1046"/>
      <c r="BR110" s="965"/>
      <c r="BS110" s="1231"/>
      <c r="BT110" s="837"/>
      <c r="BU110" s="965"/>
      <c r="BV110" s="968"/>
      <c r="BW110" s="1050"/>
      <c r="BX110" s="968"/>
      <c r="BY110" s="1227"/>
      <c r="BZ110" s="1085"/>
      <c r="CA110" s="968"/>
      <c r="CB110" s="1060"/>
      <c r="CC110" s="965"/>
      <c r="CD110" s="965"/>
      <c r="CE110" s="965"/>
      <c r="CF110" s="965"/>
      <c r="CG110" s="965"/>
      <c r="CH110" s="965"/>
      <c r="CI110" s="965"/>
      <c r="CJ110" s="965"/>
      <c r="CK110" s="965"/>
    </row>
    <row r="111" spans="1:89" s="886" customFormat="1" ht="14.25">
      <c r="A111" s="1043"/>
      <c r="B111" s="1044"/>
      <c r="C111" s="1045"/>
      <c r="D111" s="1076"/>
      <c r="E111" s="1043"/>
      <c r="F111" s="1046"/>
      <c r="G111" s="1046"/>
      <c r="H111" s="1047"/>
      <c r="I111" s="1043"/>
      <c r="J111" s="1047"/>
      <c r="K111" s="1317"/>
      <c r="L111" s="1047"/>
      <c r="M111" s="1317"/>
      <c r="N111" s="1317"/>
      <c r="O111" s="965"/>
      <c r="P111" s="965"/>
      <c r="Q111" s="965"/>
      <c r="R111" s="965"/>
      <c r="S111" s="965"/>
      <c r="T111" s="1047"/>
      <c r="U111" s="1188"/>
      <c r="V111" s="1047"/>
      <c r="W111" s="1188"/>
      <c r="X111" s="837"/>
      <c r="Y111" s="965"/>
      <c r="Z111" s="1049"/>
      <c r="AA111" s="1050"/>
      <c r="AB111" s="1049"/>
      <c r="AC111" s="1227"/>
      <c r="AD111" s="1085"/>
      <c r="AE111" s="968"/>
      <c r="AF111" s="1047"/>
      <c r="AG111" s="1046"/>
      <c r="AH111" s="1047"/>
      <c r="AI111" s="1231"/>
      <c r="AJ111" s="837"/>
      <c r="AK111" s="965"/>
      <c r="AL111" s="1049"/>
      <c r="AM111" s="1050"/>
      <c r="AN111" s="1049"/>
      <c r="AO111" s="1227"/>
      <c r="AP111" s="1085"/>
      <c r="AQ111" s="968"/>
      <c r="AR111" s="1047"/>
      <c r="AS111" s="1046"/>
      <c r="AT111" s="1047"/>
      <c r="AU111" s="1231"/>
      <c r="AV111" s="837"/>
      <c r="AW111" s="965"/>
      <c r="AX111" s="1049"/>
      <c r="AY111" s="1050"/>
      <c r="AZ111" s="1049"/>
      <c r="BA111" s="1227"/>
      <c r="BB111" s="1085"/>
      <c r="BC111" s="968"/>
      <c r="BD111" s="965"/>
      <c r="BE111" s="1046"/>
      <c r="BF111" s="1047"/>
      <c r="BG111" s="1231"/>
      <c r="BH111" s="837"/>
      <c r="BI111" s="965"/>
      <c r="BJ111" s="968"/>
      <c r="BK111" s="1050"/>
      <c r="BL111" s="1049"/>
      <c r="BM111" s="1227"/>
      <c r="BN111" s="1085"/>
      <c r="BO111" s="968"/>
      <c r="BP111" s="965"/>
      <c r="BQ111" s="1046"/>
      <c r="BR111" s="965"/>
      <c r="BS111" s="1231"/>
      <c r="BT111" s="837"/>
      <c r="BU111" s="965"/>
      <c r="BV111" s="968"/>
      <c r="BW111" s="1050"/>
      <c r="BX111" s="968"/>
      <c r="BY111" s="1227"/>
      <c r="BZ111" s="1085"/>
      <c r="CA111" s="968"/>
      <c r="CB111" s="1060"/>
      <c r="CC111" s="965"/>
      <c r="CD111" s="965"/>
      <c r="CE111" s="965"/>
      <c r="CF111" s="965"/>
      <c r="CG111" s="965"/>
      <c r="CH111" s="965"/>
      <c r="CI111" s="965"/>
      <c r="CJ111" s="965"/>
      <c r="CK111" s="965"/>
    </row>
    <row r="112" spans="1:89" s="886" customFormat="1" ht="14.25">
      <c r="A112" s="1043"/>
      <c r="B112" s="1044"/>
      <c r="C112" s="1045"/>
      <c r="D112" s="1076"/>
      <c r="E112" s="1043"/>
      <c r="F112" s="1046"/>
      <c r="G112" s="1046"/>
      <c r="H112" s="1047"/>
      <c r="I112" s="1043"/>
      <c r="J112" s="1047"/>
      <c r="K112" s="1317"/>
      <c r="L112" s="1047"/>
      <c r="M112" s="1317"/>
      <c r="N112" s="1317"/>
      <c r="O112" s="965"/>
      <c r="P112" s="965"/>
      <c r="Q112" s="965"/>
      <c r="R112" s="965"/>
      <c r="S112" s="965"/>
      <c r="T112" s="1047"/>
      <c r="U112" s="1188"/>
      <c r="V112" s="1047"/>
      <c r="W112" s="1188"/>
      <c r="X112" s="837"/>
      <c r="Y112" s="965"/>
      <c r="Z112" s="1049"/>
      <c r="AA112" s="1050"/>
      <c r="AB112" s="1049"/>
      <c r="AC112" s="1227"/>
      <c r="AD112" s="1085"/>
      <c r="AE112" s="968"/>
      <c r="AF112" s="1047"/>
      <c r="AG112" s="1046"/>
      <c r="AH112" s="1047"/>
      <c r="AI112" s="1231"/>
      <c r="AJ112" s="837"/>
      <c r="AK112" s="965"/>
      <c r="AL112" s="1049"/>
      <c r="AM112" s="1050"/>
      <c r="AN112" s="1049"/>
      <c r="AO112" s="1227"/>
      <c r="AP112" s="1085"/>
      <c r="AQ112" s="968"/>
      <c r="AR112" s="1047"/>
      <c r="AS112" s="1046"/>
      <c r="AT112" s="1047"/>
      <c r="AU112" s="1231"/>
      <c r="AV112" s="837"/>
      <c r="AW112" s="965"/>
      <c r="AX112" s="1049"/>
      <c r="AY112" s="1050"/>
      <c r="AZ112" s="1049"/>
      <c r="BA112" s="1227"/>
      <c r="BB112" s="1085"/>
      <c r="BC112" s="968"/>
      <c r="BD112" s="965"/>
      <c r="BE112" s="1046"/>
      <c r="BF112" s="1047"/>
      <c r="BG112" s="1231"/>
      <c r="BH112" s="837"/>
      <c r="BI112" s="965"/>
      <c r="BJ112" s="968"/>
      <c r="BK112" s="1050"/>
      <c r="BL112" s="1049"/>
      <c r="BM112" s="1227"/>
      <c r="BN112" s="1085"/>
      <c r="BO112" s="968"/>
      <c r="BP112" s="965"/>
      <c r="BQ112" s="1046"/>
      <c r="BR112" s="965"/>
      <c r="BS112" s="1231"/>
      <c r="BT112" s="837"/>
      <c r="BU112" s="965"/>
      <c r="BV112" s="968"/>
      <c r="BW112" s="1050"/>
      <c r="BX112" s="968"/>
      <c r="BY112" s="1227"/>
      <c r="BZ112" s="1085"/>
      <c r="CA112" s="968"/>
      <c r="CB112" s="1060"/>
      <c r="CC112" s="965"/>
      <c r="CD112" s="965"/>
      <c r="CE112" s="965"/>
      <c r="CF112" s="965"/>
      <c r="CG112" s="965"/>
      <c r="CH112" s="965"/>
      <c r="CI112" s="965"/>
      <c r="CJ112" s="965"/>
      <c r="CK112" s="965"/>
    </row>
    <row r="113" spans="1:89" s="886" customFormat="1" ht="14.25">
      <c r="A113" s="1043"/>
      <c r="B113" s="1044"/>
      <c r="C113" s="1045"/>
      <c r="D113" s="1076"/>
      <c r="E113" s="1043"/>
      <c r="F113" s="1046"/>
      <c r="G113" s="1046"/>
      <c r="H113" s="1047"/>
      <c r="I113" s="1043"/>
      <c r="J113" s="1047"/>
      <c r="K113" s="1317"/>
      <c r="L113" s="1047"/>
      <c r="M113" s="1317"/>
      <c r="N113" s="1317"/>
      <c r="O113" s="965"/>
      <c r="P113" s="965"/>
      <c r="Q113" s="965"/>
      <c r="R113" s="965"/>
      <c r="S113" s="965"/>
      <c r="T113" s="1047"/>
      <c r="U113" s="1188"/>
      <c r="V113" s="1047"/>
      <c r="W113" s="1188"/>
      <c r="X113" s="837"/>
      <c r="Y113" s="965"/>
      <c r="Z113" s="1049"/>
      <c r="AA113" s="1050"/>
      <c r="AB113" s="1049"/>
      <c r="AC113" s="1227"/>
      <c r="AD113" s="1085"/>
      <c r="AE113" s="968"/>
      <c r="AF113" s="1047"/>
      <c r="AG113" s="1046"/>
      <c r="AH113" s="1047"/>
      <c r="AI113" s="1231"/>
      <c r="AJ113" s="837"/>
      <c r="AK113" s="965"/>
      <c r="AL113" s="1049"/>
      <c r="AM113" s="1050"/>
      <c r="AN113" s="1049"/>
      <c r="AO113" s="1227"/>
      <c r="AP113" s="1085"/>
      <c r="AQ113" s="968"/>
      <c r="AR113" s="1047"/>
      <c r="AS113" s="1046"/>
      <c r="AT113" s="1047"/>
      <c r="AU113" s="1231"/>
      <c r="AV113" s="837"/>
      <c r="AW113" s="965"/>
      <c r="AX113" s="1049"/>
      <c r="AY113" s="1050"/>
      <c r="AZ113" s="1049"/>
      <c r="BA113" s="1227"/>
      <c r="BB113" s="1085"/>
      <c r="BC113" s="968"/>
      <c r="BD113" s="965"/>
      <c r="BE113" s="1046"/>
      <c r="BF113" s="1047"/>
      <c r="BG113" s="1231"/>
      <c r="BH113" s="837"/>
      <c r="BI113" s="965"/>
      <c r="BJ113" s="968"/>
      <c r="BK113" s="1050"/>
      <c r="BL113" s="1049"/>
      <c r="BM113" s="1227"/>
      <c r="BN113" s="1085"/>
      <c r="BO113" s="968"/>
      <c r="BP113" s="965"/>
      <c r="BQ113" s="1046"/>
      <c r="BR113" s="965"/>
      <c r="BS113" s="1231"/>
      <c r="BT113" s="837"/>
      <c r="BU113" s="965"/>
      <c r="BV113" s="968"/>
      <c r="BW113" s="1050"/>
      <c r="BX113" s="968"/>
      <c r="BY113" s="1227"/>
      <c r="BZ113" s="1085"/>
      <c r="CA113" s="968"/>
      <c r="CB113" s="1060"/>
      <c r="CC113" s="965"/>
      <c r="CD113" s="965"/>
      <c r="CE113" s="965"/>
      <c r="CF113" s="965"/>
      <c r="CG113" s="965"/>
      <c r="CH113" s="965"/>
      <c r="CI113" s="965"/>
      <c r="CJ113" s="965"/>
      <c r="CK113" s="965"/>
    </row>
    <row r="114" spans="1:89" s="886" customFormat="1" ht="14.25">
      <c r="A114" s="1043"/>
      <c r="B114" s="1044"/>
      <c r="C114" s="1045"/>
      <c r="D114" s="1076"/>
      <c r="E114" s="1043"/>
      <c r="F114" s="1046"/>
      <c r="G114" s="1046"/>
      <c r="H114" s="1047"/>
      <c r="I114" s="1043"/>
      <c r="J114" s="1047"/>
      <c r="K114" s="1317"/>
      <c r="L114" s="1047"/>
      <c r="M114" s="1317"/>
      <c r="N114" s="1317"/>
      <c r="O114" s="965"/>
      <c r="P114" s="965"/>
      <c r="Q114" s="965"/>
      <c r="R114" s="965"/>
      <c r="S114" s="965"/>
      <c r="T114" s="1047"/>
      <c r="U114" s="1188"/>
      <c r="V114" s="1047"/>
      <c r="W114" s="1188"/>
      <c r="X114" s="837"/>
      <c r="Y114" s="965"/>
      <c r="Z114" s="1049"/>
      <c r="AA114" s="1050"/>
      <c r="AB114" s="1049"/>
      <c r="AC114" s="1227"/>
      <c r="AD114" s="1085"/>
      <c r="AE114" s="968"/>
      <c r="AF114" s="1047"/>
      <c r="AG114" s="1046"/>
      <c r="AH114" s="1047"/>
      <c r="AI114" s="1231"/>
      <c r="AJ114" s="837"/>
      <c r="AK114" s="965"/>
      <c r="AL114" s="1049"/>
      <c r="AM114" s="1050"/>
      <c r="AN114" s="1049"/>
      <c r="AO114" s="1227"/>
      <c r="AP114" s="1085"/>
      <c r="AQ114" s="968"/>
      <c r="AR114" s="1047"/>
      <c r="AS114" s="1046"/>
      <c r="AT114" s="1047"/>
      <c r="AU114" s="1231"/>
      <c r="AV114" s="837"/>
      <c r="AW114" s="965"/>
      <c r="AX114" s="1049"/>
      <c r="AY114" s="1050"/>
      <c r="AZ114" s="1049"/>
      <c r="BA114" s="1227"/>
      <c r="BB114" s="1085"/>
      <c r="BC114" s="968"/>
      <c r="BD114" s="965"/>
      <c r="BE114" s="1046"/>
      <c r="BF114" s="1047"/>
      <c r="BG114" s="1231"/>
      <c r="BH114" s="837"/>
      <c r="BI114" s="965"/>
      <c r="BJ114" s="968"/>
      <c r="BK114" s="1050"/>
      <c r="BL114" s="1049"/>
      <c r="BM114" s="1227"/>
      <c r="BN114" s="1085"/>
      <c r="BO114" s="968"/>
      <c r="BP114" s="965"/>
      <c r="BQ114" s="1046"/>
      <c r="BR114" s="965"/>
      <c r="BS114" s="1231"/>
      <c r="BT114" s="837"/>
      <c r="BU114" s="965"/>
      <c r="BV114" s="968"/>
      <c r="BW114" s="1050"/>
      <c r="BX114" s="968"/>
      <c r="BY114" s="1227"/>
      <c r="BZ114" s="1085"/>
      <c r="CA114" s="968"/>
      <c r="CB114" s="1060"/>
      <c r="CC114" s="965"/>
      <c r="CD114" s="965"/>
      <c r="CE114" s="965"/>
      <c r="CF114" s="965"/>
      <c r="CG114" s="965"/>
      <c r="CH114" s="965"/>
      <c r="CI114" s="965"/>
      <c r="CJ114" s="965"/>
      <c r="CK114" s="965"/>
    </row>
    <row r="115" spans="1:89" s="886" customFormat="1" ht="14.25">
      <c r="A115" s="1043"/>
      <c r="B115" s="1044"/>
      <c r="C115" s="1045"/>
      <c r="D115" s="1076"/>
      <c r="E115" s="1043"/>
      <c r="F115" s="1046"/>
      <c r="G115" s="1046"/>
      <c r="H115" s="1047"/>
      <c r="I115" s="1043"/>
      <c r="J115" s="1047"/>
      <c r="K115" s="1317"/>
      <c r="L115" s="1047"/>
      <c r="M115" s="1317"/>
      <c r="N115" s="1317"/>
      <c r="O115" s="965"/>
      <c r="P115" s="965"/>
      <c r="Q115" s="965"/>
      <c r="R115" s="965"/>
      <c r="S115" s="965"/>
      <c r="T115" s="1047"/>
      <c r="U115" s="1188"/>
      <c r="V115" s="1047"/>
      <c r="W115" s="1188"/>
      <c r="X115" s="837"/>
      <c r="Y115" s="965"/>
      <c r="Z115" s="1049"/>
      <c r="AA115" s="1050"/>
      <c r="AB115" s="1049"/>
      <c r="AC115" s="1227"/>
      <c r="AD115" s="1085"/>
      <c r="AE115" s="968"/>
      <c r="AF115" s="1047"/>
      <c r="AG115" s="1046"/>
      <c r="AH115" s="1047"/>
      <c r="AI115" s="1231"/>
      <c r="AJ115" s="837"/>
      <c r="AK115" s="965"/>
      <c r="AL115" s="1049"/>
      <c r="AM115" s="1050"/>
      <c r="AN115" s="1049"/>
      <c r="AO115" s="1227"/>
      <c r="AP115" s="1085"/>
      <c r="AQ115" s="968"/>
      <c r="AR115" s="1047"/>
      <c r="AS115" s="1046"/>
      <c r="AT115" s="1047"/>
      <c r="AU115" s="1231"/>
      <c r="AV115" s="837"/>
      <c r="AW115" s="965"/>
      <c r="AX115" s="1049"/>
      <c r="AY115" s="1050"/>
      <c r="AZ115" s="1049"/>
      <c r="BA115" s="1227"/>
      <c r="BB115" s="1085"/>
      <c r="BC115" s="968"/>
      <c r="BD115" s="965"/>
      <c r="BE115" s="1046"/>
      <c r="BF115" s="1047"/>
      <c r="BG115" s="1231"/>
      <c r="BH115" s="837"/>
      <c r="BI115" s="965"/>
      <c r="BJ115" s="968"/>
      <c r="BK115" s="1050"/>
      <c r="BL115" s="1049"/>
      <c r="BM115" s="1227"/>
      <c r="BN115" s="1085"/>
      <c r="BO115" s="968"/>
      <c r="BP115" s="965"/>
      <c r="BQ115" s="1046"/>
      <c r="BR115" s="965"/>
      <c r="BS115" s="1231"/>
      <c r="BT115" s="837"/>
      <c r="BU115" s="965"/>
      <c r="BV115" s="968"/>
      <c r="BW115" s="1050"/>
      <c r="BX115" s="968"/>
      <c r="BY115" s="1227"/>
      <c r="BZ115" s="1085"/>
      <c r="CA115" s="968"/>
      <c r="CB115" s="1060"/>
      <c r="CC115" s="965"/>
      <c r="CD115" s="965"/>
      <c r="CE115" s="965"/>
      <c r="CF115" s="965"/>
      <c r="CG115" s="965"/>
      <c r="CH115" s="965"/>
      <c r="CI115" s="965"/>
      <c r="CJ115" s="965"/>
      <c r="CK115" s="965"/>
    </row>
    <row r="116" spans="1:89" s="886" customFormat="1" ht="14.25">
      <c r="A116" s="1043"/>
      <c r="B116" s="1044"/>
      <c r="C116" s="1045"/>
      <c r="D116" s="1076"/>
      <c r="E116" s="1043"/>
      <c r="F116" s="1046"/>
      <c r="G116" s="1046"/>
      <c r="H116" s="1047"/>
      <c r="I116" s="1043"/>
      <c r="J116" s="1047"/>
      <c r="K116" s="1317"/>
      <c r="L116" s="1047"/>
      <c r="M116" s="1317"/>
      <c r="N116" s="1317"/>
      <c r="O116" s="965"/>
      <c r="P116" s="965"/>
      <c r="Q116" s="965"/>
      <c r="R116" s="965"/>
      <c r="S116" s="965"/>
      <c r="T116" s="1047"/>
      <c r="U116" s="1188"/>
      <c r="V116" s="1047"/>
      <c r="W116" s="1188"/>
      <c r="X116" s="837"/>
      <c r="Y116" s="965"/>
      <c r="Z116" s="1049"/>
      <c r="AA116" s="1050"/>
      <c r="AB116" s="1049"/>
      <c r="AC116" s="1227"/>
      <c r="AD116" s="1085"/>
      <c r="AE116" s="968"/>
      <c r="AF116" s="1047"/>
      <c r="AG116" s="1046"/>
      <c r="AH116" s="1047"/>
      <c r="AI116" s="1231"/>
      <c r="AJ116" s="837"/>
      <c r="AK116" s="965"/>
      <c r="AL116" s="1049"/>
      <c r="AM116" s="1050"/>
      <c r="AN116" s="1049"/>
      <c r="AO116" s="1227"/>
      <c r="AP116" s="1085"/>
      <c r="AQ116" s="968"/>
      <c r="AR116" s="1047"/>
      <c r="AS116" s="1046"/>
      <c r="AT116" s="1047"/>
      <c r="AU116" s="1231"/>
      <c r="AV116" s="837"/>
      <c r="AW116" s="965"/>
      <c r="AX116" s="1049"/>
      <c r="AY116" s="1050"/>
      <c r="AZ116" s="1049"/>
      <c r="BA116" s="1227"/>
      <c r="BB116" s="1085"/>
      <c r="BC116" s="968"/>
      <c r="BD116" s="965"/>
      <c r="BE116" s="1046"/>
      <c r="BF116" s="1047"/>
      <c r="BG116" s="1231"/>
      <c r="BH116" s="837"/>
      <c r="BI116" s="965"/>
      <c r="BJ116" s="968"/>
      <c r="BK116" s="1050"/>
      <c r="BL116" s="1049"/>
      <c r="BM116" s="1227"/>
      <c r="BN116" s="1085"/>
      <c r="BO116" s="968"/>
      <c r="BP116" s="965"/>
      <c r="BQ116" s="1046"/>
      <c r="BR116" s="965"/>
      <c r="BS116" s="1231"/>
      <c r="BT116" s="837"/>
      <c r="BU116" s="965"/>
      <c r="BV116" s="968"/>
      <c r="BW116" s="1050"/>
      <c r="BX116" s="968"/>
      <c r="BY116" s="1227"/>
      <c r="BZ116" s="1085"/>
      <c r="CA116" s="968"/>
      <c r="CB116" s="1060"/>
      <c r="CC116" s="965"/>
      <c r="CD116" s="965"/>
      <c r="CE116" s="965"/>
      <c r="CF116" s="965"/>
      <c r="CG116" s="965"/>
      <c r="CH116" s="965"/>
      <c r="CI116" s="965"/>
      <c r="CJ116" s="965"/>
      <c r="CK116" s="965"/>
    </row>
    <row r="117" spans="1:89" s="886" customFormat="1" ht="14.25">
      <c r="A117" s="1043"/>
      <c r="B117" s="1044"/>
      <c r="C117" s="1045"/>
      <c r="D117" s="1076"/>
      <c r="E117" s="1043"/>
      <c r="F117" s="1046"/>
      <c r="G117" s="1046"/>
      <c r="H117" s="1047"/>
      <c r="I117" s="1043"/>
      <c r="J117" s="1047"/>
      <c r="K117" s="1317"/>
      <c r="L117" s="1047"/>
      <c r="M117" s="1317"/>
      <c r="N117" s="1317"/>
      <c r="O117" s="965"/>
      <c r="P117" s="965"/>
      <c r="Q117" s="965"/>
      <c r="R117" s="965"/>
      <c r="S117" s="965"/>
      <c r="T117" s="1047"/>
      <c r="U117" s="1188"/>
      <c r="V117" s="1047"/>
      <c r="W117" s="1188"/>
      <c r="X117" s="837"/>
      <c r="Y117" s="965"/>
      <c r="Z117" s="1049"/>
      <c r="AA117" s="1050"/>
      <c r="AB117" s="1049"/>
      <c r="AC117" s="1227"/>
      <c r="AD117" s="1085"/>
      <c r="AE117" s="968"/>
      <c r="AF117" s="1047"/>
      <c r="AG117" s="1046"/>
      <c r="AH117" s="1047"/>
      <c r="AI117" s="1231"/>
      <c r="AJ117" s="837"/>
      <c r="AK117" s="965"/>
      <c r="AL117" s="1049"/>
      <c r="AM117" s="1050"/>
      <c r="AN117" s="1049"/>
      <c r="AO117" s="1227"/>
      <c r="AP117" s="1085"/>
      <c r="AQ117" s="968"/>
      <c r="AR117" s="1047"/>
      <c r="AS117" s="1046"/>
      <c r="AT117" s="1047"/>
      <c r="AU117" s="1231"/>
      <c r="AV117" s="837"/>
      <c r="AW117" s="965"/>
      <c r="AX117" s="1049"/>
      <c r="AY117" s="1050"/>
      <c r="AZ117" s="1049"/>
      <c r="BA117" s="1227"/>
      <c r="BB117" s="1085"/>
      <c r="BC117" s="968"/>
      <c r="BD117" s="965"/>
      <c r="BE117" s="1046"/>
      <c r="BF117" s="1047"/>
      <c r="BG117" s="1231"/>
      <c r="BH117" s="837"/>
      <c r="BI117" s="965"/>
      <c r="BJ117" s="968"/>
      <c r="BK117" s="1050"/>
      <c r="BL117" s="1049"/>
      <c r="BM117" s="1227"/>
      <c r="BN117" s="1085"/>
      <c r="BO117" s="968"/>
      <c r="BP117" s="965"/>
      <c r="BQ117" s="1046"/>
      <c r="BR117" s="965"/>
      <c r="BS117" s="1231"/>
      <c r="BT117" s="837"/>
      <c r="BU117" s="965"/>
      <c r="BV117" s="968"/>
      <c r="BW117" s="1050"/>
      <c r="BX117" s="968"/>
      <c r="BY117" s="1227"/>
      <c r="BZ117" s="1085"/>
      <c r="CA117" s="968"/>
      <c r="CB117" s="1060"/>
      <c r="CC117" s="965"/>
      <c r="CD117" s="965"/>
      <c r="CE117" s="965"/>
      <c r="CF117" s="965"/>
      <c r="CG117" s="965"/>
      <c r="CH117" s="965"/>
      <c r="CI117" s="965"/>
      <c r="CJ117" s="965"/>
      <c r="CK117" s="965"/>
    </row>
    <row r="118" spans="1:89" s="886" customFormat="1" ht="14.25">
      <c r="A118" s="1043"/>
      <c r="B118" s="1044"/>
      <c r="C118" s="1045"/>
      <c r="D118" s="1076"/>
      <c r="E118" s="1043"/>
      <c r="F118" s="1046"/>
      <c r="G118" s="1046"/>
      <c r="H118" s="1047"/>
      <c r="I118" s="1043"/>
      <c r="J118" s="1047"/>
      <c r="K118" s="1317"/>
      <c r="L118" s="1047"/>
      <c r="M118" s="1317"/>
      <c r="N118" s="1317"/>
      <c r="O118" s="965"/>
      <c r="P118" s="965"/>
      <c r="Q118" s="965"/>
      <c r="R118" s="965"/>
      <c r="S118" s="965"/>
      <c r="T118" s="1047"/>
      <c r="U118" s="1188"/>
      <c r="V118" s="1047"/>
      <c r="W118" s="1188"/>
      <c r="X118" s="837"/>
      <c r="Y118" s="965"/>
      <c r="Z118" s="1049"/>
      <c r="AA118" s="1050"/>
      <c r="AB118" s="1049"/>
      <c r="AC118" s="1227"/>
      <c r="AD118" s="1085"/>
      <c r="AE118" s="968"/>
      <c r="AF118" s="1047"/>
      <c r="AG118" s="1046"/>
      <c r="AH118" s="1047"/>
      <c r="AI118" s="1231"/>
      <c r="AJ118" s="837"/>
      <c r="AK118" s="965"/>
      <c r="AL118" s="1049"/>
      <c r="AM118" s="1050"/>
      <c r="AN118" s="1049"/>
      <c r="AO118" s="1227"/>
      <c r="AP118" s="1085"/>
      <c r="AQ118" s="968"/>
      <c r="AR118" s="1047"/>
      <c r="AS118" s="1046"/>
      <c r="AT118" s="1047"/>
      <c r="AU118" s="1231"/>
      <c r="AV118" s="837"/>
      <c r="AW118" s="965"/>
      <c r="AX118" s="1049"/>
      <c r="AY118" s="1050"/>
      <c r="AZ118" s="1049"/>
      <c r="BA118" s="1227"/>
      <c r="BB118" s="1085"/>
      <c r="BC118" s="968"/>
      <c r="BD118" s="965"/>
      <c r="BE118" s="1046"/>
      <c r="BF118" s="1047"/>
      <c r="BG118" s="1231"/>
      <c r="BH118" s="837"/>
      <c r="BI118" s="965"/>
      <c r="BJ118" s="968"/>
      <c r="BK118" s="1050"/>
      <c r="BL118" s="1049"/>
      <c r="BM118" s="1227"/>
      <c r="BN118" s="1085"/>
      <c r="BO118" s="968"/>
      <c r="BP118" s="965"/>
      <c r="BQ118" s="1046"/>
      <c r="BR118" s="965"/>
      <c r="BS118" s="1231"/>
      <c r="BT118" s="837"/>
      <c r="BU118" s="965"/>
      <c r="BV118" s="968"/>
      <c r="BW118" s="1050"/>
      <c r="BX118" s="968"/>
      <c r="BY118" s="1227"/>
      <c r="BZ118" s="1085"/>
      <c r="CA118" s="968"/>
      <c r="CB118" s="1060"/>
      <c r="CC118" s="965"/>
      <c r="CD118" s="965"/>
      <c r="CE118" s="965"/>
      <c r="CF118" s="965"/>
      <c r="CG118" s="965"/>
      <c r="CH118" s="965"/>
      <c r="CI118" s="965"/>
      <c r="CJ118" s="965"/>
      <c r="CK118" s="965"/>
    </row>
    <row r="119" spans="1:89" s="886" customFormat="1" ht="14.25">
      <c r="A119" s="1043"/>
      <c r="B119" s="1044"/>
      <c r="C119" s="1045"/>
      <c r="D119" s="1076"/>
      <c r="E119" s="1043"/>
      <c r="F119" s="1046"/>
      <c r="G119" s="1046"/>
      <c r="H119" s="1047"/>
      <c r="I119" s="1043"/>
      <c r="J119" s="1047"/>
      <c r="K119" s="1317"/>
      <c r="L119" s="1047"/>
      <c r="M119" s="1317"/>
      <c r="N119" s="1317"/>
      <c r="O119" s="965"/>
      <c r="P119" s="965"/>
      <c r="Q119" s="965"/>
      <c r="R119" s="965"/>
      <c r="S119" s="965"/>
      <c r="T119" s="1047"/>
      <c r="U119" s="1188"/>
      <c r="V119" s="1047"/>
      <c r="W119" s="1188"/>
      <c r="X119" s="837"/>
      <c r="Y119" s="965"/>
      <c r="Z119" s="1049"/>
      <c r="AA119" s="1050"/>
      <c r="AB119" s="1049"/>
      <c r="AC119" s="1227"/>
      <c r="AD119" s="1085"/>
      <c r="AE119" s="968"/>
      <c r="AF119" s="1047"/>
      <c r="AG119" s="1046"/>
      <c r="AH119" s="1047"/>
      <c r="AI119" s="1231"/>
      <c r="AJ119" s="837"/>
      <c r="AK119" s="965"/>
      <c r="AL119" s="1049"/>
      <c r="AM119" s="1050"/>
      <c r="AN119" s="1049"/>
      <c r="AO119" s="1227"/>
      <c r="AP119" s="1085"/>
      <c r="AQ119" s="968"/>
      <c r="AR119" s="1047"/>
      <c r="AS119" s="1046"/>
      <c r="AT119" s="1047"/>
      <c r="AU119" s="1231"/>
      <c r="AV119" s="837"/>
      <c r="AW119" s="965"/>
      <c r="AX119" s="1049"/>
      <c r="AY119" s="1050"/>
      <c r="AZ119" s="1049"/>
      <c r="BA119" s="1227"/>
      <c r="BB119" s="1085"/>
      <c r="BC119" s="968"/>
      <c r="BD119" s="965"/>
      <c r="BE119" s="1046"/>
      <c r="BF119" s="1047"/>
      <c r="BG119" s="1231"/>
      <c r="BH119" s="837"/>
      <c r="BI119" s="965"/>
      <c r="BJ119" s="968"/>
      <c r="BK119" s="1050"/>
      <c r="BL119" s="1049"/>
      <c r="BM119" s="1227"/>
      <c r="BN119" s="1085"/>
      <c r="BO119" s="968"/>
      <c r="BP119" s="965"/>
      <c r="BQ119" s="1046"/>
      <c r="BR119" s="965"/>
      <c r="BS119" s="1231"/>
      <c r="BT119" s="837"/>
      <c r="BU119" s="965"/>
      <c r="BV119" s="968"/>
      <c r="BW119" s="1050"/>
      <c r="BX119" s="968"/>
      <c r="BY119" s="1227"/>
      <c r="BZ119" s="1085"/>
      <c r="CA119" s="968"/>
      <c r="CB119" s="1060"/>
      <c r="CC119" s="965"/>
      <c r="CD119" s="965"/>
      <c r="CE119" s="965"/>
      <c r="CF119" s="965"/>
      <c r="CG119" s="965"/>
      <c r="CH119" s="965"/>
      <c r="CI119" s="965"/>
      <c r="CJ119" s="965"/>
      <c r="CK119" s="965"/>
    </row>
    <row r="120" spans="1:89" s="886" customFormat="1" ht="14.25">
      <c r="A120" s="1043"/>
      <c r="B120" s="1044"/>
      <c r="C120" s="1045"/>
      <c r="D120" s="1076"/>
      <c r="E120" s="1043"/>
      <c r="F120" s="1046"/>
      <c r="G120" s="1046"/>
      <c r="H120" s="1047"/>
      <c r="I120" s="1043"/>
      <c r="J120" s="1047"/>
      <c r="K120" s="1317"/>
      <c r="L120" s="1047"/>
      <c r="M120" s="1317"/>
      <c r="N120" s="1317"/>
      <c r="O120" s="965"/>
      <c r="P120" s="965"/>
      <c r="Q120" s="965"/>
      <c r="R120" s="965"/>
      <c r="S120" s="965"/>
      <c r="T120" s="1047"/>
      <c r="U120" s="1188"/>
      <c r="V120" s="1047"/>
      <c r="W120" s="1188"/>
      <c r="X120" s="837"/>
      <c r="Y120" s="965"/>
      <c r="Z120" s="1049"/>
      <c r="AA120" s="1050"/>
      <c r="AB120" s="1049"/>
      <c r="AC120" s="1227"/>
      <c r="AD120" s="1085"/>
      <c r="AE120" s="968"/>
      <c r="AF120" s="1047"/>
      <c r="AG120" s="1046"/>
      <c r="AH120" s="1047"/>
      <c r="AI120" s="1231"/>
      <c r="AJ120" s="837"/>
      <c r="AK120" s="965"/>
      <c r="AL120" s="1049"/>
      <c r="AM120" s="1050"/>
      <c r="AN120" s="1049"/>
      <c r="AO120" s="1227"/>
      <c r="AP120" s="1085"/>
      <c r="AQ120" s="968"/>
      <c r="AR120" s="1047"/>
      <c r="AS120" s="1046"/>
      <c r="AT120" s="1047"/>
      <c r="AU120" s="1231"/>
      <c r="AV120" s="837"/>
      <c r="AW120" s="965"/>
      <c r="AX120" s="1049"/>
      <c r="AY120" s="1050"/>
      <c r="AZ120" s="1049"/>
      <c r="BA120" s="1227"/>
      <c r="BB120" s="1085"/>
      <c r="BC120" s="968"/>
      <c r="BD120" s="965"/>
      <c r="BE120" s="1046"/>
      <c r="BF120" s="1047"/>
      <c r="BG120" s="1231"/>
      <c r="BH120" s="837"/>
      <c r="BI120" s="965"/>
      <c r="BJ120" s="968"/>
      <c r="BK120" s="1050"/>
      <c r="BL120" s="1049"/>
      <c r="BM120" s="1227"/>
      <c r="BN120" s="1085"/>
      <c r="BO120" s="968"/>
      <c r="BP120" s="965"/>
      <c r="BQ120" s="1046"/>
      <c r="BR120" s="965"/>
      <c r="BS120" s="1231"/>
      <c r="BT120" s="837"/>
      <c r="BU120" s="965"/>
      <c r="BV120" s="968"/>
      <c r="BW120" s="1050"/>
      <c r="BX120" s="968"/>
      <c r="BY120" s="1227"/>
      <c r="BZ120" s="1085"/>
      <c r="CA120" s="968"/>
      <c r="CB120" s="1060"/>
      <c r="CC120" s="965"/>
      <c r="CD120" s="965"/>
      <c r="CE120" s="965"/>
      <c r="CF120" s="965"/>
      <c r="CG120" s="965"/>
      <c r="CH120" s="965"/>
      <c r="CI120" s="965"/>
      <c r="CJ120" s="965"/>
      <c r="CK120" s="965"/>
    </row>
    <row r="121" spans="1:89" s="886" customFormat="1" ht="14.25">
      <c r="A121" s="1043"/>
      <c r="B121" s="1044"/>
      <c r="C121" s="1045"/>
      <c r="D121" s="1076"/>
      <c r="E121" s="1043"/>
      <c r="F121" s="1046"/>
      <c r="G121" s="1046"/>
      <c r="H121" s="1047"/>
      <c r="I121" s="1043"/>
      <c r="J121" s="1047"/>
      <c r="K121" s="1317"/>
      <c r="L121" s="1047"/>
      <c r="M121" s="1317"/>
      <c r="N121" s="1317"/>
      <c r="O121" s="965"/>
      <c r="P121" s="965"/>
      <c r="Q121" s="965"/>
      <c r="R121" s="965"/>
      <c r="S121" s="965"/>
      <c r="T121" s="1047"/>
      <c r="U121" s="1188"/>
      <c r="V121" s="1047"/>
      <c r="W121" s="1188"/>
      <c r="X121" s="837"/>
      <c r="Y121" s="965"/>
      <c r="Z121" s="1049"/>
      <c r="AA121" s="1050"/>
      <c r="AB121" s="1049"/>
      <c r="AC121" s="1227"/>
      <c r="AD121" s="1085"/>
      <c r="AE121" s="968"/>
      <c r="AF121" s="1047"/>
      <c r="AG121" s="1046"/>
      <c r="AH121" s="1047"/>
      <c r="AI121" s="1231"/>
      <c r="AJ121" s="837"/>
      <c r="AK121" s="965"/>
      <c r="AL121" s="1049"/>
      <c r="AM121" s="1050"/>
      <c r="AN121" s="1049"/>
      <c r="AO121" s="1227"/>
      <c r="AP121" s="1085"/>
      <c r="AQ121" s="968"/>
      <c r="AR121" s="1047"/>
      <c r="AS121" s="1046"/>
      <c r="AT121" s="1047"/>
      <c r="AU121" s="1231"/>
      <c r="AV121" s="837"/>
      <c r="AW121" s="965"/>
      <c r="AX121" s="1049"/>
      <c r="AY121" s="1050"/>
      <c r="AZ121" s="1049"/>
      <c r="BA121" s="1227"/>
      <c r="BB121" s="1085"/>
      <c r="BC121" s="968"/>
      <c r="BD121" s="965"/>
      <c r="BE121" s="1046"/>
      <c r="BF121" s="1047"/>
      <c r="BG121" s="1231"/>
      <c r="BH121" s="837"/>
      <c r="BI121" s="965"/>
      <c r="BJ121" s="968"/>
      <c r="BK121" s="1050"/>
      <c r="BL121" s="1049"/>
      <c r="BM121" s="1227"/>
      <c r="BN121" s="1085"/>
      <c r="BO121" s="968"/>
      <c r="BP121" s="965"/>
      <c r="BQ121" s="1046"/>
      <c r="BR121" s="965"/>
      <c r="BS121" s="1231"/>
      <c r="BT121" s="837"/>
      <c r="BU121" s="965"/>
      <c r="BV121" s="968"/>
      <c r="BW121" s="1050"/>
      <c r="BX121" s="968"/>
      <c r="BY121" s="1227"/>
      <c r="BZ121" s="1085"/>
      <c r="CA121" s="968"/>
      <c r="CB121" s="1060"/>
      <c r="CC121" s="965"/>
      <c r="CD121" s="965"/>
      <c r="CE121" s="965"/>
      <c r="CF121" s="965"/>
      <c r="CG121" s="965"/>
      <c r="CH121" s="965"/>
      <c r="CI121" s="965"/>
      <c r="CJ121" s="965"/>
      <c r="CK121" s="965"/>
    </row>
    <row r="122" spans="1:89" s="886" customFormat="1" ht="14.25">
      <c r="A122" s="1043"/>
      <c r="B122" s="1044"/>
      <c r="C122" s="1045"/>
      <c r="D122" s="1076"/>
      <c r="E122" s="1043"/>
      <c r="F122" s="1046"/>
      <c r="G122" s="1046"/>
      <c r="H122" s="1047"/>
      <c r="I122" s="1043"/>
      <c r="J122" s="1047"/>
      <c r="K122" s="1317"/>
      <c r="L122" s="1047"/>
      <c r="M122" s="1317"/>
      <c r="N122" s="1317"/>
      <c r="O122" s="965"/>
      <c r="P122" s="965"/>
      <c r="Q122" s="965"/>
      <c r="R122" s="965"/>
      <c r="S122" s="965"/>
      <c r="T122" s="1047"/>
      <c r="U122" s="1188"/>
      <c r="V122" s="1047"/>
      <c r="W122" s="1188"/>
      <c r="X122" s="837"/>
      <c r="Y122" s="965"/>
      <c r="Z122" s="1049"/>
      <c r="AA122" s="1050"/>
      <c r="AB122" s="1049"/>
      <c r="AC122" s="1227"/>
      <c r="AD122" s="1085"/>
      <c r="AE122" s="968"/>
      <c r="AF122" s="1047"/>
      <c r="AG122" s="1046"/>
      <c r="AH122" s="1047"/>
      <c r="AI122" s="1231"/>
      <c r="AJ122" s="837"/>
      <c r="AK122" s="965"/>
      <c r="AL122" s="1049"/>
      <c r="AM122" s="1050"/>
      <c r="AN122" s="1049"/>
      <c r="AO122" s="1227"/>
      <c r="AP122" s="1085"/>
      <c r="AQ122" s="968"/>
      <c r="AR122" s="1047"/>
      <c r="AS122" s="1046"/>
      <c r="AT122" s="1047"/>
      <c r="AU122" s="1231"/>
      <c r="AV122" s="837"/>
      <c r="AW122" s="965"/>
      <c r="AX122" s="1049"/>
      <c r="AY122" s="1050"/>
      <c r="AZ122" s="1049"/>
      <c r="BA122" s="1227"/>
      <c r="BB122" s="1085"/>
      <c r="BC122" s="968"/>
      <c r="BD122" s="965"/>
      <c r="BE122" s="1046"/>
      <c r="BF122" s="1047"/>
      <c r="BG122" s="1231"/>
      <c r="BH122" s="837"/>
      <c r="BI122" s="965"/>
      <c r="BJ122" s="968"/>
      <c r="BK122" s="1050"/>
      <c r="BL122" s="1049"/>
      <c r="BM122" s="1227"/>
      <c r="BN122" s="1085"/>
      <c r="BO122" s="968"/>
      <c r="BP122" s="965"/>
      <c r="BQ122" s="1046"/>
      <c r="BR122" s="965"/>
      <c r="BS122" s="1231"/>
      <c r="BT122" s="837"/>
      <c r="BU122" s="965"/>
      <c r="BV122" s="968"/>
      <c r="BW122" s="1050"/>
      <c r="BX122" s="968"/>
      <c r="BY122" s="1227"/>
      <c r="BZ122" s="1085"/>
      <c r="CA122" s="968"/>
      <c r="CB122" s="1060"/>
      <c r="CC122" s="965"/>
      <c r="CD122" s="965"/>
      <c r="CE122" s="965"/>
      <c r="CF122" s="965"/>
      <c r="CG122" s="965"/>
      <c r="CH122" s="965"/>
      <c r="CI122" s="965"/>
      <c r="CJ122" s="965"/>
      <c r="CK122" s="965"/>
    </row>
    <row r="123" spans="1:89" s="886" customFormat="1" ht="14.25">
      <c r="A123" s="1043"/>
      <c r="B123" s="1044"/>
      <c r="C123" s="1045"/>
      <c r="D123" s="1076"/>
      <c r="E123" s="1043"/>
      <c r="F123" s="1046"/>
      <c r="G123" s="1046"/>
      <c r="H123" s="1047"/>
      <c r="I123" s="1043"/>
      <c r="J123" s="1047"/>
      <c r="K123" s="1317"/>
      <c r="L123" s="1047"/>
      <c r="M123" s="1317"/>
      <c r="N123" s="1317"/>
      <c r="O123" s="965"/>
      <c r="P123" s="965"/>
      <c r="Q123" s="965"/>
      <c r="R123" s="965"/>
      <c r="S123" s="965"/>
      <c r="T123" s="1047"/>
      <c r="U123" s="1188"/>
      <c r="V123" s="1047"/>
      <c r="W123" s="1188"/>
      <c r="X123" s="837"/>
      <c r="Y123" s="965"/>
      <c r="Z123" s="1049"/>
      <c r="AA123" s="1050"/>
      <c r="AB123" s="1049"/>
      <c r="AC123" s="1227"/>
      <c r="AD123" s="1085"/>
      <c r="AE123" s="968"/>
      <c r="AF123" s="1047"/>
      <c r="AG123" s="1046"/>
      <c r="AH123" s="1047"/>
      <c r="AI123" s="1231"/>
      <c r="AJ123" s="837"/>
      <c r="AK123" s="965"/>
      <c r="AL123" s="1049"/>
      <c r="AM123" s="1050"/>
      <c r="AN123" s="1049"/>
      <c r="AO123" s="1227"/>
      <c r="AP123" s="1085"/>
      <c r="AQ123" s="968"/>
      <c r="AR123" s="1047"/>
      <c r="AS123" s="1046"/>
      <c r="AT123" s="1047"/>
      <c r="AU123" s="1231"/>
      <c r="AV123" s="837"/>
      <c r="AW123" s="965"/>
      <c r="AX123" s="1049"/>
      <c r="AY123" s="1050"/>
      <c r="AZ123" s="1049"/>
      <c r="BA123" s="1227"/>
      <c r="BB123" s="1085"/>
      <c r="BC123" s="968"/>
      <c r="BD123" s="965"/>
      <c r="BE123" s="1046"/>
      <c r="BF123" s="1047"/>
      <c r="BG123" s="1231"/>
      <c r="BH123" s="837"/>
      <c r="BI123" s="965"/>
      <c r="BJ123" s="968"/>
      <c r="BK123" s="1050"/>
      <c r="BL123" s="1049"/>
      <c r="BM123" s="1227"/>
      <c r="BN123" s="1085"/>
      <c r="BO123" s="968"/>
      <c r="BP123" s="965"/>
      <c r="BQ123" s="1046"/>
      <c r="BR123" s="965"/>
      <c r="BS123" s="1231"/>
      <c r="BT123" s="837"/>
      <c r="BU123" s="965"/>
      <c r="BV123" s="968"/>
      <c r="BW123" s="1050"/>
      <c r="BX123" s="968"/>
      <c r="BY123" s="1227"/>
      <c r="BZ123" s="1085"/>
      <c r="CA123" s="968"/>
      <c r="CB123" s="1060"/>
      <c r="CC123" s="965"/>
      <c r="CD123" s="965"/>
      <c r="CE123" s="965"/>
      <c r="CF123" s="965"/>
      <c r="CG123" s="965"/>
      <c r="CH123" s="965"/>
      <c r="CI123" s="965"/>
      <c r="CJ123" s="965"/>
      <c r="CK123" s="965"/>
    </row>
    <row r="124" spans="1:89" s="886" customFormat="1" ht="14.25">
      <c r="A124" s="1043"/>
      <c r="B124" s="1044"/>
      <c r="C124" s="1045"/>
      <c r="D124" s="1076"/>
      <c r="E124" s="1043"/>
      <c r="F124" s="1046"/>
      <c r="G124" s="1046"/>
      <c r="H124" s="1047"/>
      <c r="I124" s="1043"/>
      <c r="J124" s="1047"/>
      <c r="K124" s="1317"/>
      <c r="L124" s="1047"/>
      <c r="M124" s="1317"/>
      <c r="N124" s="1317"/>
      <c r="O124" s="965"/>
      <c r="P124" s="965"/>
      <c r="Q124" s="965"/>
      <c r="R124" s="965"/>
      <c r="S124" s="965"/>
      <c r="T124" s="1047"/>
      <c r="U124" s="1188"/>
      <c r="V124" s="1047"/>
      <c r="W124" s="1188"/>
      <c r="X124" s="837"/>
      <c r="Y124" s="965"/>
      <c r="Z124" s="1049"/>
      <c r="AA124" s="1050"/>
      <c r="AB124" s="1049"/>
      <c r="AC124" s="1227"/>
      <c r="AD124" s="1085"/>
      <c r="AE124" s="968"/>
      <c r="AF124" s="1047"/>
      <c r="AG124" s="1046"/>
      <c r="AH124" s="1047"/>
      <c r="AI124" s="1231"/>
      <c r="AJ124" s="837"/>
      <c r="AK124" s="965"/>
      <c r="AL124" s="1049"/>
      <c r="AM124" s="1050"/>
      <c r="AN124" s="1049"/>
      <c r="AO124" s="1227"/>
      <c r="AP124" s="1085"/>
      <c r="AQ124" s="968"/>
      <c r="AR124" s="1047"/>
      <c r="AS124" s="1046"/>
      <c r="AT124" s="1047"/>
      <c r="AU124" s="1231"/>
      <c r="AV124" s="837"/>
      <c r="AW124" s="965"/>
      <c r="AX124" s="1049"/>
      <c r="AY124" s="1050"/>
      <c r="AZ124" s="1049"/>
      <c r="BA124" s="1227"/>
      <c r="BB124" s="1085"/>
      <c r="BC124" s="968"/>
      <c r="BD124" s="965"/>
      <c r="BE124" s="1046"/>
      <c r="BF124" s="1047"/>
      <c r="BG124" s="1231"/>
      <c r="BH124" s="837"/>
      <c r="BI124" s="965"/>
      <c r="BJ124" s="968"/>
      <c r="BK124" s="1050"/>
      <c r="BL124" s="1049"/>
      <c r="BM124" s="1227"/>
      <c r="BN124" s="1085"/>
      <c r="BO124" s="968"/>
      <c r="BP124" s="965"/>
      <c r="BQ124" s="1046"/>
      <c r="BR124" s="965"/>
      <c r="BS124" s="1231"/>
      <c r="BT124" s="837"/>
      <c r="BU124" s="965"/>
      <c r="BV124" s="968"/>
      <c r="BW124" s="1050"/>
      <c r="BX124" s="968"/>
      <c r="BY124" s="1227"/>
      <c r="BZ124" s="1085"/>
      <c r="CA124" s="968"/>
      <c r="CB124" s="1060"/>
      <c r="CC124" s="965"/>
      <c r="CD124" s="965"/>
      <c r="CE124" s="965"/>
      <c r="CF124" s="965"/>
      <c r="CG124" s="965"/>
      <c r="CH124" s="965"/>
      <c r="CI124" s="965"/>
      <c r="CJ124" s="965"/>
      <c r="CK124" s="965"/>
    </row>
    <row r="125" spans="1:89" s="886" customFormat="1" ht="14.25">
      <c r="A125" s="1043"/>
      <c r="B125" s="1044"/>
      <c r="C125" s="1045"/>
      <c r="D125" s="1076"/>
      <c r="E125" s="1043"/>
      <c r="F125" s="1046"/>
      <c r="G125" s="1046"/>
      <c r="H125" s="1047"/>
      <c r="I125" s="1043"/>
      <c r="J125" s="1047"/>
      <c r="K125" s="1317"/>
      <c r="L125" s="1047"/>
      <c r="M125" s="1317"/>
      <c r="N125" s="1317"/>
      <c r="O125" s="965"/>
      <c r="P125" s="965"/>
      <c r="Q125" s="965"/>
      <c r="R125" s="965"/>
      <c r="S125" s="965"/>
      <c r="T125" s="1047"/>
      <c r="U125" s="1188"/>
      <c r="V125" s="1047"/>
      <c r="W125" s="1188"/>
      <c r="X125" s="837"/>
      <c r="Y125" s="965"/>
      <c r="Z125" s="1049"/>
      <c r="AA125" s="1050"/>
      <c r="AB125" s="1049"/>
      <c r="AC125" s="1227"/>
      <c r="AD125" s="1085"/>
      <c r="AE125" s="968"/>
      <c r="AF125" s="1047"/>
      <c r="AG125" s="1046"/>
      <c r="AH125" s="1047"/>
      <c r="AI125" s="1231"/>
      <c r="AJ125" s="837"/>
      <c r="AK125" s="965"/>
      <c r="AL125" s="1049"/>
      <c r="AM125" s="1050"/>
      <c r="AN125" s="1049"/>
      <c r="AO125" s="1227"/>
      <c r="AP125" s="1085"/>
      <c r="AQ125" s="968"/>
      <c r="AR125" s="1047"/>
      <c r="AS125" s="1046"/>
      <c r="AT125" s="1047"/>
      <c r="AU125" s="1231"/>
      <c r="AV125" s="837"/>
      <c r="AW125" s="965"/>
      <c r="AX125" s="1049"/>
      <c r="AY125" s="1050"/>
      <c r="AZ125" s="1049"/>
      <c r="BA125" s="1227"/>
      <c r="BB125" s="1085"/>
      <c r="BC125" s="968"/>
      <c r="BD125" s="965"/>
      <c r="BE125" s="1046"/>
      <c r="BF125" s="1047"/>
      <c r="BG125" s="1231"/>
      <c r="BH125" s="837"/>
      <c r="BI125" s="965"/>
      <c r="BJ125" s="968"/>
      <c r="BK125" s="1050"/>
      <c r="BL125" s="1049"/>
      <c r="BM125" s="1227"/>
      <c r="BN125" s="1085"/>
      <c r="BO125" s="968"/>
      <c r="BP125" s="965"/>
      <c r="BQ125" s="1046"/>
      <c r="BR125" s="965"/>
      <c r="BS125" s="1231"/>
      <c r="BT125" s="837"/>
      <c r="BU125" s="965"/>
      <c r="BV125" s="968"/>
      <c r="BW125" s="1050"/>
      <c r="BX125" s="968"/>
      <c r="BY125" s="1227"/>
      <c r="BZ125" s="1085"/>
      <c r="CA125" s="968"/>
      <c r="CB125" s="1060"/>
      <c r="CC125" s="965"/>
      <c r="CD125" s="965"/>
      <c r="CE125" s="965"/>
      <c r="CF125" s="965"/>
      <c r="CG125" s="965"/>
      <c r="CH125" s="965"/>
      <c r="CI125" s="965"/>
      <c r="CJ125" s="965"/>
      <c r="CK125" s="965"/>
    </row>
    <row r="126" spans="1:89" s="886" customFormat="1" ht="14.25">
      <c r="A126" s="1043"/>
      <c r="B126" s="1044"/>
      <c r="C126" s="1045"/>
      <c r="D126" s="1076"/>
      <c r="E126" s="1043"/>
      <c r="F126" s="1046"/>
      <c r="G126" s="1046"/>
      <c r="H126" s="1047"/>
      <c r="I126" s="1043"/>
      <c r="J126" s="1047"/>
      <c r="K126" s="1317"/>
      <c r="L126" s="1047"/>
      <c r="M126" s="1317"/>
      <c r="N126" s="1317"/>
      <c r="O126" s="965"/>
      <c r="P126" s="965"/>
      <c r="Q126" s="965"/>
      <c r="R126" s="965"/>
      <c r="S126" s="965"/>
      <c r="T126" s="1047"/>
      <c r="U126" s="1188"/>
      <c r="V126" s="1047"/>
      <c r="W126" s="1188"/>
      <c r="X126" s="837"/>
      <c r="Y126" s="965"/>
      <c r="Z126" s="1049"/>
      <c r="AA126" s="1050"/>
      <c r="AB126" s="1049"/>
      <c r="AC126" s="1227"/>
      <c r="AD126" s="1085"/>
      <c r="AE126" s="968"/>
      <c r="AF126" s="1047"/>
      <c r="AG126" s="1046"/>
      <c r="AH126" s="1047"/>
      <c r="AI126" s="1231"/>
      <c r="AJ126" s="837"/>
      <c r="AK126" s="965"/>
      <c r="AL126" s="1049"/>
      <c r="AM126" s="1050"/>
      <c r="AN126" s="1049"/>
      <c r="AO126" s="1227"/>
      <c r="AP126" s="1085"/>
      <c r="AQ126" s="968"/>
      <c r="AR126" s="1047"/>
      <c r="AS126" s="1046"/>
      <c r="AT126" s="1047"/>
      <c r="AU126" s="1231"/>
      <c r="AV126" s="837"/>
      <c r="AW126" s="965"/>
      <c r="AX126" s="1049"/>
      <c r="AY126" s="1050"/>
      <c r="AZ126" s="1049"/>
      <c r="BA126" s="1227"/>
      <c r="BB126" s="1085"/>
      <c r="BC126" s="968"/>
      <c r="BD126" s="965"/>
      <c r="BE126" s="1046"/>
      <c r="BF126" s="1047"/>
      <c r="BG126" s="1231"/>
      <c r="BH126" s="837"/>
      <c r="BI126" s="965"/>
      <c r="BJ126" s="968"/>
      <c r="BK126" s="1050"/>
      <c r="BL126" s="1049"/>
      <c r="BM126" s="1227"/>
      <c r="BN126" s="1085"/>
      <c r="BO126" s="968"/>
      <c r="BP126" s="965"/>
      <c r="BQ126" s="1046"/>
      <c r="BR126" s="965"/>
      <c r="BS126" s="1231"/>
      <c r="BT126" s="837"/>
      <c r="BU126" s="965"/>
      <c r="BV126" s="968"/>
      <c r="BW126" s="1050"/>
      <c r="BX126" s="968"/>
      <c r="BY126" s="1227"/>
      <c r="BZ126" s="1085"/>
      <c r="CA126" s="968"/>
      <c r="CB126" s="1060"/>
      <c r="CC126" s="965"/>
      <c r="CD126" s="965"/>
      <c r="CE126" s="965"/>
      <c r="CF126" s="965"/>
      <c r="CG126" s="965"/>
      <c r="CH126" s="965"/>
      <c r="CI126" s="965"/>
      <c r="CJ126" s="965"/>
      <c r="CK126" s="965"/>
    </row>
    <row r="127" spans="1:89" s="886" customFormat="1" ht="14.25">
      <c r="A127" s="1043"/>
      <c r="B127" s="1044"/>
      <c r="C127" s="1045"/>
      <c r="D127" s="1076"/>
      <c r="E127" s="1043"/>
      <c r="F127" s="1046"/>
      <c r="G127" s="1046"/>
      <c r="H127" s="1047"/>
      <c r="I127" s="1043"/>
      <c r="J127" s="1047"/>
      <c r="K127" s="1317"/>
      <c r="L127" s="1047"/>
      <c r="M127" s="1317"/>
      <c r="N127" s="1317"/>
      <c r="O127" s="965"/>
      <c r="P127" s="965"/>
      <c r="Q127" s="965"/>
      <c r="R127" s="965"/>
      <c r="S127" s="965"/>
      <c r="T127" s="1047"/>
      <c r="U127" s="1188"/>
      <c r="V127" s="1047"/>
      <c r="W127" s="1188"/>
      <c r="X127" s="837"/>
      <c r="Y127" s="965"/>
      <c r="Z127" s="1049"/>
      <c r="AA127" s="1050"/>
      <c r="AB127" s="1049"/>
      <c r="AC127" s="1227"/>
      <c r="AD127" s="1085"/>
      <c r="AE127" s="968"/>
      <c r="AF127" s="1047"/>
      <c r="AG127" s="1046"/>
      <c r="AH127" s="1047"/>
      <c r="AI127" s="1231"/>
      <c r="AJ127" s="837"/>
      <c r="AK127" s="965"/>
      <c r="AL127" s="1049"/>
      <c r="AM127" s="1050"/>
      <c r="AN127" s="1049"/>
      <c r="AO127" s="1227"/>
      <c r="AP127" s="1085"/>
      <c r="AQ127" s="968"/>
      <c r="AR127" s="1047"/>
      <c r="AS127" s="1046"/>
      <c r="AT127" s="1047"/>
      <c r="AU127" s="1231"/>
      <c r="AV127" s="837"/>
      <c r="AW127" s="965"/>
      <c r="AX127" s="1049"/>
      <c r="AY127" s="1050"/>
      <c r="AZ127" s="1049"/>
      <c r="BA127" s="1227"/>
      <c r="BB127" s="1085"/>
      <c r="BC127" s="968"/>
      <c r="BD127" s="965"/>
      <c r="BE127" s="1046"/>
      <c r="BF127" s="1047"/>
      <c r="BG127" s="1231"/>
      <c r="BH127" s="837"/>
      <c r="BI127" s="965"/>
      <c r="BJ127" s="968"/>
      <c r="BK127" s="1050"/>
      <c r="BL127" s="1049"/>
      <c r="BM127" s="1227"/>
      <c r="BN127" s="1085"/>
      <c r="BO127" s="968"/>
      <c r="BP127" s="965"/>
      <c r="BQ127" s="1046"/>
      <c r="BR127" s="965"/>
      <c r="BS127" s="1231"/>
      <c r="BT127" s="837"/>
      <c r="BU127" s="965"/>
      <c r="BV127" s="968"/>
      <c r="BW127" s="1050"/>
      <c r="BX127" s="968"/>
      <c r="BY127" s="1227"/>
      <c r="BZ127" s="1085"/>
      <c r="CA127" s="968"/>
      <c r="CB127" s="1060"/>
      <c r="CC127" s="965"/>
      <c r="CD127" s="965"/>
      <c r="CE127" s="965"/>
      <c r="CF127" s="965"/>
      <c r="CG127" s="965"/>
      <c r="CH127" s="965"/>
      <c r="CI127" s="965"/>
      <c r="CJ127" s="965"/>
      <c r="CK127" s="965"/>
    </row>
    <row r="128" spans="1:89" s="886" customFormat="1" ht="14.25">
      <c r="A128" s="1043"/>
      <c r="B128" s="1044"/>
      <c r="C128" s="1045"/>
      <c r="D128" s="1076"/>
      <c r="E128" s="1043"/>
      <c r="F128" s="1046"/>
      <c r="G128" s="1046"/>
      <c r="H128" s="1047"/>
      <c r="I128" s="1043"/>
      <c r="J128" s="1047"/>
      <c r="K128" s="1317"/>
      <c r="L128" s="1047"/>
      <c r="M128" s="1317"/>
      <c r="N128" s="1317"/>
      <c r="O128" s="965"/>
      <c r="P128" s="965"/>
      <c r="Q128" s="965"/>
      <c r="R128" s="965"/>
      <c r="S128" s="965"/>
      <c r="T128" s="1047"/>
      <c r="U128" s="1188"/>
      <c r="V128" s="1047"/>
      <c r="W128" s="1188"/>
      <c r="X128" s="837"/>
      <c r="Y128" s="965"/>
      <c r="Z128" s="1049"/>
      <c r="AA128" s="1050"/>
      <c r="AB128" s="1049"/>
      <c r="AC128" s="1227"/>
      <c r="AD128" s="1085"/>
      <c r="AE128" s="968"/>
      <c r="AF128" s="1047"/>
      <c r="AG128" s="1046"/>
      <c r="AH128" s="1047"/>
      <c r="AI128" s="1231"/>
      <c r="AJ128" s="837"/>
      <c r="AK128" s="965"/>
      <c r="AL128" s="1049"/>
      <c r="AM128" s="1050"/>
      <c r="AN128" s="1049"/>
      <c r="AO128" s="1227"/>
      <c r="AP128" s="1085"/>
      <c r="AQ128" s="968"/>
      <c r="AR128" s="1047"/>
      <c r="AS128" s="1046"/>
      <c r="AT128" s="1047"/>
      <c r="AU128" s="1231"/>
      <c r="AV128" s="837"/>
      <c r="AW128" s="965"/>
      <c r="AX128" s="1049"/>
      <c r="AY128" s="1050"/>
      <c r="AZ128" s="1049"/>
      <c r="BA128" s="1227"/>
      <c r="BB128" s="1085"/>
      <c r="BC128" s="968"/>
      <c r="BD128" s="965"/>
      <c r="BE128" s="1046"/>
      <c r="BF128" s="1047"/>
      <c r="BG128" s="1231"/>
      <c r="BH128" s="837"/>
      <c r="BI128" s="965"/>
      <c r="BJ128" s="968"/>
      <c r="BK128" s="1050"/>
      <c r="BL128" s="1049"/>
      <c r="BM128" s="1227"/>
      <c r="BN128" s="1085"/>
      <c r="BO128" s="968"/>
      <c r="BP128" s="965"/>
      <c r="BQ128" s="1046"/>
      <c r="BR128" s="965"/>
      <c r="BS128" s="1231"/>
      <c r="BT128" s="837"/>
      <c r="BU128" s="965"/>
      <c r="BV128" s="968"/>
      <c r="BW128" s="1050"/>
      <c r="BX128" s="968"/>
      <c r="BY128" s="1227"/>
      <c r="BZ128" s="1085"/>
      <c r="CA128" s="968"/>
      <c r="CB128" s="1060"/>
      <c r="CC128" s="965"/>
      <c r="CD128" s="965"/>
      <c r="CE128" s="965"/>
      <c r="CF128" s="965"/>
      <c r="CG128" s="965"/>
      <c r="CH128" s="965"/>
      <c r="CI128" s="965"/>
      <c r="CJ128" s="965"/>
      <c r="CK128" s="965"/>
    </row>
    <row r="129" spans="1:89" s="886" customFormat="1" ht="14.25">
      <c r="A129" s="1043"/>
      <c r="B129" s="1044"/>
      <c r="C129" s="1045"/>
      <c r="D129" s="1076"/>
      <c r="E129" s="1043"/>
      <c r="F129" s="1046"/>
      <c r="G129" s="1046"/>
      <c r="H129" s="1047"/>
      <c r="I129" s="1043"/>
      <c r="J129" s="1047"/>
      <c r="K129" s="1317"/>
      <c r="L129" s="1047"/>
      <c r="M129" s="1317"/>
      <c r="N129" s="1317"/>
      <c r="O129" s="965"/>
      <c r="P129" s="965"/>
      <c r="Q129" s="965"/>
      <c r="R129" s="965"/>
      <c r="S129" s="965"/>
      <c r="T129" s="1047"/>
      <c r="U129" s="1188"/>
      <c r="V129" s="1047"/>
      <c r="W129" s="1188"/>
      <c r="X129" s="837"/>
      <c r="Y129" s="965"/>
      <c r="Z129" s="1049"/>
      <c r="AA129" s="1050"/>
      <c r="AB129" s="1049"/>
      <c r="AC129" s="1227"/>
      <c r="AD129" s="1085"/>
      <c r="AE129" s="968"/>
      <c r="AF129" s="1047"/>
      <c r="AG129" s="1046"/>
      <c r="AH129" s="1047"/>
      <c r="AI129" s="1231"/>
      <c r="AJ129" s="837"/>
      <c r="AK129" s="965"/>
      <c r="AL129" s="1049"/>
      <c r="AM129" s="1050"/>
      <c r="AN129" s="1049"/>
      <c r="AO129" s="1227"/>
      <c r="AP129" s="1085"/>
      <c r="AQ129" s="968"/>
      <c r="AR129" s="1047"/>
      <c r="AS129" s="1046"/>
      <c r="AT129" s="1047"/>
      <c r="AU129" s="1231"/>
      <c r="AV129" s="837"/>
      <c r="AW129" s="965"/>
      <c r="AX129" s="1049"/>
      <c r="AY129" s="1050"/>
      <c r="AZ129" s="1049"/>
      <c r="BA129" s="1227"/>
      <c r="BB129" s="1085"/>
      <c r="BC129" s="968"/>
      <c r="BD129" s="965"/>
      <c r="BE129" s="1046"/>
      <c r="BF129" s="1047"/>
      <c r="BG129" s="1231"/>
      <c r="BH129" s="837"/>
      <c r="BI129" s="965"/>
      <c r="BJ129" s="968"/>
      <c r="BK129" s="1050"/>
      <c r="BL129" s="1049"/>
      <c r="BM129" s="1227"/>
      <c r="BN129" s="1085"/>
      <c r="BO129" s="968"/>
      <c r="BP129" s="965"/>
      <c r="BQ129" s="1046"/>
      <c r="BR129" s="965"/>
      <c r="BS129" s="1231"/>
      <c r="BT129" s="837"/>
      <c r="BU129" s="965"/>
      <c r="BV129" s="968"/>
      <c r="BW129" s="1050"/>
      <c r="BX129" s="968"/>
      <c r="BY129" s="1227"/>
      <c r="BZ129" s="1085"/>
      <c r="CA129" s="968"/>
      <c r="CB129" s="1060"/>
      <c r="CC129" s="965"/>
      <c r="CD129" s="965"/>
      <c r="CE129" s="965"/>
      <c r="CF129" s="965"/>
      <c r="CG129" s="965"/>
      <c r="CH129" s="965"/>
      <c r="CI129" s="965"/>
      <c r="CJ129" s="965"/>
      <c r="CK129" s="965"/>
    </row>
    <row r="130" spans="1:89" s="886" customFormat="1" ht="14.25">
      <c r="A130" s="1043"/>
      <c r="B130" s="1044"/>
      <c r="C130" s="1045"/>
      <c r="D130" s="1076"/>
      <c r="E130" s="1043"/>
      <c r="F130" s="1046"/>
      <c r="G130" s="1046"/>
      <c r="H130" s="1047"/>
      <c r="I130" s="1043"/>
      <c r="J130" s="1047"/>
      <c r="K130" s="1317"/>
      <c r="L130" s="1047"/>
      <c r="M130" s="1317"/>
      <c r="N130" s="1317"/>
      <c r="O130" s="965"/>
      <c r="P130" s="965"/>
      <c r="Q130" s="965"/>
      <c r="R130" s="965"/>
      <c r="S130" s="965"/>
      <c r="T130" s="1047"/>
      <c r="U130" s="1188"/>
      <c r="V130" s="1047"/>
      <c r="W130" s="1188"/>
      <c r="X130" s="837"/>
      <c r="Y130" s="965"/>
      <c r="Z130" s="1049"/>
      <c r="AA130" s="1050"/>
      <c r="AB130" s="1049"/>
      <c r="AC130" s="1227"/>
      <c r="AD130" s="1085"/>
      <c r="AE130" s="968"/>
      <c r="AF130" s="1047"/>
      <c r="AG130" s="1046"/>
      <c r="AH130" s="1047"/>
      <c r="AI130" s="1231"/>
      <c r="AJ130" s="837"/>
      <c r="AK130" s="965"/>
      <c r="AL130" s="1049"/>
      <c r="AM130" s="1050"/>
      <c r="AN130" s="1049"/>
      <c r="AO130" s="1227"/>
      <c r="AP130" s="1085"/>
      <c r="AQ130" s="968"/>
      <c r="AR130" s="1047"/>
      <c r="AS130" s="1046"/>
      <c r="AT130" s="1047"/>
      <c r="AU130" s="1231"/>
      <c r="AV130" s="837"/>
      <c r="AW130" s="965"/>
      <c r="AX130" s="1049"/>
      <c r="AY130" s="1050"/>
      <c r="AZ130" s="1049"/>
      <c r="BA130" s="1227"/>
      <c r="BB130" s="1085"/>
      <c r="BC130" s="968"/>
      <c r="BD130" s="965"/>
      <c r="BE130" s="1046"/>
      <c r="BF130" s="1047"/>
      <c r="BG130" s="1231"/>
      <c r="BH130" s="837"/>
      <c r="BI130" s="965"/>
      <c r="BJ130" s="968"/>
      <c r="BK130" s="1050"/>
      <c r="BL130" s="1049"/>
      <c r="BM130" s="1227"/>
      <c r="BN130" s="1085"/>
      <c r="BO130" s="968"/>
      <c r="BP130" s="965"/>
      <c r="BQ130" s="1046"/>
      <c r="BR130" s="965"/>
      <c r="BS130" s="1231"/>
      <c r="BT130" s="837"/>
      <c r="BU130" s="965"/>
      <c r="BV130" s="968"/>
      <c r="BW130" s="1050"/>
      <c r="BX130" s="968"/>
      <c r="BY130" s="1227"/>
      <c r="BZ130" s="1085"/>
      <c r="CA130" s="968"/>
      <c r="CB130" s="1060"/>
      <c r="CC130" s="965"/>
      <c r="CD130" s="965"/>
      <c r="CE130" s="965"/>
      <c r="CF130" s="965"/>
      <c r="CG130" s="965"/>
      <c r="CH130" s="965"/>
      <c r="CI130" s="965"/>
      <c r="CJ130" s="965"/>
      <c r="CK130" s="965"/>
    </row>
    <row r="131" spans="1:89" s="886" customFormat="1" ht="14.25">
      <c r="A131" s="1043"/>
      <c r="B131" s="1044"/>
      <c r="C131" s="1045"/>
      <c r="D131" s="1076"/>
      <c r="E131" s="1043"/>
      <c r="F131" s="1046"/>
      <c r="G131" s="1046"/>
      <c r="H131" s="1047"/>
      <c r="I131" s="1043"/>
      <c r="J131" s="1047"/>
      <c r="K131" s="1317"/>
      <c r="L131" s="1047"/>
      <c r="M131" s="1317"/>
      <c r="N131" s="1317"/>
      <c r="O131" s="965"/>
      <c r="P131" s="965"/>
      <c r="Q131" s="965"/>
      <c r="R131" s="965"/>
      <c r="S131" s="965"/>
      <c r="T131" s="1047"/>
      <c r="U131" s="1188"/>
      <c r="V131" s="1047"/>
      <c r="W131" s="1188"/>
      <c r="X131" s="837"/>
      <c r="Y131" s="965"/>
      <c r="Z131" s="1049"/>
      <c r="AA131" s="1050"/>
      <c r="AB131" s="1049"/>
      <c r="AC131" s="1227"/>
      <c r="AD131" s="1085"/>
      <c r="AE131" s="968"/>
      <c r="AF131" s="1047"/>
      <c r="AG131" s="1046"/>
      <c r="AH131" s="1047"/>
      <c r="AI131" s="1231"/>
      <c r="AJ131" s="837"/>
      <c r="AK131" s="965"/>
      <c r="AL131" s="1049"/>
      <c r="AM131" s="1050"/>
      <c r="AN131" s="1049"/>
      <c r="AO131" s="1227"/>
      <c r="AP131" s="1085"/>
      <c r="AQ131" s="968"/>
      <c r="AR131" s="1047"/>
      <c r="AS131" s="1046"/>
      <c r="AT131" s="1047"/>
      <c r="AU131" s="1231"/>
      <c r="AV131" s="837"/>
      <c r="AW131" s="965"/>
      <c r="AX131" s="1049"/>
      <c r="AY131" s="1050"/>
      <c r="AZ131" s="1049">
        <v>6</v>
      </c>
      <c r="BA131" s="1227"/>
      <c r="BB131" s="1085"/>
      <c r="BC131" s="968"/>
      <c r="BD131" s="965"/>
      <c r="BE131" s="1046"/>
      <c r="BF131" s="1047"/>
      <c r="BG131" s="1231"/>
      <c r="BH131" s="837"/>
      <c r="BI131" s="965"/>
      <c r="BJ131" s="968"/>
      <c r="BK131" s="1050"/>
      <c r="BL131" s="1049"/>
      <c r="BM131" s="1227"/>
      <c r="BN131" s="1085"/>
      <c r="BO131" s="968"/>
      <c r="BP131" s="965"/>
      <c r="BQ131" s="1046"/>
      <c r="BR131" s="965"/>
      <c r="BS131" s="1231"/>
      <c r="BT131" s="837"/>
      <c r="BU131" s="965"/>
      <c r="BV131" s="968"/>
      <c r="BW131" s="1050"/>
      <c r="BX131" s="968"/>
      <c r="BY131" s="1227"/>
      <c r="BZ131" s="1085"/>
      <c r="CA131" s="968"/>
      <c r="CB131" s="1060"/>
      <c r="CC131" s="965"/>
      <c r="CD131" s="965"/>
      <c r="CE131" s="965"/>
      <c r="CF131" s="965"/>
      <c r="CG131" s="965"/>
      <c r="CH131" s="965"/>
      <c r="CI131" s="965"/>
      <c r="CJ131" s="965"/>
      <c r="CK131" s="965"/>
    </row>
    <row r="132" spans="1:89" s="886" customFormat="1" ht="14.25">
      <c r="A132" s="1043"/>
      <c r="B132" s="1044"/>
      <c r="C132" s="1045"/>
      <c r="D132" s="1076"/>
      <c r="E132" s="1043"/>
      <c r="F132" s="1046"/>
      <c r="G132" s="1046"/>
      <c r="H132" s="1047"/>
      <c r="I132" s="1043"/>
      <c r="J132" s="1047"/>
      <c r="K132" s="1317"/>
      <c r="L132" s="1047"/>
      <c r="M132" s="1317"/>
      <c r="N132" s="1317"/>
      <c r="O132" s="965"/>
      <c r="P132" s="965"/>
      <c r="Q132" s="965"/>
      <c r="R132" s="965"/>
      <c r="S132" s="965"/>
      <c r="T132" s="1047"/>
      <c r="U132" s="1188"/>
      <c r="V132" s="1047"/>
      <c r="W132" s="1188"/>
      <c r="X132" s="837"/>
      <c r="Y132" s="965"/>
      <c r="Z132" s="1049"/>
      <c r="AA132" s="1050"/>
      <c r="AB132" s="1049"/>
      <c r="AC132" s="1227"/>
      <c r="AD132" s="1085"/>
      <c r="AE132" s="968"/>
      <c r="AF132" s="1047"/>
      <c r="AG132" s="1046"/>
      <c r="AH132" s="1047"/>
      <c r="AI132" s="1231"/>
      <c r="AJ132" s="837"/>
      <c r="AK132" s="965"/>
      <c r="AL132" s="1049"/>
      <c r="AM132" s="1050"/>
      <c r="AN132" s="1049"/>
      <c r="AO132" s="1227"/>
      <c r="AP132" s="1085"/>
      <c r="AQ132" s="968"/>
      <c r="AR132" s="1047"/>
      <c r="AS132" s="1046"/>
      <c r="AT132" s="1047"/>
      <c r="AU132" s="1231"/>
      <c r="AV132" s="837"/>
      <c r="AW132" s="965"/>
      <c r="AX132" s="1049"/>
      <c r="AY132" s="1050"/>
      <c r="AZ132" s="1049"/>
      <c r="BA132" s="1227"/>
      <c r="BB132" s="1085"/>
      <c r="BC132" s="968"/>
      <c r="BD132" s="965"/>
      <c r="BE132" s="1046"/>
      <c r="BF132" s="1047"/>
      <c r="BG132" s="1231"/>
      <c r="BH132" s="837"/>
      <c r="BI132" s="965"/>
      <c r="BJ132" s="968"/>
      <c r="BK132" s="1050"/>
      <c r="BL132" s="1049"/>
      <c r="BM132" s="1227"/>
      <c r="BN132" s="1085"/>
      <c r="BO132" s="968"/>
      <c r="BP132" s="965"/>
      <c r="BQ132" s="1046"/>
      <c r="BR132" s="965"/>
      <c r="BS132" s="1231"/>
      <c r="BT132" s="837"/>
      <c r="BU132" s="965"/>
      <c r="BV132" s="968"/>
      <c r="BW132" s="1050"/>
      <c r="BX132" s="968"/>
      <c r="BY132" s="1227"/>
      <c r="BZ132" s="1085"/>
      <c r="CA132" s="968"/>
      <c r="CB132" s="1060"/>
      <c r="CC132" s="965"/>
      <c r="CD132" s="965"/>
      <c r="CE132" s="965"/>
      <c r="CF132" s="965"/>
      <c r="CG132" s="965"/>
      <c r="CH132" s="965"/>
      <c r="CI132" s="965"/>
      <c r="CJ132" s="965"/>
      <c r="CK132" s="965"/>
    </row>
    <row r="133" spans="1:89" s="886" customFormat="1" ht="14.25">
      <c r="A133" s="1043"/>
      <c r="B133" s="1044"/>
      <c r="C133" s="1045"/>
      <c r="D133" s="1076"/>
      <c r="E133" s="1043"/>
      <c r="F133" s="1046"/>
      <c r="G133" s="1046"/>
      <c r="H133" s="1047"/>
      <c r="I133" s="1043"/>
      <c r="J133" s="1047"/>
      <c r="K133" s="1317"/>
      <c r="L133" s="1047"/>
      <c r="M133" s="1317"/>
      <c r="N133" s="1317"/>
      <c r="O133" s="965"/>
      <c r="P133" s="965"/>
      <c r="Q133" s="965"/>
      <c r="R133" s="965"/>
      <c r="S133" s="965"/>
      <c r="T133" s="1047"/>
      <c r="U133" s="1188"/>
      <c r="V133" s="1047"/>
      <c r="W133" s="1188"/>
      <c r="X133" s="837"/>
      <c r="Y133" s="965"/>
      <c r="Z133" s="1049"/>
      <c r="AA133" s="1050"/>
      <c r="AB133" s="1049"/>
      <c r="AC133" s="1227"/>
      <c r="AD133" s="1085"/>
      <c r="AE133" s="968"/>
      <c r="AF133" s="1047"/>
      <c r="AG133" s="1046"/>
      <c r="AH133" s="1047"/>
      <c r="AI133" s="1231"/>
      <c r="AJ133" s="837"/>
      <c r="AK133" s="965"/>
      <c r="AL133" s="1049"/>
      <c r="AM133" s="1050"/>
      <c r="AN133" s="1049"/>
      <c r="AO133" s="1227"/>
      <c r="AP133" s="1085"/>
      <c r="AQ133" s="968"/>
      <c r="AR133" s="1047"/>
      <c r="AS133" s="1046"/>
      <c r="AT133" s="1047"/>
      <c r="AU133" s="1231"/>
      <c r="AV133" s="837"/>
      <c r="AW133" s="965"/>
      <c r="AX133" s="1049"/>
      <c r="AY133" s="1050"/>
      <c r="AZ133" s="1049"/>
      <c r="BA133" s="1227"/>
      <c r="BB133" s="1085"/>
      <c r="BC133" s="968"/>
      <c r="BD133" s="965"/>
      <c r="BE133" s="1046"/>
      <c r="BF133" s="1047"/>
      <c r="BG133" s="1231"/>
      <c r="BH133" s="837"/>
      <c r="BI133" s="965"/>
      <c r="BJ133" s="968"/>
      <c r="BK133" s="1050"/>
      <c r="BL133" s="1049"/>
      <c r="BM133" s="1227"/>
      <c r="BN133" s="1085"/>
      <c r="BO133" s="968"/>
      <c r="BP133" s="965"/>
      <c r="BQ133" s="1046"/>
      <c r="BR133" s="965"/>
      <c r="BS133" s="1231"/>
      <c r="BT133" s="837"/>
      <c r="BU133" s="965"/>
      <c r="BV133" s="968"/>
      <c r="BW133" s="1050"/>
      <c r="BX133" s="968"/>
      <c r="BY133" s="1227"/>
      <c r="BZ133" s="1085"/>
      <c r="CA133" s="968"/>
      <c r="CB133" s="1060"/>
      <c r="CC133" s="965"/>
      <c r="CD133" s="965"/>
      <c r="CE133" s="965"/>
      <c r="CF133" s="965"/>
      <c r="CG133" s="965"/>
      <c r="CH133" s="965"/>
      <c r="CI133" s="965"/>
      <c r="CJ133" s="965"/>
      <c r="CK133" s="965"/>
    </row>
    <row r="134" spans="1:89" s="886" customFormat="1" ht="14.25">
      <c r="A134" s="1043"/>
      <c r="B134" s="1044"/>
      <c r="C134" s="1045"/>
      <c r="D134" s="1076"/>
      <c r="E134" s="1043"/>
      <c r="F134" s="1046"/>
      <c r="G134" s="1046"/>
      <c r="H134" s="1047"/>
      <c r="I134" s="1043"/>
      <c r="J134" s="1047"/>
      <c r="K134" s="1317"/>
      <c r="L134" s="1047"/>
      <c r="M134" s="1317"/>
      <c r="N134" s="1317"/>
      <c r="O134" s="965"/>
      <c r="P134" s="965"/>
      <c r="Q134" s="965"/>
      <c r="R134" s="965"/>
      <c r="S134" s="965"/>
      <c r="T134" s="1047"/>
      <c r="U134" s="1188"/>
      <c r="V134" s="1047"/>
      <c r="W134" s="1188"/>
      <c r="X134" s="837"/>
      <c r="Y134" s="965"/>
      <c r="Z134" s="1049"/>
      <c r="AA134" s="1050"/>
      <c r="AB134" s="1049"/>
      <c r="AC134" s="1227"/>
      <c r="AD134" s="1085"/>
      <c r="AE134" s="968"/>
      <c r="AF134" s="1047"/>
      <c r="AG134" s="1046"/>
      <c r="AH134" s="1047"/>
      <c r="AI134" s="1231"/>
      <c r="AJ134" s="837"/>
      <c r="AK134" s="965"/>
      <c r="AL134" s="1049"/>
      <c r="AM134" s="1050"/>
      <c r="AN134" s="1049"/>
      <c r="AO134" s="1227"/>
      <c r="AP134" s="1085"/>
      <c r="AQ134" s="968"/>
      <c r="AR134" s="1047"/>
      <c r="AS134" s="1046"/>
      <c r="AT134" s="1047"/>
      <c r="AU134" s="1231"/>
      <c r="AV134" s="837"/>
      <c r="AW134" s="965"/>
      <c r="AX134" s="1049"/>
      <c r="AY134" s="1050"/>
      <c r="AZ134" s="1049"/>
      <c r="BA134" s="1227"/>
      <c r="BB134" s="1085"/>
      <c r="BC134" s="968"/>
      <c r="BD134" s="965"/>
      <c r="BE134" s="1046"/>
      <c r="BF134" s="1047"/>
      <c r="BG134" s="1231"/>
      <c r="BH134" s="837"/>
      <c r="BI134" s="965"/>
      <c r="BJ134" s="968"/>
      <c r="BK134" s="1050"/>
      <c r="BL134" s="1049"/>
      <c r="BM134" s="1227"/>
      <c r="BN134" s="1085"/>
      <c r="BO134" s="968"/>
      <c r="BP134" s="965"/>
      <c r="BQ134" s="1046"/>
      <c r="BR134" s="965"/>
      <c r="BS134" s="1231"/>
      <c r="BT134" s="837"/>
      <c r="BU134" s="965"/>
      <c r="BV134" s="968"/>
      <c r="BW134" s="1050"/>
      <c r="BX134" s="968"/>
      <c r="BY134" s="1227"/>
      <c r="BZ134" s="1085"/>
      <c r="CA134" s="968"/>
      <c r="CB134" s="1060"/>
      <c r="CC134" s="965"/>
      <c r="CD134" s="965"/>
      <c r="CE134" s="965"/>
      <c r="CF134" s="965"/>
      <c r="CG134" s="965"/>
      <c r="CH134" s="965"/>
      <c r="CI134" s="965"/>
      <c r="CJ134" s="965"/>
      <c r="CK134" s="965"/>
    </row>
    <row r="135" spans="1:89" s="886" customFormat="1" ht="14.25">
      <c r="A135" s="1043"/>
      <c r="B135" s="1044"/>
      <c r="C135" s="1045"/>
      <c r="D135" s="1076"/>
      <c r="E135" s="1043"/>
      <c r="F135" s="1046"/>
      <c r="G135" s="1046"/>
      <c r="H135" s="1047"/>
      <c r="I135" s="1043"/>
      <c r="J135" s="1047"/>
      <c r="K135" s="1317"/>
      <c r="L135" s="1047"/>
      <c r="M135" s="1317"/>
      <c r="N135" s="1317"/>
      <c r="O135" s="965"/>
      <c r="P135" s="965"/>
      <c r="Q135" s="965"/>
      <c r="R135" s="965"/>
      <c r="S135" s="965"/>
      <c r="T135" s="1047"/>
      <c r="U135" s="1188"/>
      <c r="V135" s="1047"/>
      <c r="W135" s="1188"/>
      <c r="X135" s="837"/>
      <c r="Y135" s="965"/>
      <c r="Z135" s="1049"/>
      <c r="AA135" s="1050"/>
      <c r="AB135" s="1049"/>
      <c r="AC135" s="1227"/>
      <c r="AD135" s="1085"/>
      <c r="AE135" s="968"/>
      <c r="AF135" s="1047"/>
      <c r="AG135" s="1046"/>
      <c r="AH135" s="1047"/>
      <c r="AI135" s="1231"/>
      <c r="AJ135" s="837"/>
      <c r="AK135" s="965"/>
      <c r="AL135" s="1049"/>
      <c r="AM135" s="1050"/>
      <c r="AN135" s="1049"/>
      <c r="AO135" s="1227"/>
      <c r="AP135" s="1085"/>
      <c r="AQ135" s="968"/>
      <c r="AR135" s="1047"/>
      <c r="AS135" s="1046"/>
      <c r="AT135" s="1047"/>
      <c r="AU135" s="1231"/>
      <c r="AV135" s="837"/>
      <c r="AW135" s="965"/>
      <c r="AX135" s="1049"/>
      <c r="AY135" s="1050"/>
      <c r="AZ135" s="1049"/>
      <c r="BA135" s="1227"/>
      <c r="BB135" s="1085"/>
      <c r="BC135" s="968"/>
      <c r="BD135" s="965"/>
      <c r="BE135" s="1046"/>
      <c r="BF135" s="1047"/>
      <c r="BG135" s="1231"/>
      <c r="BH135" s="837"/>
      <c r="BI135" s="965"/>
      <c r="BJ135" s="968"/>
      <c r="BK135" s="1050"/>
      <c r="BL135" s="1049"/>
      <c r="BM135" s="1227"/>
      <c r="BN135" s="1085"/>
      <c r="BO135" s="968"/>
      <c r="BP135" s="965"/>
      <c r="BQ135" s="1046"/>
      <c r="BR135" s="965"/>
      <c r="BS135" s="1231"/>
      <c r="BT135" s="837"/>
      <c r="BU135" s="965"/>
      <c r="BV135" s="968"/>
      <c r="BW135" s="1050"/>
      <c r="BX135" s="968"/>
      <c r="BY135" s="1227"/>
      <c r="BZ135" s="1085"/>
      <c r="CA135" s="968"/>
      <c r="CB135" s="1060"/>
      <c r="CC135" s="965"/>
      <c r="CD135" s="965"/>
      <c r="CE135" s="965"/>
      <c r="CF135" s="965"/>
      <c r="CG135" s="965"/>
      <c r="CH135" s="965"/>
      <c r="CI135" s="965"/>
      <c r="CJ135" s="965"/>
      <c r="CK135" s="965"/>
    </row>
    <row r="136" spans="1:89" s="886" customFormat="1" ht="14.25">
      <c r="A136" s="1043"/>
      <c r="B136" s="1044"/>
      <c r="C136" s="1045"/>
      <c r="D136" s="1076"/>
      <c r="E136" s="1043"/>
      <c r="F136" s="1046"/>
      <c r="G136" s="1046"/>
      <c r="H136" s="1047"/>
      <c r="I136" s="1043"/>
      <c r="J136" s="1047"/>
      <c r="K136" s="1317"/>
      <c r="L136" s="1047"/>
      <c r="M136" s="1317"/>
      <c r="N136" s="1317"/>
      <c r="O136" s="965"/>
      <c r="P136" s="965"/>
      <c r="Q136" s="965"/>
      <c r="R136" s="965"/>
      <c r="S136" s="965"/>
      <c r="T136" s="1047"/>
      <c r="U136" s="1188"/>
      <c r="V136" s="1047"/>
      <c r="W136" s="1188"/>
      <c r="X136" s="837"/>
      <c r="Y136" s="965"/>
      <c r="Z136" s="1049"/>
      <c r="AA136" s="1050"/>
      <c r="AB136" s="1049"/>
      <c r="AC136" s="1227"/>
      <c r="AD136" s="1085"/>
      <c r="AE136" s="968"/>
      <c r="AF136" s="1047"/>
      <c r="AG136" s="1046"/>
      <c r="AH136" s="1047"/>
      <c r="AI136" s="1231"/>
      <c r="AJ136" s="837"/>
      <c r="AK136" s="965"/>
      <c r="AL136" s="1049"/>
      <c r="AM136" s="1050"/>
      <c r="AN136" s="1049"/>
      <c r="AO136" s="1227"/>
      <c r="AP136" s="1085"/>
      <c r="AQ136" s="968"/>
      <c r="AR136" s="1047"/>
      <c r="AS136" s="1046"/>
      <c r="AT136" s="1047"/>
      <c r="AU136" s="1231"/>
      <c r="AV136" s="837"/>
      <c r="AW136" s="965"/>
      <c r="AX136" s="1049"/>
      <c r="AY136" s="1050"/>
      <c r="AZ136" s="1049"/>
      <c r="BA136" s="1227"/>
      <c r="BB136" s="1085"/>
      <c r="BC136" s="968"/>
      <c r="BD136" s="965"/>
      <c r="BE136" s="1046"/>
      <c r="BF136" s="1047"/>
      <c r="BG136" s="1231"/>
      <c r="BH136" s="837"/>
      <c r="BI136" s="965"/>
      <c r="BJ136" s="968"/>
      <c r="BK136" s="1050"/>
      <c r="BL136" s="1049"/>
      <c r="BM136" s="1227"/>
      <c r="BN136" s="1085"/>
      <c r="BO136" s="968"/>
      <c r="BP136" s="965"/>
      <c r="BQ136" s="1046"/>
      <c r="BR136" s="965"/>
      <c r="BS136" s="1231"/>
      <c r="BT136" s="837"/>
      <c r="BU136" s="965"/>
      <c r="BV136" s="968"/>
      <c r="BW136" s="1050"/>
      <c r="BX136" s="968"/>
      <c r="BY136" s="1227"/>
      <c r="BZ136" s="1085"/>
      <c r="CA136" s="968"/>
      <c r="CB136" s="1060"/>
      <c r="CC136" s="965"/>
      <c r="CD136" s="965"/>
      <c r="CE136" s="965"/>
      <c r="CF136" s="965"/>
      <c r="CG136" s="965"/>
      <c r="CH136" s="965"/>
      <c r="CI136" s="965"/>
      <c r="CJ136" s="965"/>
      <c r="CK136" s="965"/>
    </row>
    <row r="137" spans="1:89" s="886" customFormat="1" ht="14.25">
      <c r="A137" s="1043"/>
      <c r="B137" s="1044"/>
      <c r="C137" s="1045"/>
      <c r="D137" s="1076"/>
      <c r="E137" s="1043"/>
      <c r="F137" s="1046"/>
      <c r="G137" s="1046"/>
      <c r="H137" s="1047"/>
      <c r="I137" s="1043"/>
      <c r="J137" s="1047"/>
      <c r="K137" s="1317"/>
      <c r="L137" s="1047"/>
      <c r="M137" s="1317"/>
      <c r="N137" s="1317"/>
      <c r="O137" s="965"/>
      <c r="P137" s="965"/>
      <c r="Q137" s="965"/>
      <c r="R137" s="965"/>
      <c r="S137" s="965"/>
      <c r="T137" s="1047"/>
      <c r="U137" s="1188"/>
      <c r="V137" s="1047"/>
      <c r="W137" s="1188"/>
      <c r="X137" s="837"/>
      <c r="Y137" s="965"/>
      <c r="Z137" s="1049"/>
      <c r="AA137" s="1050"/>
      <c r="AB137" s="1049"/>
      <c r="AC137" s="1227"/>
      <c r="AD137" s="1085"/>
      <c r="AE137" s="968"/>
      <c r="AF137" s="1047"/>
      <c r="AG137" s="1046"/>
      <c r="AH137" s="1047"/>
      <c r="AI137" s="1231"/>
      <c r="AJ137" s="837"/>
      <c r="AK137" s="965"/>
      <c r="AL137" s="1049"/>
      <c r="AM137" s="1050"/>
      <c r="AN137" s="1049"/>
      <c r="AO137" s="1227"/>
      <c r="AP137" s="1085"/>
      <c r="AQ137" s="968"/>
      <c r="AR137" s="1047"/>
      <c r="AS137" s="1046"/>
      <c r="AT137" s="1047"/>
      <c r="AU137" s="1231"/>
      <c r="AV137" s="837"/>
      <c r="AW137" s="965"/>
      <c r="AX137" s="1049"/>
      <c r="AY137" s="1050"/>
      <c r="AZ137" s="1049"/>
      <c r="BA137" s="1227"/>
      <c r="BB137" s="1085"/>
      <c r="BC137" s="968"/>
      <c r="BD137" s="965"/>
      <c r="BE137" s="1046"/>
      <c r="BF137" s="1047"/>
      <c r="BG137" s="1231"/>
      <c r="BH137" s="837"/>
      <c r="BI137" s="965"/>
      <c r="BJ137" s="968"/>
      <c r="BK137" s="1050"/>
      <c r="BL137" s="1049"/>
      <c r="BM137" s="1227"/>
      <c r="BN137" s="1085"/>
      <c r="BO137" s="968"/>
      <c r="BP137" s="965"/>
      <c r="BQ137" s="1046"/>
      <c r="BR137" s="965"/>
      <c r="BS137" s="1231"/>
      <c r="BT137" s="837"/>
      <c r="BU137" s="965"/>
      <c r="BV137" s="968"/>
      <c r="BW137" s="1050"/>
      <c r="BX137" s="968"/>
      <c r="BY137" s="1227"/>
      <c r="BZ137" s="1085"/>
      <c r="CA137" s="968"/>
      <c r="CB137" s="1060"/>
      <c r="CC137" s="965"/>
      <c r="CD137" s="965"/>
      <c r="CE137" s="965"/>
      <c r="CF137" s="965"/>
      <c r="CG137" s="965"/>
      <c r="CH137" s="965"/>
      <c r="CI137" s="965"/>
      <c r="CJ137" s="965"/>
      <c r="CK137" s="965"/>
    </row>
    <row r="138" spans="1:89" s="886" customFormat="1" ht="14.25">
      <c r="A138" s="1043"/>
      <c r="B138" s="1044"/>
      <c r="C138" s="1045"/>
      <c r="D138" s="1076"/>
      <c r="E138" s="1043"/>
      <c r="F138" s="1046"/>
      <c r="G138" s="1046"/>
      <c r="H138" s="1047"/>
      <c r="I138" s="1043"/>
      <c r="J138" s="1047"/>
      <c r="K138" s="1317"/>
      <c r="L138" s="1047"/>
      <c r="M138" s="1317"/>
      <c r="N138" s="1317"/>
      <c r="O138" s="965"/>
      <c r="P138" s="965"/>
      <c r="Q138" s="965"/>
      <c r="R138" s="965"/>
      <c r="S138" s="965"/>
      <c r="T138" s="1047"/>
      <c r="U138" s="1188"/>
      <c r="V138" s="1047"/>
      <c r="W138" s="1188"/>
      <c r="X138" s="837"/>
      <c r="Y138" s="965"/>
      <c r="Z138" s="1049"/>
      <c r="AA138" s="1050"/>
      <c r="AB138" s="1049"/>
      <c r="AC138" s="1227"/>
      <c r="AD138" s="1085"/>
      <c r="AE138" s="968"/>
      <c r="AF138" s="1047"/>
      <c r="AG138" s="1046"/>
      <c r="AH138" s="1047"/>
      <c r="AI138" s="1231"/>
      <c r="AJ138" s="837"/>
      <c r="AK138" s="965"/>
      <c r="AL138" s="1049"/>
      <c r="AM138" s="1050"/>
      <c r="AN138" s="1049"/>
      <c r="AO138" s="1227"/>
      <c r="AP138" s="1085"/>
      <c r="AQ138" s="968"/>
      <c r="AR138" s="1047"/>
      <c r="AS138" s="1046"/>
      <c r="AT138" s="1047"/>
      <c r="AU138" s="1231"/>
      <c r="AV138" s="837"/>
      <c r="AW138" s="965"/>
      <c r="AX138" s="1049"/>
      <c r="AY138" s="1050"/>
      <c r="AZ138" s="1049"/>
      <c r="BA138" s="1227"/>
      <c r="BB138" s="1085"/>
      <c r="BC138" s="968"/>
      <c r="BD138" s="965"/>
      <c r="BE138" s="1046"/>
      <c r="BF138" s="1047"/>
      <c r="BG138" s="1231"/>
      <c r="BH138" s="837"/>
      <c r="BI138" s="965"/>
      <c r="BJ138" s="968"/>
      <c r="BK138" s="1050"/>
      <c r="BL138" s="1049"/>
      <c r="BM138" s="1227"/>
      <c r="BN138" s="1085"/>
      <c r="BO138" s="968"/>
      <c r="BP138" s="965"/>
      <c r="BQ138" s="1046"/>
      <c r="BR138" s="965"/>
      <c r="BS138" s="1231"/>
      <c r="BT138" s="837"/>
      <c r="BU138" s="965"/>
      <c r="BV138" s="968"/>
      <c r="BW138" s="1050"/>
      <c r="BX138" s="968"/>
      <c r="BY138" s="1227"/>
      <c r="BZ138" s="1085"/>
      <c r="CA138" s="968"/>
      <c r="CB138" s="1060"/>
      <c r="CC138" s="965"/>
      <c r="CD138" s="965"/>
      <c r="CE138" s="965"/>
      <c r="CF138" s="965"/>
      <c r="CG138" s="965"/>
      <c r="CH138" s="965"/>
      <c r="CI138" s="965"/>
      <c r="CJ138" s="965"/>
      <c r="CK138" s="965"/>
    </row>
    <row r="139" spans="1:89" s="886" customFormat="1" ht="14.25">
      <c r="A139" s="1043"/>
      <c r="B139" s="1044"/>
      <c r="C139" s="1045"/>
      <c r="D139" s="1076"/>
      <c r="E139" s="1043"/>
      <c r="F139" s="1046"/>
      <c r="G139" s="1046"/>
      <c r="H139" s="1047"/>
      <c r="I139" s="1043"/>
      <c r="J139" s="1047"/>
      <c r="K139" s="1317"/>
      <c r="L139" s="1047"/>
      <c r="M139" s="1317"/>
      <c r="N139" s="1317"/>
      <c r="O139" s="965"/>
      <c r="P139" s="965"/>
      <c r="Q139" s="965"/>
      <c r="R139" s="965"/>
      <c r="S139" s="965"/>
      <c r="T139" s="1047"/>
      <c r="U139" s="1188"/>
      <c r="V139" s="1047"/>
      <c r="W139" s="1188"/>
      <c r="X139" s="837"/>
      <c r="Y139" s="965"/>
      <c r="Z139" s="1049"/>
      <c r="AA139" s="1050"/>
      <c r="AB139" s="1049"/>
      <c r="AC139" s="1227"/>
      <c r="AD139" s="1085"/>
      <c r="AE139" s="968"/>
      <c r="AF139" s="1047"/>
      <c r="AG139" s="1046"/>
      <c r="AH139" s="1047"/>
      <c r="AI139" s="1231"/>
      <c r="AJ139" s="837"/>
      <c r="AK139" s="965"/>
      <c r="AL139" s="1049"/>
      <c r="AM139" s="1050"/>
      <c r="AN139" s="1049"/>
      <c r="AO139" s="1227"/>
      <c r="AP139" s="1085"/>
      <c r="AQ139" s="968"/>
      <c r="AR139" s="1047"/>
      <c r="AS139" s="1046"/>
      <c r="AT139" s="1047"/>
      <c r="AU139" s="1231"/>
      <c r="AV139" s="837"/>
      <c r="AW139" s="965"/>
      <c r="AX139" s="1049"/>
      <c r="AY139" s="1050"/>
      <c r="AZ139" s="1049"/>
      <c r="BA139" s="1227"/>
      <c r="BB139" s="1085"/>
      <c r="BC139" s="968"/>
      <c r="BD139" s="965"/>
      <c r="BE139" s="1046"/>
      <c r="BF139" s="1047"/>
      <c r="BG139" s="1231"/>
      <c r="BH139" s="837"/>
      <c r="BI139" s="965"/>
      <c r="BJ139" s="968"/>
      <c r="BK139" s="1050"/>
      <c r="BL139" s="1049"/>
      <c r="BM139" s="1227"/>
      <c r="BN139" s="1085"/>
      <c r="BO139" s="968"/>
      <c r="BP139" s="965"/>
      <c r="BQ139" s="1046"/>
      <c r="BR139" s="965"/>
      <c r="BS139" s="1231"/>
      <c r="BT139" s="837"/>
      <c r="BU139" s="965"/>
      <c r="BV139" s="968"/>
      <c r="BW139" s="1050"/>
      <c r="BX139" s="968"/>
      <c r="BY139" s="1227"/>
      <c r="BZ139" s="1085"/>
      <c r="CA139" s="968"/>
      <c r="CB139" s="1060"/>
      <c r="CC139" s="965"/>
      <c r="CD139" s="965"/>
      <c r="CE139" s="965"/>
      <c r="CF139" s="965"/>
      <c r="CG139" s="965"/>
      <c r="CH139" s="965"/>
      <c r="CI139" s="965"/>
      <c r="CJ139" s="965"/>
      <c r="CK139" s="965"/>
    </row>
    <row r="140" spans="1:89" s="886" customFormat="1" ht="14.25">
      <c r="A140" s="1043"/>
      <c r="B140" s="1044"/>
      <c r="C140" s="1045"/>
      <c r="D140" s="1076"/>
      <c r="E140" s="1043"/>
      <c r="F140" s="1046"/>
      <c r="G140" s="1046"/>
      <c r="H140" s="1047"/>
      <c r="I140" s="1043"/>
      <c r="J140" s="1047"/>
      <c r="K140" s="1317"/>
      <c r="L140" s="1047"/>
      <c r="M140" s="1317"/>
      <c r="N140" s="1317"/>
      <c r="O140" s="965"/>
      <c r="P140" s="965"/>
      <c r="Q140" s="965"/>
      <c r="R140" s="965"/>
      <c r="S140" s="965"/>
      <c r="T140" s="1047"/>
      <c r="U140" s="1188"/>
      <c r="V140" s="1047"/>
      <c r="W140" s="1188"/>
      <c r="X140" s="837"/>
      <c r="Y140" s="965"/>
      <c r="Z140" s="1049"/>
      <c r="AA140" s="1050"/>
      <c r="AB140" s="1049"/>
      <c r="AC140" s="1227"/>
      <c r="AD140" s="1085"/>
      <c r="AE140" s="968"/>
      <c r="AF140" s="1047"/>
      <c r="AG140" s="1046"/>
      <c r="AH140" s="1047"/>
      <c r="AI140" s="1231"/>
      <c r="AJ140" s="837"/>
      <c r="AK140" s="965"/>
      <c r="AL140" s="1049"/>
      <c r="AM140" s="1050"/>
      <c r="AN140" s="1049"/>
      <c r="AO140" s="1227"/>
      <c r="AP140" s="1085"/>
      <c r="AQ140" s="968"/>
      <c r="AR140" s="1047"/>
      <c r="AS140" s="1046"/>
      <c r="AT140" s="1047"/>
      <c r="AU140" s="1231"/>
      <c r="AV140" s="837"/>
      <c r="AW140" s="965"/>
      <c r="AX140" s="1049"/>
      <c r="AY140" s="1050"/>
      <c r="AZ140" s="1049"/>
      <c r="BA140" s="1227"/>
      <c r="BB140" s="1085"/>
      <c r="BC140" s="968"/>
      <c r="BD140" s="965"/>
      <c r="BE140" s="1046"/>
      <c r="BF140" s="1047"/>
      <c r="BG140" s="1231"/>
      <c r="BH140" s="837"/>
      <c r="BI140" s="965"/>
      <c r="BJ140" s="968"/>
      <c r="BK140" s="1050"/>
      <c r="BL140" s="1049"/>
      <c r="BM140" s="1227"/>
      <c r="BN140" s="1085"/>
      <c r="BO140" s="968"/>
      <c r="BP140" s="965"/>
      <c r="BQ140" s="1046"/>
      <c r="BR140" s="965"/>
      <c r="BS140" s="1231"/>
      <c r="BT140" s="837"/>
      <c r="BU140" s="965"/>
      <c r="BV140" s="968"/>
      <c r="BW140" s="1050"/>
      <c r="BX140" s="968"/>
      <c r="BY140" s="1227"/>
      <c r="BZ140" s="1085"/>
      <c r="CA140" s="968"/>
      <c r="CB140" s="1060"/>
      <c r="CC140" s="965"/>
      <c r="CD140" s="965"/>
      <c r="CE140" s="965"/>
      <c r="CF140" s="965"/>
      <c r="CG140" s="965"/>
      <c r="CH140" s="965"/>
      <c r="CI140" s="965"/>
      <c r="CJ140" s="965"/>
      <c r="CK140" s="965"/>
    </row>
    <row r="141" spans="1:89" s="886" customFormat="1" ht="14.25">
      <c r="A141" s="1043"/>
      <c r="B141" s="1044"/>
      <c r="C141" s="1045"/>
      <c r="D141" s="1076"/>
      <c r="E141" s="1043"/>
      <c r="F141" s="1046"/>
      <c r="G141" s="1046"/>
      <c r="H141" s="1047"/>
      <c r="I141" s="1043"/>
      <c r="J141" s="1047"/>
      <c r="K141" s="1317"/>
      <c r="L141" s="1047"/>
      <c r="M141" s="1317"/>
      <c r="N141" s="1317"/>
      <c r="O141" s="965"/>
      <c r="P141" s="965"/>
      <c r="Q141" s="965"/>
      <c r="R141" s="965"/>
      <c r="S141" s="965"/>
      <c r="T141" s="1047"/>
      <c r="U141" s="1188"/>
      <c r="V141" s="1047"/>
      <c r="W141" s="1188"/>
      <c r="X141" s="837"/>
      <c r="Y141" s="965"/>
      <c r="Z141" s="1049"/>
      <c r="AA141" s="1050"/>
      <c r="AB141" s="1049"/>
      <c r="AC141" s="1227"/>
      <c r="AD141" s="1085"/>
      <c r="AE141" s="968"/>
      <c r="AF141" s="1047"/>
      <c r="AG141" s="1046"/>
      <c r="AH141" s="1047"/>
      <c r="AI141" s="1231"/>
      <c r="AJ141" s="837"/>
      <c r="AK141" s="965"/>
      <c r="AL141" s="1049"/>
      <c r="AM141" s="1050"/>
      <c r="AN141" s="1049"/>
      <c r="AO141" s="1227"/>
      <c r="AP141" s="1085"/>
      <c r="AQ141" s="968"/>
      <c r="AR141" s="1047"/>
      <c r="AS141" s="1046"/>
      <c r="AT141" s="1047"/>
      <c r="AU141" s="1231"/>
      <c r="AV141" s="837"/>
      <c r="AW141" s="965"/>
      <c r="AX141" s="1049"/>
      <c r="AY141" s="1050"/>
      <c r="AZ141" s="1049"/>
      <c r="BA141" s="1227"/>
      <c r="BB141" s="1085"/>
      <c r="BC141" s="968"/>
      <c r="BD141" s="965"/>
      <c r="BE141" s="1046"/>
      <c r="BF141" s="1047"/>
      <c r="BG141" s="1231"/>
      <c r="BH141" s="837"/>
      <c r="BI141" s="965"/>
      <c r="BJ141" s="968"/>
      <c r="BK141" s="1050"/>
      <c r="BL141" s="1049"/>
      <c r="BM141" s="1227"/>
      <c r="BN141" s="1085"/>
      <c r="BO141" s="968"/>
      <c r="BP141" s="965"/>
      <c r="BQ141" s="1046"/>
      <c r="BR141" s="965"/>
      <c r="BS141" s="1231"/>
      <c r="BT141" s="837"/>
      <c r="BU141" s="965"/>
      <c r="BV141" s="968"/>
      <c r="BW141" s="1050"/>
      <c r="BX141" s="968"/>
      <c r="BY141" s="1227"/>
      <c r="BZ141" s="1085"/>
      <c r="CA141" s="968"/>
      <c r="CB141" s="1060"/>
      <c r="CC141" s="965"/>
      <c r="CD141" s="965"/>
      <c r="CE141" s="965"/>
      <c r="CF141" s="965"/>
      <c r="CG141" s="965"/>
      <c r="CH141" s="965"/>
      <c r="CI141" s="965"/>
      <c r="CJ141" s="965"/>
      <c r="CK141" s="965"/>
    </row>
    <row r="142" spans="1:89" s="886" customFormat="1" ht="14.25">
      <c r="A142" s="1043"/>
      <c r="B142" s="1044"/>
      <c r="C142" s="1045"/>
      <c r="D142" s="1076"/>
      <c r="E142" s="1043"/>
      <c r="F142" s="1046"/>
      <c r="G142" s="1046"/>
      <c r="H142" s="1047"/>
      <c r="I142" s="1043"/>
      <c r="J142" s="1047"/>
      <c r="K142" s="1317"/>
      <c r="L142" s="1047"/>
      <c r="M142" s="1317"/>
      <c r="N142" s="1317"/>
      <c r="O142" s="965"/>
      <c r="P142" s="965"/>
      <c r="Q142" s="965"/>
      <c r="R142" s="965"/>
      <c r="S142" s="965"/>
      <c r="T142" s="1047"/>
      <c r="U142" s="1188"/>
      <c r="V142" s="1047"/>
      <c r="W142" s="1188"/>
      <c r="X142" s="837"/>
      <c r="Y142" s="965"/>
      <c r="Z142" s="1049"/>
      <c r="AA142" s="1050"/>
      <c r="AB142" s="1049"/>
      <c r="AC142" s="1227"/>
      <c r="AD142" s="1085"/>
      <c r="AE142" s="968"/>
      <c r="AF142" s="1047"/>
      <c r="AG142" s="1046"/>
      <c r="AH142" s="1047"/>
      <c r="AI142" s="1231"/>
      <c r="AJ142" s="837"/>
      <c r="AK142" s="965"/>
      <c r="AL142" s="1049"/>
      <c r="AM142" s="1050"/>
      <c r="AN142" s="1049"/>
      <c r="AO142" s="1227"/>
      <c r="AP142" s="1085"/>
      <c r="AQ142" s="968"/>
      <c r="AR142" s="1047"/>
      <c r="AS142" s="1046"/>
      <c r="AT142" s="1047"/>
      <c r="AU142" s="1231"/>
      <c r="AV142" s="837"/>
      <c r="AW142" s="965"/>
      <c r="AX142" s="1049"/>
      <c r="AY142" s="1050"/>
      <c r="AZ142" s="1049"/>
      <c r="BA142" s="1227"/>
      <c r="BB142" s="1085"/>
      <c r="BC142" s="968"/>
      <c r="BD142" s="965"/>
      <c r="BE142" s="1046"/>
      <c r="BF142" s="1047"/>
      <c r="BG142" s="1231"/>
      <c r="BH142" s="837"/>
      <c r="BI142" s="965"/>
      <c r="BJ142" s="968"/>
      <c r="BK142" s="1050"/>
      <c r="BL142" s="1049"/>
      <c r="BM142" s="1227"/>
      <c r="BN142" s="1085"/>
      <c r="BO142" s="968"/>
      <c r="BP142" s="965"/>
      <c r="BQ142" s="1046"/>
      <c r="BR142" s="965"/>
      <c r="BS142" s="1231"/>
      <c r="BT142" s="837"/>
      <c r="BU142" s="965"/>
      <c r="BV142" s="968"/>
      <c r="BW142" s="1050"/>
      <c r="BX142" s="968"/>
      <c r="BY142" s="1227"/>
      <c r="BZ142" s="1085"/>
      <c r="CA142" s="968"/>
      <c r="CB142" s="1060"/>
      <c r="CC142" s="965"/>
      <c r="CD142" s="965"/>
      <c r="CE142" s="965"/>
      <c r="CF142" s="965"/>
      <c r="CG142" s="965"/>
      <c r="CH142" s="965"/>
      <c r="CI142" s="965"/>
      <c r="CJ142" s="965"/>
      <c r="CK142" s="965"/>
    </row>
    <row r="143" spans="1:89" s="886" customFormat="1" ht="14.25">
      <c r="A143" s="1043"/>
      <c r="B143" s="1044"/>
      <c r="C143" s="1045"/>
      <c r="D143" s="1076"/>
      <c r="E143" s="1043"/>
      <c r="F143" s="1046"/>
      <c r="G143" s="1046"/>
      <c r="H143" s="1047"/>
      <c r="I143" s="1043"/>
      <c r="J143" s="1047"/>
      <c r="K143" s="1317"/>
      <c r="L143" s="1047"/>
      <c r="M143" s="1317"/>
      <c r="N143" s="1317"/>
      <c r="O143" s="965"/>
      <c r="P143" s="965"/>
      <c r="Q143" s="965"/>
      <c r="R143" s="965"/>
      <c r="S143" s="965"/>
      <c r="T143" s="1047"/>
      <c r="U143" s="1188"/>
      <c r="V143" s="1047"/>
      <c r="W143" s="1188"/>
      <c r="X143" s="837"/>
      <c r="Y143" s="965"/>
      <c r="Z143" s="1049"/>
      <c r="AA143" s="1050"/>
      <c r="AB143" s="1049"/>
      <c r="AC143" s="1227"/>
      <c r="AD143" s="1085"/>
      <c r="AE143" s="968"/>
      <c r="AF143" s="1047"/>
      <c r="AG143" s="1046"/>
      <c r="AH143" s="1047"/>
      <c r="AI143" s="1231"/>
      <c r="AJ143" s="837"/>
      <c r="AK143" s="965"/>
      <c r="AL143" s="1049"/>
      <c r="AM143" s="1050"/>
      <c r="AN143" s="1049"/>
      <c r="AO143" s="1227"/>
      <c r="AP143" s="1085"/>
      <c r="AQ143" s="968"/>
      <c r="AR143" s="1047"/>
      <c r="AS143" s="1046"/>
      <c r="AT143" s="1047"/>
      <c r="AU143" s="1231"/>
      <c r="AV143" s="837"/>
      <c r="AW143" s="965"/>
      <c r="AX143" s="1049"/>
      <c r="AY143" s="1050"/>
      <c r="AZ143" s="1049"/>
      <c r="BA143" s="1227"/>
      <c r="BB143" s="1085"/>
      <c r="BC143" s="968"/>
      <c r="BD143" s="965"/>
      <c r="BE143" s="1046"/>
      <c r="BF143" s="1047"/>
      <c r="BG143" s="1231"/>
      <c r="BH143" s="837"/>
      <c r="BI143" s="965"/>
      <c r="BJ143" s="968"/>
      <c r="BK143" s="1050"/>
      <c r="BL143" s="1049"/>
      <c r="BM143" s="1227"/>
      <c r="BN143" s="1085"/>
      <c r="BO143" s="968"/>
      <c r="BP143" s="965"/>
      <c r="BQ143" s="1046"/>
      <c r="BR143" s="965"/>
      <c r="BS143" s="1231"/>
      <c r="BT143" s="837"/>
      <c r="BU143" s="965"/>
      <c r="BV143" s="968"/>
      <c r="BW143" s="1050"/>
      <c r="BX143" s="968"/>
      <c r="BY143" s="1227"/>
      <c r="BZ143" s="1085"/>
      <c r="CA143" s="968"/>
      <c r="CB143" s="1060"/>
      <c r="CC143" s="965"/>
      <c r="CD143" s="965"/>
      <c r="CE143" s="965"/>
      <c r="CF143" s="965"/>
      <c r="CG143" s="965"/>
      <c r="CH143" s="965"/>
      <c r="CI143" s="965"/>
      <c r="CJ143" s="965"/>
      <c r="CK143" s="965"/>
    </row>
    <row r="144" spans="1:89" s="886" customFormat="1" ht="14.25">
      <c r="A144" s="1043"/>
      <c r="B144" s="1044"/>
      <c r="C144" s="1045"/>
      <c r="D144" s="1076"/>
      <c r="E144" s="1043"/>
      <c r="F144" s="1046"/>
      <c r="G144" s="1046"/>
      <c r="H144" s="1047"/>
      <c r="I144" s="1043"/>
      <c r="J144" s="1047"/>
      <c r="K144" s="1317"/>
      <c r="L144" s="1047"/>
      <c r="M144" s="1317"/>
      <c r="N144" s="1317"/>
      <c r="O144" s="965"/>
      <c r="P144" s="965"/>
      <c r="Q144" s="965"/>
      <c r="R144" s="965"/>
      <c r="S144" s="965"/>
      <c r="T144" s="1047"/>
      <c r="U144" s="1188"/>
      <c r="V144" s="1047"/>
      <c r="W144" s="1188"/>
      <c r="X144" s="837"/>
      <c r="Y144" s="965"/>
      <c r="Z144" s="1049"/>
      <c r="AA144" s="1050"/>
      <c r="AB144" s="1049"/>
      <c r="AC144" s="1227"/>
      <c r="AD144" s="1085"/>
      <c r="AE144" s="968"/>
      <c r="AF144" s="1047"/>
      <c r="AG144" s="1046"/>
      <c r="AH144" s="1047"/>
      <c r="AI144" s="1231"/>
      <c r="AJ144" s="837"/>
      <c r="AK144" s="965"/>
      <c r="AL144" s="1049"/>
      <c r="AM144" s="1050"/>
      <c r="AN144" s="1049"/>
      <c r="AO144" s="1227"/>
      <c r="AP144" s="1085"/>
      <c r="AQ144" s="968"/>
      <c r="AR144" s="1047"/>
      <c r="AS144" s="1046"/>
      <c r="AT144" s="1047"/>
      <c r="AU144" s="1231"/>
      <c r="AV144" s="837"/>
      <c r="AW144" s="965"/>
      <c r="AX144" s="1049"/>
      <c r="AY144" s="1050"/>
      <c r="AZ144" s="1049"/>
      <c r="BA144" s="1227"/>
      <c r="BB144" s="1085"/>
      <c r="BC144" s="968"/>
      <c r="BD144" s="965"/>
      <c r="BE144" s="1046"/>
      <c r="BF144" s="1047"/>
      <c r="BG144" s="1231"/>
      <c r="BH144" s="837"/>
      <c r="BI144" s="965"/>
      <c r="BJ144" s="968"/>
      <c r="BK144" s="1050"/>
      <c r="BL144" s="1049"/>
      <c r="BM144" s="1227"/>
      <c r="BN144" s="1085"/>
      <c r="BO144" s="968"/>
      <c r="BP144" s="965"/>
      <c r="BQ144" s="1046"/>
      <c r="BR144" s="965"/>
      <c r="BS144" s="1231"/>
      <c r="BT144" s="837"/>
      <c r="BU144" s="965"/>
      <c r="BV144" s="968"/>
      <c r="BW144" s="1050"/>
      <c r="BX144" s="968"/>
      <c r="BY144" s="1227"/>
      <c r="BZ144" s="1085"/>
      <c r="CA144" s="968"/>
      <c r="CB144" s="1060"/>
      <c r="CC144" s="965"/>
      <c r="CD144" s="965"/>
      <c r="CE144" s="965"/>
      <c r="CF144" s="965"/>
      <c r="CG144" s="965"/>
      <c r="CH144" s="965"/>
      <c r="CI144" s="965"/>
      <c r="CJ144" s="965"/>
      <c r="CK144" s="965"/>
    </row>
    <row r="145" spans="1:89" s="886" customFormat="1" ht="14.25">
      <c r="A145" s="1043"/>
      <c r="B145" s="1044"/>
      <c r="C145" s="1045"/>
      <c r="D145" s="1076"/>
      <c r="E145" s="1043"/>
      <c r="F145" s="1046"/>
      <c r="G145" s="1046"/>
      <c r="H145" s="1047"/>
      <c r="I145" s="1043"/>
      <c r="J145" s="1047"/>
      <c r="K145" s="1317"/>
      <c r="L145" s="1047"/>
      <c r="M145" s="1317"/>
      <c r="N145" s="1317"/>
      <c r="O145" s="965"/>
      <c r="P145" s="965"/>
      <c r="Q145" s="965"/>
      <c r="R145" s="965"/>
      <c r="S145" s="965"/>
      <c r="T145" s="1047"/>
      <c r="U145" s="1188"/>
      <c r="V145" s="1047"/>
      <c r="W145" s="1188"/>
      <c r="X145" s="837"/>
      <c r="Y145" s="965"/>
      <c r="Z145" s="1049"/>
      <c r="AA145" s="1050"/>
      <c r="AB145" s="1049"/>
      <c r="AC145" s="1227"/>
      <c r="AD145" s="1085"/>
      <c r="AE145" s="968"/>
      <c r="AF145" s="1047"/>
      <c r="AG145" s="1046"/>
      <c r="AH145" s="1047"/>
      <c r="AI145" s="1231"/>
      <c r="AJ145" s="837"/>
      <c r="AK145" s="965"/>
      <c r="AL145" s="1049"/>
      <c r="AM145" s="1050"/>
      <c r="AN145" s="1049"/>
      <c r="AO145" s="1227"/>
      <c r="AP145" s="1085"/>
      <c r="AQ145" s="968"/>
      <c r="AR145" s="1047"/>
      <c r="AS145" s="1046"/>
      <c r="AT145" s="1047"/>
      <c r="AU145" s="1231"/>
      <c r="AV145" s="837"/>
      <c r="AW145" s="965"/>
      <c r="AX145" s="1049"/>
      <c r="AY145" s="1050"/>
      <c r="AZ145" s="1049"/>
      <c r="BA145" s="1227"/>
      <c r="BB145" s="1085"/>
      <c r="BC145" s="968"/>
      <c r="BD145" s="965"/>
      <c r="BE145" s="1046"/>
      <c r="BF145" s="1047"/>
      <c r="BG145" s="1231"/>
      <c r="BH145" s="837"/>
      <c r="BI145" s="965"/>
      <c r="BJ145" s="968"/>
      <c r="BK145" s="1050"/>
      <c r="BL145" s="1049"/>
      <c r="BM145" s="1227"/>
      <c r="BN145" s="1085"/>
      <c r="BO145" s="968"/>
      <c r="BP145" s="965"/>
      <c r="BQ145" s="1046"/>
      <c r="BR145" s="965"/>
      <c r="BS145" s="1231"/>
      <c r="BT145" s="837"/>
      <c r="BU145" s="965"/>
      <c r="BV145" s="968"/>
      <c r="BW145" s="1050"/>
      <c r="BX145" s="968"/>
      <c r="BY145" s="1227"/>
      <c r="BZ145" s="1085"/>
      <c r="CA145" s="968"/>
      <c r="CB145" s="1060"/>
      <c r="CC145" s="965"/>
      <c r="CD145" s="965"/>
      <c r="CE145" s="965"/>
      <c r="CF145" s="965"/>
      <c r="CG145" s="965"/>
      <c r="CH145" s="965"/>
      <c r="CI145" s="965"/>
      <c r="CJ145" s="965"/>
      <c r="CK145" s="965"/>
    </row>
    <row r="146" spans="1:89" s="886" customFormat="1" ht="14.25">
      <c r="A146" s="1043"/>
      <c r="B146" s="1044"/>
      <c r="C146" s="1045"/>
      <c r="D146" s="1076"/>
      <c r="E146" s="1043"/>
      <c r="F146" s="1046"/>
      <c r="G146" s="1046"/>
      <c r="H146" s="1047"/>
      <c r="I146" s="1043"/>
      <c r="J146" s="1047"/>
      <c r="K146" s="1317"/>
      <c r="L146" s="1047"/>
      <c r="M146" s="1317"/>
      <c r="N146" s="1317"/>
      <c r="O146" s="965"/>
      <c r="P146" s="965"/>
      <c r="Q146" s="965"/>
      <c r="R146" s="965"/>
      <c r="S146" s="965"/>
      <c r="T146" s="1047"/>
      <c r="U146" s="1188"/>
      <c r="V146" s="1047"/>
      <c r="W146" s="1188"/>
      <c r="X146" s="837"/>
      <c r="Y146" s="965"/>
      <c r="Z146" s="1049"/>
      <c r="AA146" s="1050"/>
      <c r="AB146" s="1049"/>
      <c r="AC146" s="1227"/>
      <c r="AD146" s="1085"/>
      <c r="AE146" s="968"/>
      <c r="AF146" s="1047"/>
      <c r="AG146" s="1046"/>
      <c r="AH146" s="1047"/>
      <c r="AI146" s="1231"/>
      <c r="AJ146" s="837"/>
      <c r="AK146" s="965"/>
      <c r="AL146" s="1049"/>
      <c r="AM146" s="1050"/>
      <c r="AN146" s="1049"/>
      <c r="AO146" s="1227"/>
      <c r="AP146" s="1085"/>
      <c r="AQ146" s="968"/>
      <c r="AR146" s="1047"/>
      <c r="AS146" s="1046"/>
      <c r="AT146" s="1047"/>
      <c r="AU146" s="1231"/>
      <c r="AV146" s="837"/>
      <c r="AW146" s="965"/>
      <c r="AX146" s="1049"/>
      <c r="AY146" s="1050"/>
      <c r="AZ146" s="1049"/>
      <c r="BA146" s="1227"/>
      <c r="BB146" s="1085"/>
      <c r="BC146" s="968"/>
      <c r="BD146" s="965"/>
      <c r="BE146" s="1046"/>
      <c r="BF146" s="1047"/>
      <c r="BG146" s="1231"/>
      <c r="BH146" s="837"/>
      <c r="BI146" s="965"/>
      <c r="BJ146" s="968"/>
      <c r="BK146" s="1050"/>
      <c r="BL146" s="1049"/>
      <c r="BM146" s="1227"/>
      <c r="BN146" s="1085"/>
      <c r="BO146" s="968"/>
      <c r="BP146" s="965"/>
      <c r="BQ146" s="1046"/>
      <c r="BR146" s="965"/>
      <c r="BS146" s="1231"/>
      <c r="BT146" s="837"/>
      <c r="BU146" s="965"/>
      <c r="BV146" s="968"/>
      <c r="BW146" s="1050"/>
      <c r="BX146" s="968"/>
      <c r="BY146" s="1227"/>
      <c r="BZ146" s="1085"/>
      <c r="CA146" s="968"/>
      <c r="CB146" s="1060"/>
      <c r="CC146" s="965"/>
      <c r="CD146" s="965"/>
      <c r="CE146" s="965"/>
      <c r="CF146" s="965"/>
      <c r="CG146" s="965"/>
      <c r="CH146" s="965"/>
      <c r="CI146" s="965"/>
      <c r="CJ146" s="965"/>
      <c r="CK146" s="965"/>
    </row>
    <row r="147" spans="1:89" s="886" customFormat="1" ht="14.25">
      <c r="A147" s="1043"/>
      <c r="B147" s="1044"/>
      <c r="C147" s="1045"/>
      <c r="D147" s="1076"/>
      <c r="E147" s="1043"/>
      <c r="F147" s="1046"/>
      <c r="G147" s="1046"/>
      <c r="H147" s="1047"/>
      <c r="I147" s="1043"/>
      <c r="J147" s="1047"/>
      <c r="K147" s="1317"/>
      <c r="L147" s="1047"/>
      <c r="M147" s="1317"/>
      <c r="N147" s="1317"/>
      <c r="O147" s="965"/>
      <c r="P147" s="965"/>
      <c r="Q147" s="965"/>
      <c r="R147" s="965"/>
      <c r="S147" s="965"/>
      <c r="T147" s="1047"/>
      <c r="U147" s="1188"/>
      <c r="V147" s="1047"/>
      <c r="W147" s="1188"/>
      <c r="X147" s="837"/>
      <c r="Y147" s="965"/>
      <c r="Z147" s="1049"/>
      <c r="AA147" s="1050"/>
      <c r="AB147" s="1049"/>
      <c r="AC147" s="1227"/>
      <c r="AD147" s="1085"/>
      <c r="AE147" s="968"/>
      <c r="AF147" s="1047"/>
      <c r="AG147" s="1046"/>
      <c r="AH147" s="1047"/>
      <c r="AI147" s="1231"/>
      <c r="AJ147" s="837"/>
      <c r="AK147" s="965"/>
      <c r="AL147" s="1049"/>
      <c r="AM147" s="1050"/>
      <c r="AN147" s="1049"/>
      <c r="AO147" s="1227"/>
      <c r="AP147" s="1085"/>
      <c r="AQ147" s="968"/>
      <c r="AR147" s="1047"/>
      <c r="AS147" s="1046"/>
      <c r="AT147" s="1047"/>
      <c r="AU147" s="1231"/>
      <c r="AV147" s="837"/>
      <c r="AW147" s="965"/>
      <c r="AX147" s="1049"/>
      <c r="AY147" s="1050"/>
      <c r="AZ147" s="1049"/>
      <c r="BA147" s="1227"/>
      <c r="BB147" s="1085"/>
      <c r="BC147" s="968"/>
      <c r="BD147" s="965"/>
      <c r="BE147" s="1046"/>
      <c r="BF147" s="1047"/>
      <c r="BG147" s="1231"/>
      <c r="BH147" s="837"/>
      <c r="BI147" s="965"/>
      <c r="BJ147" s="968"/>
      <c r="BK147" s="1050"/>
      <c r="BL147" s="1049"/>
      <c r="BM147" s="1227"/>
      <c r="BN147" s="1085"/>
      <c r="BO147" s="968"/>
      <c r="BP147" s="965"/>
      <c r="BQ147" s="1046"/>
      <c r="BR147" s="965"/>
      <c r="BS147" s="1231"/>
      <c r="BT147" s="837"/>
      <c r="BU147" s="965"/>
      <c r="BV147" s="968"/>
      <c r="BW147" s="1050"/>
      <c r="BX147" s="968"/>
      <c r="BY147" s="1227"/>
      <c r="BZ147" s="1085"/>
      <c r="CA147" s="968"/>
      <c r="CB147" s="1060"/>
      <c r="CC147" s="965"/>
      <c r="CD147" s="965"/>
      <c r="CE147" s="965"/>
      <c r="CF147" s="965"/>
      <c r="CG147" s="965"/>
      <c r="CH147" s="965"/>
      <c r="CI147" s="965"/>
      <c r="CJ147" s="965"/>
      <c r="CK147" s="965"/>
    </row>
    <row r="148" spans="1:89" s="886" customFormat="1" ht="14.25">
      <c r="A148" s="1043"/>
      <c r="B148" s="1044"/>
      <c r="C148" s="1045"/>
      <c r="D148" s="1076"/>
      <c r="E148" s="1043"/>
      <c r="F148" s="1046"/>
      <c r="G148" s="1046"/>
      <c r="H148" s="1047"/>
      <c r="I148" s="1043"/>
      <c r="J148" s="1047"/>
      <c r="K148" s="1317"/>
      <c r="L148" s="1047"/>
      <c r="M148" s="1317"/>
      <c r="N148" s="1317"/>
      <c r="O148" s="965"/>
      <c r="P148" s="965"/>
      <c r="Q148" s="965"/>
      <c r="R148" s="965"/>
      <c r="S148" s="965"/>
      <c r="T148" s="1047"/>
      <c r="U148" s="1188"/>
      <c r="V148" s="1047"/>
      <c r="W148" s="1188"/>
      <c r="X148" s="837"/>
      <c r="Y148" s="965"/>
      <c r="Z148" s="1049"/>
      <c r="AA148" s="1050"/>
      <c r="AB148" s="1049"/>
      <c r="AC148" s="1227"/>
      <c r="AD148" s="1085"/>
      <c r="AE148" s="968"/>
      <c r="AF148" s="1047"/>
      <c r="AG148" s="1046"/>
      <c r="AH148" s="1047"/>
      <c r="AI148" s="1231"/>
      <c r="AJ148" s="837"/>
      <c r="AK148" s="965"/>
      <c r="AL148" s="1049"/>
      <c r="AM148" s="1050"/>
      <c r="AN148" s="1049"/>
      <c r="AO148" s="1227"/>
      <c r="AP148" s="1085"/>
      <c r="AQ148" s="968"/>
      <c r="AR148" s="1047"/>
      <c r="AS148" s="1046"/>
      <c r="AT148" s="1047"/>
      <c r="AU148" s="1231"/>
      <c r="AV148" s="837"/>
      <c r="AW148" s="965"/>
      <c r="AX148" s="1049"/>
      <c r="AY148" s="1050"/>
      <c r="AZ148" s="1049"/>
      <c r="BA148" s="1227"/>
      <c r="BB148" s="1085"/>
      <c r="BC148" s="968"/>
      <c r="BD148" s="965"/>
      <c r="BE148" s="1046"/>
      <c r="BF148" s="1047"/>
      <c r="BG148" s="1231"/>
      <c r="BH148" s="837"/>
      <c r="BI148" s="965"/>
      <c r="BJ148" s="968"/>
      <c r="BK148" s="1050"/>
      <c r="BL148" s="1049"/>
      <c r="BM148" s="1227"/>
      <c r="BN148" s="1085"/>
      <c r="BO148" s="968"/>
      <c r="BP148" s="965"/>
      <c r="BQ148" s="1046"/>
      <c r="BR148" s="965"/>
      <c r="BS148" s="1231"/>
      <c r="BT148" s="837"/>
      <c r="BU148" s="965"/>
      <c r="BV148" s="968"/>
      <c r="BW148" s="1050"/>
      <c r="BX148" s="968"/>
      <c r="BY148" s="1227"/>
      <c r="BZ148" s="1085"/>
      <c r="CA148" s="968"/>
      <c r="CB148" s="1060"/>
      <c r="CC148" s="965"/>
      <c r="CD148" s="965"/>
      <c r="CE148" s="965"/>
      <c r="CF148" s="965"/>
      <c r="CG148" s="965"/>
      <c r="CH148" s="965"/>
      <c r="CI148" s="965"/>
      <c r="CJ148" s="965"/>
      <c r="CK148" s="965"/>
    </row>
    <row r="149" spans="1:89" s="886" customFormat="1" ht="14.25">
      <c r="A149" s="1043"/>
      <c r="B149" s="1044"/>
      <c r="C149" s="1045"/>
      <c r="D149" s="1076"/>
      <c r="E149" s="1043"/>
      <c r="F149" s="1046"/>
      <c r="G149" s="1046"/>
      <c r="H149" s="1047"/>
      <c r="I149" s="1043"/>
      <c r="J149" s="1047"/>
      <c r="K149" s="1317"/>
      <c r="L149" s="1047"/>
      <c r="M149" s="1317"/>
      <c r="N149" s="1317"/>
      <c r="O149" s="965"/>
      <c r="P149" s="965"/>
      <c r="Q149" s="965"/>
      <c r="R149" s="965"/>
      <c r="S149" s="965"/>
      <c r="T149" s="1047"/>
      <c r="U149" s="1188"/>
      <c r="V149" s="1047"/>
      <c r="W149" s="1188"/>
      <c r="X149" s="837"/>
      <c r="Y149" s="965"/>
      <c r="Z149" s="1049"/>
      <c r="AA149" s="1050"/>
      <c r="AB149" s="1049"/>
      <c r="AC149" s="1227"/>
      <c r="AD149" s="1085"/>
      <c r="AE149" s="968"/>
      <c r="AF149" s="1047"/>
      <c r="AG149" s="1046"/>
      <c r="AH149" s="1047"/>
      <c r="AI149" s="1231"/>
      <c r="AJ149" s="837"/>
      <c r="AK149" s="965"/>
      <c r="AL149" s="1049"/>
      <c r="AM149" s="1050"/>
      <c r="AN149" s="1049"/>
      <c r="AO149" s="1227"/>
      <c r="AP149" s="1085"/>
      <c r="AQ149" s="968"/>
      <c r="AR149" s="1047"/>
      <c r="AS149" s="1046"/>
      <c r="AT149" s="1047"/>
      <c r="AU149" s="1231"/>
      <c r="AV149" s="837"/>
      <c r="AW149" s="965"/>
      <c r="AX149" s="1049"/>
      <c r="AY149" s="1050"/>
      <c r="AZ149" s="1049"/>
      <c r="BA149" s="1227"/>
      <c r="BB149" s="1085"/>
      <c r="BC149" s="968"/>
      <c r="BD149" s="965"/>
      <c r="BE149" s="1046"/>
      <c r="BF149" s="1047"/>
      <c r="BG149" s="1231"/>
      <c r="BH149" s="837"/>
      <c r="BI149" s="965"/>
      <c r="BJ149" s="968"/>
      <c r="BK149" s="1050"/>
      <c r="BL149" s="1049"/>
      <c r="BM149" s="1227"/>
      <c r="BN149" s="1085"/>
      <c r="BO149" s="968"/>
      <c r="BP149" s="965"/>
      <c r="BQ149" s="1046"/>
      <c r="BR149" s="965"/>
      <c r="BS149" s="1231"/>
      <c r="BT149" s="837"/>
      <c r="BU149" s="965"/>
      <c r="BV149" s="968"/>
      <c r="BW149" s="1050"/>
      <c r="BX149" s="968"/>
      <c r="BY149" s="1227"/>
      <c r="BZ149" s="1085"/>
      <c r="CA149" s="968"/>
      <c r="CB149" s="1060"/>
      <c r="CC149" s="965"/>
      <c r="CD149" s="965"/>
      <c r="CE149" s="965"/>
      <c r="CF149" s="965"/>
      <c r="CG149" s="965"/>
      <c r="CH149" s="965"/>
      <c r="CI149" s="965"/>
      <c r="CJ149" s="965"/>
      <c r="CK149" s="965"/>
    </row>
    <row r="150" spans="1:89" s="886" customFormat="1" ht="14.25">
      <c r="A150" s="1043"/>
      <c r="B150" s="1044"/>
      <c r="C150" s="1045"/>
      <c r="D150" s="1076"/>
      <c r="E150" s="1043"/>
      <c r="F150" s="1046"/>
      <c r="G150" s="1046"/>
      <c r="H150" s="1047"/>
      <c r="I150" s="1043"/>
      <c r="J150" s="1047"/>
      <c r="K150" s="1317"/>
      <c r="L150" s="1047"/>
      <c r="M150" s="1317"/>
      <c r="N150" s="1317"/>
      <c r="O150" s="965"/>
      <c r="P150" s="965"/>
      <c r="Q150" s="965"/>
      <c r="R150" s="965"/>
      <c r="S150" s="965"/>
      <c r="T150" s="1047"/>
      <c r="U150" s="1188"/>
      <c r="V150" s="1047"/>
      <c r="W150" s="1188"/>
      <c r="X150" s="837"/>
      <c r="Y150" s="965"/>
      <c r="Z150" s="1049"/>
      <c r="AA150" s="1050"/>
      <c r="AB150" s="1049"/>
      <c r="AC150" s="1227"/>
      <c r="AD150" s="1085"/>
      <c r="AE150" s="968"/>
      <c r="AF150" s="1047"/>
      <c r="AG150" s="1046"/>
      <c r="AH150" s="1047"/>
      <c r="AI150" s="1231"/>
      <c r="AJ150" s="837"/>
      <c r="AK150" s="965"/>
      <c r="AL150" s="1049"/>
      <c r="AM150" s="1050"/>
      <c r="AN150" s="1049"/>
      <c r="AO150" s="1227"/>
      <c r="AP150" s="1085"/>
      <c r="AQ150" s="968"/>
      <c r="AR150" s="1047"/>
      <c r="AS150" s="1046"/>
      <c r="AT150" s="1047"/>
      <c r="AU150" s="1231"/>
      <c r="AV150" s="837"/>
      <c r="AW150" s="965"/>
      <c r="AX150" s="1049"/>
      <c r="AY150" s="1050"/>
      <c r="AZ150" s="1049"/>
      <c r="BA150" s="1227"/>
      <c r="BB150" s="1085"/>
      <c r="BC150" s="968"/>
      <c r="BD150" s="965"/>
      <c r="BE150" s="1046"/>
      <c r="BF150" s="1047"/>
      <c r="BG150" s="1231"/>
      <c r="BH150" s="837"/>
      <c r="BI150" s="965"/>
      <c r="BJ150" s="968"/>
      <c r="BK150" s="1050"/>
      <c r="BL150" s="1049"/>
      <c r="BM150" s="1227"/>
      <c r="BN150" s="1085"/>
      <c r="BO150" s="968"/>
      <c r="BP150" s="965"/>
      <c r="BQ150" s="1046"/>
      <c r="BR150" s="965"/>
      <c r="BS150" s="1231"/>
      <c r="BT150" s="837"/>
      <c r="BU150" s="965"/>
      <c r="BV150" s="968"/>
      <c r="BW150" s="1050"/>
      <c r="BX150" s="968"/>
      <c r="BY150" s="1227"/>
      <c r="BZ150" s="1085"/>
      <c r="CA150" s="968"/>
      <c r="CB150" s="1060"/>
      <c r="CC150" s="965"/>
      <c r="CD150" s="965"/>
      <c r="CE150" s="965"/>
      <c r="CF150" s="965"/>
      <c r="CG150" s="965"/>
      <c r="CH150" s="965"/>
      <c r="CI150" s="965"/>
      <c r="CJ150" s="965"/>
      <c r="CK150" s="965"/>
    </row>
    <row r="151" spans="1:89" s="886" customFormat="1" ht="14.25">
      <c r="A151" s="1043"/>
      <c r="B151" s="1044"/>
      <c r="C151" s="1045"/>
      <c r="D151" s="1076"/>
      <c r="E151" s="1043"/>
      <c r="F151" s="1046"/>
      <c r="G151" s="1046"/>
      <c r="H151" s="1047"/>
      <c r="I151" s="1043"/>
      <c r="J151" s="1047"/>
      <c r="K151" s="1317"/>
      <c r="L151" s="1047"/>
      <c r="M151" s="1317"/>
      <c r="N151" s="1317"/>
      <c r="O151" s="965"/>
      <c r="P151" s="965"/>
      <c r="Q151" s="965"/>
      <c r="R151" s="965"/>
      <c r="S151" s="965"/>
      <c r="T151" s="1047"/>
      <c r="U151" s="1188"/>
      <c r="V151" s="1047"/>
      <c r="W151" s="1188"/>
      <c r="X151" s="837"/>
      <c r="Y151" s="965"/>
      <c r="Z151" s="1049"/>
      <c r="AA151" s="1050"/>
      <c r="AB151" s="1049"/>
      <c r="AC151" s="1227"/>
      <c r="AD151" s="1085"/>
      <c r="AE151" s="968"/>
      <c r="AF151" s="1047"/>
      <c r="AG151" s="1046"/>
      <c r="AH151" s="1047"/>
      <c r="AI151" s="1231"/>
      <c r="AJ151" s="837"/>
      <c r="AK151" s="965"/>
      <c r="AL151" s="1049"/>
      <c r="AM151" s="1050"/>
      <c r="AN151" s="1049"/>
      <c r="AO151" s="1227"/>
      <c r="AP151" s="1085"/>
      <c r="AQ151" s="968"/>
      <c r="AR151" s="1047"/>
      <c r="AS151" s="1046"/>
      <c r="AT151" s="1047"/>
      <c r="AU151" s="1231"/>
      <c r="AV151" s="837"/>
      <c r="AW151" s="965"/>
      <c r="AX151" s="1049"/>
      <c r="AY151" s="1050"/>
      <c r="AZ151" s="1049"/>
      <c r="BA151" s="1227"/>
      <c r="BB151" s="1085"/>
      <c r="BC151" s="968"/>
      <c r="BD151" s="965"/>
      <c r="BE151" s="1046"/>
      <c r="BF151" s="1047"/>
      <c r="BG151" s="1231"/>
      <c r="BH151" s="837"/>
      <c r="BI151" s="965"/>
      <c r="BJ151" s="968"/>
      <c r="BK151" s="1050"/>
      <c r="BL151" s="1049"/>
      <c r="BM151" s="1227"/>
      <c r="BN151" s="1085"/>
      <c r="BO151" s="968"/>
      <c r="BP151" s="965"/>
      <c r="BQ151" s="1046"/>
      <c r="BR151" s="965"/>
      <c r="BS151" s="1231"/>
      <c r="BT151" s="837"/>
      <c r="BU151" s="965"/>
      <c r="BV151" s="968"/>
      <c r="BW151" s="1050"/>
      <c r="BX151" s="968"/>
      <c r="BY151" s="1227"/>
      <c r="BZ151" s="1085"/>
      <c r="CA151" s="968"/>
      <c r="CB151" s="1060"/>
      <c r="CC151" s="965"/>
      <c r="CD151" s="965"/>
      <c r="CE151" s="965"/>
      <c r="CF151" s="965"/>
      <c r="CG151" s="965"/>
      <c r="CH151" s="965"/>
      <c r="CI151" s="965"/>
      <c r="CJ151" s="965"/>
      <c r="CK151" s="965"/>
    </row>
    <row r="152" spans="1:89" s="886" customFormat="1" ht="14.25">
      <c r="A152" s="1043"/>
      <c r="B152" s="1044"/>
      <c r="C152" s="1045"/>
      <c r="D152" s="1076"/>
      <c r="E152" s="1043"/>
      <c r="F152" s="1046"/>
      <c r="G152" s="1046"/>
      <c r="H152" s="1047"/>
      <c r="I152" s="1043"/>
      <c r="J152" s="1047"/>
      <c r="K152" s="1317"/>
      <c r="L152" s="1047"/>
      <c r="M152" s="1317"/>
      <c r="N152" s="1317"/>
      <c r="O152" s="965"/>
      <c r="P152" s="965"/>
      <c r="Q152" s="965"/>
      <c r="R152" s="965"/>
      <c r="S152" s="965"/>
      <c r="T152" s="1047"/>
      <c r="U152" s="1188"/>
      <c r="V152" s="1047"/>
      <c r="W152" s="1188"/>
      <c r="X152" s="837"/>
      <c r="Y152" s="965"/>
      <c r="Z152" s="1049"/>
      <c r="AA152" s="1050"/>
      <c r="AB152" s="1049"/>
      <c r="AC152" s="1227"/>
      <c r="AD152" s="1085"/>
      <c r="AE152" s="968"/>
      <c r="AF152" s="1047"/>
      <c r="AG152" s="1046"/>
      <c r="AH152" s="1047"/>
      <c r="AI152" s="1231"/>
      <c r="AJ152" s="837"/>
      <c r="AK152" s="965"/>
      <c r="AL152" s="1049"/>
      <c r="AM152" s="1050"/>
      <c r="AN152" s="1049"/>
      <c r="AO152" s="1227"/>
      <c r="AP152" s="1085"/>
      <c r="AQ152" s="968"/>
      <c r="AR152" s="1047"/>
      <c r="AS152" s="1046"/>
      <c r="AT152" s="1047"/>
      <c r="AU152" s="1231"/>
      <c r="AV152" s="837"/>
      <c r="AW152" s="965"/>
      <c r="AX152" s="1049"/>
      <c r="AY152" s="1050"/>
      <c r="AZ152" s="1049"/>
      <c r="BA152" s="1227"/>
      <c r="BB152" s="1085"/>
      <c r="BC152" s="968"/>
      <c r="BD152" s="965"/>
      <c r="BE152" s="1046"/>
      <c r="BF152" s="1047"/>
      <c r="BG152" s="1231"/>
      <c r="BH152" s="837"/>
      <c r="BI152" s="965"/>
      <c r="BJ152" s="968"/>
      <c r="BK152" s="1050"/>
      <c r="BL152" s="1049"/>
      <c r="BM152" s="1227"/>
      <c r="BN152" s="1085"/>
      <c r="BO152" s="968"/>
      <c r="BP152" s="965"/>
      <c r="BQ152" s="1046"/>
      <c r="BR152" s="965"/>
      <c r="BS152" s="1231"/>
      <c r="BT152" s="837"/>
      <c r="BU152" s="965"/>
      <c r="BV152" s="968"/>
      <c r="BW152" s="1050"/>
      <c r="BX152" s="968"/>
      <c r="BY152" s="1227"/>
      <c r="BZ152" s="1085"/>
      <c r="CA152" s="968"/>
      <c r="CB152" s="1060"/>
      <c r="CC152" s="965"/>
      <c r="CD152" s="965"/>
      <c r="CE152" s="965"/>
      <c r="CF152" s="965"/>
      <c r="CG152" s="965"/>
      <c r="CH152" s="965"/>
      <c r="CI152" s="965"/>
      <c r="CJ152" s="965"/>
      <c r="CK152" s="965"/>
    </row>
    <row r="153" spans="1:89" s="886" customFormat="1" ht="14.25">
      <c r="A153" s="1043"/>
      <c r="B153" s="1044"/>
      <c r="C153" s="1045"/>
      <c r="D153" s="1076"/>
      <c r="E153" s="1043"/>
      <c r="F153" s="1046"/>
      <c r="G153" s="1046"/>
      <c r="H153" s="1047"/>
      <c r="I153" s="1043"/>
      <c r="J153" s="1047"/>
      <c r="K153" s="1317"/>
      <c r="L153" s="1047"/>
      <c r="M153" s="1317"/>
      <c r="N153" s="1317"/>
      <c r="O153" s="965"/>
      <c r="P153" s="965"/>
      <c r="Q153" s="965"/>
      <c r="R153" s="965"/>
      <c r="S153" s="965"/>
      <c r="T153" s="1047"/>
      <c r="U153" s="1188"/>
      <c r="V153" s="1047"/>
      <c r="W153" s="1188"/>
      <c r="X153" s="837"/>
      <c r="Y153" s="965"/>
      <c r="Z153" s="1049"/>
      <c r="AA153" s="1050"/>
      <c r="AB153" s="1049"/>
      <c r="AC153" s="1227"/>
      <c r="AD153" s="1085"/>
      <c r="AE153" s="968"/>
      <c r="AF153" s="1047"/>
      <c r="AG153" s="1046"/>
      <c r="AH153" s="1047"/>
      <c r="AI153" s="1231"/>
      <c r="AJ153" s="837"/>
      <c r="AK153" s="965"/>
      <c r="AL153" s="1049"/>
      <c r="AM153" s="1050"/>
      <c r="AN153" s="1049"/>
      <c r="AO153" s="1227"/>
      <c r="AP153" s="1085"/>
      <c r="AQ153" s="968"/>
      <c r="AR153" s="1047"/>
      <c r="AS153" s="1046"/>
      <c r="AT153" s="1047"/>
      <c r="AU153" s="1231"/>
      <c r="AV153" s="837"/>
      <c r="AW153" s="965"/>
      <c r="AX153" s="1049"/>
      <c r="AY153" s="1050"/>
      <c r="AZ153" s="1049"/>
      <c r="BA153" s="1227"/>
      <c r="BB153" s="1085"/>
      <c r="BC153" s="968"/>
      <c r="BD153" s="965"/>
      <c r="BE153" s="1046"/>
      <c r="BF153" s="1047"/>
      <c r="BG153" s="1231"/>
      <c r="BH153" s="837"/>
      <c r="BI153" s="965"/>
      <c r="BJ153" s="968"/>
      <c r="BK153" s="1050"/>
      <c r="BL153" s="1049"/>
      <c r="BM153" s="1227"/>
      <c r="BN153" s="1085"/>
      <c r="BO153" s="968"/>
      <c r="BP153" s="965"/>
      <c r="BQ153" s="1046"/>
      <c r="BR153" s="965"/>
      <c r="BS153" s="1231"/>
      <c r="BT153" s="837"/>
      <c r="BU153" s="965"/>
      <c r="BV153" s="968"/>
      <c r="BW153" s="1050"/>
      <c r="BX153" s="968"/>
      <c r="BY153" s="1227"/>
      <c r="BZ153" s="1085"/>
      <c r="CA153" s="968"/>
      <c r="CB153" s="1060"/>
      <c r="CC153" s="965"/>
      <c r="CD153" s="965"/>
      <c r="CE153" s="965"/>
      <c r="CF153" s="965"/>
      <c r="CG153" s="965"/>
      <c r="CH153" s="965"/>
      <c r="CI153" s="965"/>
      <c r="CJ153" s="965"/>
      <c r="CK153" s="965"/>
    </row>
    <row r="154" spans="1:89" s="886" customFormat="1" ht="14.25">
      <c r="A154" s="1043"/>
      <c r="B154" s="1044"/>
      <c r="C154" s="1045"/>
      <c r="D154" s="1076"/>
      <c r="E154" s="1043"/>
      <c r="F154" s="1046"/>
      <c r="G154" s="1046"/>
      <c r="H154" s="1047"/>
      <c r="I154" s="1043"/>
      <c r="J154" s="1047"/>
      <c r="K154" s="1317"/>
      <c r="L154" s="1047"/>
      <c r="M154" s="1317"/>
      <c r="N154" s="1317"/>
      <c r="O154" s="965"/>
      <c r="P154" s="965"/>
      <c r="Q154" s="965"/>
      <c r="R154" s="965"/>
      <c r="S154" s="965"/>
      <c r="T154" s="1047"/>
      <c r="U154" s="1188"/>
      <c r="V154" s="1047"/>
      <c r="W154" s="1188"/>
      <c r="X154" s="837"/>
      <c r="Y154" s="965"/>
      <c r="Z154" s="1049"/>
      <c r="AA154" s="1050"/>
      <c r="AB154" s="1049"/>
      <c r="AC154" s="1227"/>
      <c r="AD154" s="1085"/>
      <c r="AE154" s="968"/>
      <c r="AF154" s="1047"/>
      <c r="AG154" s="1046"/>
      <c r="AH154" s="1047"/>
      <c r="AI154" s="1231"/>
      <c r="AJ154" s="837"/>
      <c r="AK154" s="965"/>
      <c r="AL154" s="1049"/>
      <c r="AM154" s="1050"/>
      <c r="AN154" s="1049"/>
      <c r="AO154" s="1227"/>
      <c r="AP154" s="1085"/>
      <c r="AQ154" s="968"/>
      <c r="AR154" s="1047"/>
      <c r="AS154" s="1046"/>
      <c r="AT154" s="1047"/>
      <c r="AU154" s="1231"/>
      <c r="AV154" s="837"/>
      <c r="AW154" s="965"/>
      <c r="AX154" s="1049"/>
      <c r="AY154" s="1050"/>
      <c r="AZ154" s="1049"/>
      <c r="BA154" s="1227"/>
      <c r="BB154" s="1085"/>
      <c r="BC154" s="968"/>
      <c r="BD154" s="965"/>
      <c r="BE154" s="1046"/>
      <c r="BF154" s="1047"/>
      <c r="BG154" s="1231"/>
      <c r="BH154" s="837"/>
      <c r="BI154" s="965"/>
      <c r="BJ154" s="968"/>
      <c r="BK154" s="1050"/>
      <c r="BL154" s="1049"/>
      <c r="BM154" s="1227"/>
      <c r="BN154" s="1085"/>
      <c r="BO154" s="968"/>
      <c r="BP154" s="965"/>
      <c r="BQ154" s="1046"/>
      <c r="BR154" s="965"/>
      <c r="BS154" s="1231"/>
      <c r="BT154" s="837"/>
      <c r="BU154" s="965"/>
      <c r="BV154" s="968"/>
      <c r="BW154" s="1050"/>
      <c r="BX154" s="968"/>
      <c r="BY154" s="1227"/>
      <c r="BZ154" s="1085"/>
      <c r="CA154" s="968"/>
      <c r="CB154" s="1060"/>
      <c r="CC154" s="965"/>
      <c r="CD154" s="965"/>
      <c r="CE154" s="965"/>
      <c r="CF154" s="965"/>
      <c r="CG154" s="965"/>
      <c r="CH154" s="965"/>
      <c r="CI154" s="965"/>
      <c r="CJ154" s="965"/>
      <c r="CK154" s="965"/>
    </row>
    <row r="155" spans="1:89" s="886" customFormat="1" ht="14.25">
      <c r="A155" s="1043"/>
      <c r="B155" s="1044"/>
      <c r="C155" s="1045"/>
      <c r="D155" s="1076"/>
      <c r="E155" s="1043"/>
      <c r="F155" s="1046"/>
      <c r="G155" s="1046"/>
      <c r="H155" s="1047"/>
      <c r="I155" s="1043"/>
      <c r="J155" s="1047"/>
      <c r="K155" s="1317"/>
      <c r="L155" s="1047"/>
      <c r="M155" s="1317"/>
      <c r="N155" s="1317"/>
      <c r="O155" s="965"/>
      <c r="P155" s="965"/>
      <c r="Q155" s="965"/>
      <c r="R155" s="965"/>
      <c r="S155" s="965"/>
      <c r="T155" s="1047"/>
      <c r="U155" s="1188"/>
      <c r="V155" s="1047"/>
      <c r="W155" s="1188"/>
      <c r="X155" s="837"/>
      <c r="Y155" s="965"/>
      <c r="Z155" s="1049"/>
      <c r="AA155" s="1050"/>
      <c r="AB155" s="1049"/>
      <c r="AC155" s="1227"/>
      <c r="AD155" s="1085"/>
      <c r="AE155" s="968"/>
      <c r="AF155" s="1047"/>
      <c r="AG155" s="1046"/>
      <c r="AH155" s="1047"/>
      <c r="AI155" s="1231"/>
      <c r="AJ155" s="837"/>
      <c r="AK155" s="965"/>
      <c r="AL155" s="1049"/>
      <c r="AM155" s="1050"/>
      <c r="AN155" s="1049"/>
      <c r="AO155" s="1227"/>
      <c r="AP155" s="1085"/>
      <c r="AQ155" s="968"/>
      <c r="AR155" s="1047"/>
      <c r="AS155" s="1046"/>
      <c r="AT155" s="1047"/>
      <c r="AU155" s="1231"/>
      <c r="AV155" s="837"/>
      <c r="AW155" s="965"/>
      <c r="AX155" s="1049"/>
      <c r="AY155" s="1050"/>
      <c r="AZ155" s="1049"/>
      <c r="BA155" s="1227"/>
      <c r="BB155" s="1085"/>
      <c r="BC155" s="968"/>
      <c r="BD155" s="965"/>
      <c r="BE155" s="1046"/>
      <c r="BF155" s="1047"/>
      <c r="BG155" s="1231"/>
      <c r="BH155" s="837"/>
      <c r="BI155" s="965"/>
      <c r="BJ155" s="968"/>
      <c r="BK155" s="1050"/>
      <c r="BL155" s="1049"/>
      <c r="BM155" s="1227"/>
      <c r="BN155" s="1085"/>
      <c r="BO155" s="968"/>
      <c r="BP155" s="965"/>
      <c r="BQ155" s="1046"/>
      <c r="BR155" s="965"/>
      <c r="BS155" s="1231"/>
      <c r="BT155" s="837"/>
      <c r="BU155" s="965"/>
      <c r="BV155" s="968"/>
      <c r="BW155" s="1050"/>
      <c r="BX155" s="968"/>
      <c r="BY155" s="1227"/>
      <c r="BZ155" s="1085"/>
      <c r="CA155" s="968"/>
      <c r="CB155" s="1060"/>
      <c r="CC155" s="965"/>
      <c r="CD155" s="965"/>
      <c r="CE155" s="965"/>
      <c r="CF155" s="965"/>
      <c r="CG155" s="965"/>
      <c r="CH155" s="965"/>
      <c r="CI155" s="965"/>
      <c r="CJ155" s="965"/>
      <c r="CK155" s="965"/>
    </row>
    <row r="156" spans="1:89" s="886" customFormat="1" ht="14.25">
      <c r="A156" s="1043"/>
      <c r="B156" s="1044"/>
      <c r="C156" s="1045"/>
      <c r="D156" s="1076"/>
      <c r="E156" s="1043"/>
      <c r="F156" s="1046"/>
      <c r="G156" s="1046"/>
      <c r="H156" s="1047"/>
      <c r="I156" s="1043"/>
      <c r="J156" s="1047"/>
      <c r="K156" s="1317"/>
      <c r="L156" s="1047"/>
      <c r="M156" s="1317"/>
      <c r="N156" s="1317"/>
      <c r="O156" s="965"/>
      <c r="P156" s="965"/>
      <c r="Q156" s="965"/>
      <c r="R156" s="965"/>
      <c r="S156" s="965"/>
      <c r="T156" s="1047"/>
      <c r="U156" s="1188"/>
      <c r="V156" s="1047"/>
      <c r="W156" s="1188"/>
      <c r="X156" s="837"/>
      <c r="Y156" s="965"/>
      <c r="Z156" s="1049"/>
      <c r="AA156" s="1050"/>
      <c r="AB156" s="1049"/>
      <c r="AC156" s="1227"/>
      <c r="AD156" s="1085"/>
      <c r="AE156" s="968"/>
      <c r="AF156" s="1047"/>
      <c r="AG156" s="1046"/>
      <c r="AH156" s="1047"/>
      <c r="AI156" s="1231"/>
      <c r="AJ156" s="837"/>
      <c r="AK156" s="965"/>
      <c r="AL156" s="1049"/>
      <c r="AM156" s="1050"/>
      <c r="AN156" s="1049"/>
      <c r="AO156" s="1227"/>
      <c r="AP156" s="1085"/>
      <c r="AQ156" s="968"/>
      <c r="AR156" s="1047"/>
      <c r="AS156" s="1046"/>
      <c r="AT156" s="1047"/>
      <c r="AU156" s="1231"/>
      <c r="AV156" s="837"/>
      <c r="AW156" s="965"/>
      <c r="AX156" s="1049"/>
      <c r="AY156" s="1050"/>
      <c r="AZ156" s="1049"/>
      <c r="BA156" s="1227"/>
      <c r="BB156" s="1085"/>
      <c r="BC156" s="968"/>
      <c r="BD156" s="965"/>
      <c r="BE156" s="1046"/>
      <c r="BF156" s="1047"/>
      <c r="BG156" s="1231"/>
      <c r="BH156" s="837"/>
      <c r="BI156" s="965"/>
      <c r="BJ156" s="968"/>
      <c r="BK156" s="1050"/>
      <c r="BL156" s="1049"/>
      <c r="BM156" s="1227"/>
      <c r="BN156" s="1085"/>
      <c r="BO156" s="968"/>
      <c r="BP156" s="965"/>
      <c r="BQ156" s="1046"/>
      <c r="BR156" s="965"/>
      <c r="BS156" s="1231"/>
      <c r="BT156" s="837"/>
      <c r="BU156" s="965"/>
      <c r="BV156" s="968"/>
      <c r="BW156" s="1050"/>
      <c r="BX156" s="968"/>
      <c r="BY156" s="1227"/>
      <c r="BZ156" s="1085"/>
      <c r="CA156" s="968"/>
      <c r="CB156" s="1060"/>
      <c r="CC156" s="965"/>
      <c r="CD156" s="965"/>
      <c r="CE156" s="965"/>
      <c r="CF156" s="965"/>
      <c r="CG156" s="965"/>
      <c r="CH156" s="965"/>
      <c r="CI156" s="965"/>
      <c r="CJ156" s="965"/>
      <c r="CK156" s="965"/>
    </row>
    <row r="157" spans="1:89" s="886" customFormat="1" ht="14.25">
      <c r="A157" s="1043"/>
      <c r="B157" s="1044"/>
      <c r="C157" s="1045"/>
      <c r="D157" s="1076"/>
      <c r="E157" s="1043"/>
      <c r="F157" s="1046"/>
      <c r="G157" s="1046"/>
      <c r="H157" s="1047"/>
      <c r="I157" s="1043"/>
      <c r="J157" s="1047"/>
      <c r="K157" s="1317"/>
      <c r="L157" s="1047"/>
      <c r="M157" s="1317"/>
      <c r="N157" s="1317"/>
      <c r="O157" s="965"/>
      <c r="P157" s="965"/>
      <c r="Q157" s="965"/>
      <c r="R157" s="965"/>
      <c r="S157" s="965"/>
      <c r="T157" s="1047"/>
      <c r="U157" s="1188"/>
      <c r="V157" s="1047"/>
      <c r="W157" s="1188"/>
      <c r="X157" s="837"/>
      <c r="Y157" s="965"/>
      <c r="Z157" s="1049"/>
      <c r="AA157" s="1050"/>
      <c r="AB157" s="1049"/>
      <c r="AC157" s="1227"/>
      <c r="AD157" s="1085"/>
      <c r="AE157" s="968"/>
      <c r="AF157" s="1047"/>
      <c r="AG157" s="1046"/>
      <c r="AH157" s="1047"/>
      <c r="AI157" s="1231"/>
      <c r="AJ157" s="837"/>
      <c r="AK157" s="965"/>
      <c r="AL157" s="1049"/>
      <c r="AM157" s="1050"/>
      <c r="AN157" s="1049"/>
      <c r="AO157" s="1227"/>
      <c r="AP157" s="1085"/>
      <c r="AQ157" s="968"/>
      <c r="AR157" s="1047"/>
      <c r="AS157" s="1046"/>
      <c r="AT157" s="1047"/>
      <c r="AU157" s="1231"/>
      <c r="AV157" s="837"/>
      <c r="AW157" s="965"/>
      <c r="AX157" s="1049"/>
      <c r="AY157" s="1050"/>
      <c r="AZ157" s="1049"/>
      <c r="BA157" s="1227"/>
      <c r="BB157" s="1085"/>
      <c r="BC157" s="968"/>
      <c r="BD157" s="965"/>
      <c r="BE157" s="1046"/>
      <c r="BF157" s="1047"/>
      <c r="BG157" s="1231"/>
      <c r="BH157" s="837"/>
      <c r="BI157" s="965"/>
      <c r="BJ157" s="968"/>
      <c r="BK157" s="1050"/>
      <c r="BL157" s="1049"/>
      <c r="BM157" s="1227"/>
      <c r="BN157" s="1085"/>
      <c r="BO157" s="968"/>
      <c r="BP157" s="965"/>
      <c r="BQ157" s="1046"/>
      <c r="BR157" s="965"/>
      <c r="BS157" s="1231"/>
      <c r="BT157" s="837"/>
      <c r="BU157" s="965"/>
      <c r="BV157" s="968"/>
      <c r="BW157" s="1050"/>
      <c r="BX157" s="968"/>
      <c r="BY157" s="1227"/>
      <c r="BZ157" s="1085"/>
      <c r="CA157" s="968"/>
      <c r="CB157" s="1060"/>
      <c r="CC157" s="965"/>
      <c r="CD157" s="965"/>
      <c r="CE157" s="965"/>
      <c r="CF157" s="965"/>
      <c r="CG157" s="965"/>
      <c r="CH157" s="965"/>
      <c r="CI157" s="965"/>
      <c r="CJ157" s="965"/>
      <c r="CK157" s="965"/>
    </row>
    <row r="158" spans="1:89" s="886" customFormat="1" ht="14.25">
      <c r="A158" s="1043"/>
      <c r="B158" s="1044"/>
      <c r="C158" s="1045"/>
      <c r="D158" s="1076"/>
      <c r="E158" s="1043"/>
      <c r="F158" s="1046"/>
      <c r="G158" s="1046"/>
      <c r="H158" s="1047"/>
      <c r="I158" s="1043"/>
      <c r="J158" s="1047"/>
      <c r="K158" s="1317"/>
      <c r="L158" s="1047"/>
      <c r="M158" s="1317"/>
      <c r="N158" s="1317"/>
      <c r="O158" s="965"/>
      <c r="P158" s="965"/>
      <c r="Q158" s="965"/>
      <c r="R158" s="965"/>
      <c r="S158" s="965"/>
      <c r="T158" s="1047"/>
      <c r="U158" s="1188"/>
      <c r="V158" s="1047"/>
      <c r="W158" s="1188"/>
      <c r="X158" s="837"/>
      <c r="Y158" s="965"/>
      <c r="Z158" s="1049"/>
      <c r="AA158" s="1050"/>
      <c r="AB158" s="1049"/>
      <c r="AC158" s="1227"/>
      <c r="AD158" s="1085"/>
      <c r="AE158" s="968"/>
      <c r="AF158" s="1047"/>
      <c r="AG158" s="1046"/>
      <c r="AH158" s="1047"/>
      <c r="AI158" s="1231"/>
      <c r="AJ158" s="837"/>
      <c r="AK158" s="965"/>
      <c r="AL158" s="1049"/>
      <c r="AM158" s="1050"/>
      <c r="AN158" s="1049"/>
      <c r="AO158" s="1227"/>
      <c r="AP158" s="1085"/>
      <c r="AQ158" s="968"/>
      <c r="AR158" s="1047"/>
      <c r="AS158" s="1046"/>
      <c r="AT158" s="1047"/>
      <c r="AU158" s="1231"/>
      <c r="AV158" s="837"/>
      <c r="AW158" s="965"/>
      <c r="AX158" s="1049"/>
      <c r="AY158" s="1050"/>
      <c r="AZ158" s="1049"/>
      <c r="BA158" s="1227"/>
      <c r="BB158" s="1085"/>
      <c r="BC158" s="968"/>
      <c r="BD158" s="965"/>
      <c r="BE158" s="1046"/>
      <c r="BF158" s="1047"/>
      <c r="BG158" s="1231"/>
      <c r="BH158" s="837"/>
      <c r="BI158" s="965"/>
      <c r="BJ158" s="968"/>
      <c r="BK158" s="1050"/>
      <c r="BL158" s="1049"/>
      <c r="BM158" s="1227"/>
      <c r="BN158" s="1085"/>
      <c r="BO158" s="968"/>
      <c r="BP158" s="965"/>
      <c r="BQ158" s="1046"/>
      <c r="BR158" s="965"/>
      <c r="BS158" s="1231"/>
      <c r="BT158" s="837"/>
      <c r="BU158" s="965"/>
      <c r="BV158" s="968"/>
      <c r="BW158" s="1050"/>
      <c r="BX158" s="968"/>
      <c r="BY158" s="1227"/>
      <c r="BZ158" s="1085"/>
      <c r="CA158" s="968"/>
      <c r="CB158" s="1060"/>
      <c r="CC158" s="965"/>
      <c r="CD158" s="965"/>
      <c r="CE158" s="965"/>
      <c r="CF158" s="965"/>
      <c r="CG158" s="965"/>
      <c r="CH158" s="965"/>
      <c r="CI158" s="965"/>
      <c r="CJ158" s="965"/>
      <c r="CK158" s="965"/>
    </row>
    <row r="159" spans="1:89" s="886" customFormat="1" ht="14.25">
      <c r="A159" s="1043"/>
      <c r="B159" s="1044"/>
      <c r="C159" s="1045"/>
      <c r="D159" s="1076"/>
      <c r="E159" s="1043"/>
      <c r="F159" s="1046"/>
      <c r="G159" s="1046"/>
      <c r="H159" s="1047"/>
      <c r="I159" s="1043"/>
      <c r="J159" s="1047"/>
      <c r="K159" s="1317"/>
      <c r="L159" s="1047"/>
      <c r="M159" s="1317"/>
      <c r="N159" s="1317"/>
      <c r="O159" s="965"/>
      <c r="P159" s="965"/>
      <c r="Q159" s="965"/>
      <c r="R159" s="965"/>
      <c r="S159" s="965"/>
      <c r="T159" s="1047"/>
      <c r="U159" s="1188"/>
      <c r="V159" s="1047"/>
      <c r="W159" s="1188"/>
      <c r="X159" s="837"/>
      <c r="Y159" s="965"/>
      <c r="Z159" s="1049"/>
      <c r="AA159" s="1050"/>
      <c r="AB159" s="1049"/>
      <c r="AC159" s="1227"/>
      <c r="AD159" s="1085"/>
      <c r="AE159" s="968"/>
      <c r="AF159" s="1047"/>
      <c r="AG159" s="1046"/>
      <c r="AH159" s="1047"/>
      <c r="AI159" s="1231"/>
      <c r="AJ159" s="837"/>
      <c r="AK159" s="965"/>
      <c r="AL159" s="1049"/>
      <c r="AM159" s="1050"/>
      <c r="AN159" s="1049"/>
      <c r="AO159" s="1227"/>
      <c r="AP159" s="1085"/>
      <c r="AQ159" s="968"/>
      <c r="AR159" s="1047"/>
      <c r="AS159" s="1046"/>
      <c r="AT159" s="1047"/>
      <c r="AU159" s="1231"/>
      <c r="AV159" s="837"/>
      <c r="AW159" s="965"/>
      <c r="AX159" s="1049"/>
      <c r="AY159" s="1050"/>
      <c r="AZ159" s="1049"/>
      <c r="BA159" s="1227"/>
      <c r="BB159" s="1085"/>
      <c r="BC159" s="968"/>
      <c r="BD159" s="965"/>
      <c r="BE159" s="1046"/>
      <c r="BF159" s="1047"/>
      <c r="BG159" s="1231"/>
      <c r="BH159" s="837"/>
      <c r="BI159" s="965"/>
      <c r="BJ159" s="968"/>
      <c r="BK159" s="1050"/>
      <c r="BL159" s="1049"/>
      <c r="BM159" s="1227"/>
      <c r="BN159" s="1085"/>
      <c r="BO159" s="968"/>
      <c r="BP159" s="965"/>
      <c r="BQ159" s="1046"/>
      <c r="BR159" s="965"/>
      <c r="BS159" s="1231"/>
      <c r="BT159" s="837"/>
      <c r="BU159" s="965"/>
      <c r="BV159" s="968"/>
      <c r="BW159" s="1050"/>
      <c r="BX159" s="968"/>
      <c r="BY159" s="1227"/>
      <c r="BZ159" s="1085"/>
      <c r="CA159" s="968"/>
      <c r="CB159" s="1060"/>
      <c r="CC159" s="965"/>
      <c r="CD159" s="965"/>
      <c r="CE159" s="965"/>
      <c r="CF159" s="965"/>
      <c r="CG159" s="965"/>
      <c r="CH159" s="965"/>
      <c r="CI159" s="965"/>
      <c r="CJ159" s="965"/>
      <c r="CK159" s="965"/>
    </row>
    <row r="160" spans="1:89" s="886" customFormat="1" ht="14.25">
      <c r="A160" s="1043"/>
      <c r="B160" s="1044"/>
      <c r="C160" s="1045"/>
      <c r="D160" s="1076"/>
      <c r="E160" s="1043"/>
      <c r="F160" s="1046"/>
      <c r="G160" s="1046"/>
      <c r="H160" s="1047"/>
      <c r="I160" s="1043"/>
      <c r="J160" s="1047"/>
      <c r="K160" s="1317"/>
      <c r="L160" s="1047"/>
      <c r="M160" s="1317"/>
      <c r="N160" s="1317"/>
      <c r="O160" s="965"/>
      <c r="P160" s="965"/>
      <c r="Q160" s="965"/>
      <c r="R160" s="965"/>
      <c r="S160" s="965"/>
      <c r="T160" s="1047"/>
      <c r="U160" s="1188"/>
      <c r="V160" s="1047"/>
      <c r="W160" s="1188"/>
      <c r="X160" s="837"/>
      <c r="Y160" s="965"/>
      <c r="Z160" s="1049"/>
      <c r="AA160" s="1050"/>
      <c r="AB160" s="1049"/>
      <c r="AC160" s="1227"/>
      <c r="AD160" s="1085"/>
      <c r="AE160" s="968"/>
      <c r="AF160" s="1047"/>
      <c r="AG160" s="1046"/>
      <c r="AH160" s="1047"/>
      <c r="AI160" s="1231"/>
      <c r="AJ160" s="837"/>
      <c r="AK160" s="965"/>
      <c r="AL160" s="1049"/>
      <c r="AM160" s="1050"/>
      <c r="AN160" s="1049"/>
      <c r="AO160" s="1227"/>
      <c r="AP160" s="1085"/>
      <c r="AQ160" s="968"/>
      <c r="AR160" s="1047"/>
      <c r="AS160" s="1046"/>
      <c r="AT160" s="1047"/>
      <c r="AU160" s="1231"/>
      <c r="AV160" s="837"/>
      <c r="AW160" s="965"/>
      <c r="AX160" s="1049"/>
      <c r="AY160" s="1050"/>
      <c r="AZ160" s="1049"/>
      <c r="BA160" s="1227"/>
      <c r="BB160" s="1085"/>
      <c r="BC160" s="968"/>
      <c r="BD160" s="965"/>
      <c r="BE160" s="1046"/>
      <c r="BF160" s="1047"/>
      <c r="BG160" s="1231"/>
      <c r="BH160" s="837"/>
      <c r="BI160" s="965"/>
      <c r="BJ160" s="968"/>
      <c r="BK160" s="1050"/>
      <c r="BL160" s="1049"/>
      <c r="BM160" s="1227"/>
      <c r="BN160" s="1085"/>
      <c r="BO160" s="968"/>
      <c r="BP160" s="965"/>
      <c r="BQ160" s="1046"/>
      <c r="BR160" s="965"/>
      <c r="BS160" s="1231"/>
      <c r="BT160" s="837"/>
      <c r="BU160" s="965"/>
      <c r="BV160" s="968"/>
      <c r="BW160" s="1050"/>
      <c r="BX160" s="968"/>
      <c r="BY160" s="1227"/>
      <c r="BZ160" s="1085"/>
      <c r="CA160" s="968"/>
      <c r="CB160" s="1060"/>
      <c r="CC160" s="965"/>
      <c r="CD160" s="965"/>
      <c r="CE160" s="965"/>
      <c r="CF160" s="965"/>
      <c r="CG160" s="965"/>
      <c r="CH160" s="965"/>
      <c r="CI160" s="965"/>
      <c r="CJ160" s="965"/>
      <c r="CK160" s="965"/>
    </row>
    <row r="161" spans="1:89" s="886" customFormat="1" ht="14.25">
      <c r="A161" s="1043"/>
      <c r="B161" s="1044"/>
      <c r="C161" s="1045"/>
      <c r="D161" s="1076"/>
      <c r="E161" s="1043"/>
      <c r="F161" s="1046"/>
      <c r="G161" s="1046"/>
      <c r="H161" s="1047"/>
      <c r="I161" s="1043"/>
      <c r="J161" s="1047"/>
      <c r="K161" s="1317"/>
      <c r="L161" s="1047"/>
      <c r="M161" s="1317"/>
      <c r="N161" s="1317"/>
      <c r="O161" s="965"/>
      <c r="P161" s="965"/>
      <c r="Q161" s="965"/>
      <c r="R161" s="965"/>
      <c r="S161" s="965"/>
      <c r="T161" s="1047"/>
      <c r="U161" s="1188"/>
      <c r="V161" s="1047"/>
      <c r="W161" s="1188"/>
      <c r="X161" s="837"/>
      <c r="Y161" s="965"/>
      <c r="Z161" s="1049"/>
      <c r="AA161" s="1050"/>
      <c r="AB161" s="1049"/>
      <c r="AC161" s="1227"/>
      <c r="AD161" s="1085"/>
      <c r="AE161" s="968"/>
      <c r="AF161" s="1047"/>
      <c r="AG161" s="1046"/>
      <c r="AH161" s="1047"/>
      <c r="AI161" s="1231"/>
      <c r="AJ161" s="837"/>
      <c r="AK161" s="965"/>
      <c r="AL161" s="1049"/>
      <c r="AM161" s="1050"/>
      <c r="AN161" s="1049"/>
      <c r="AO161" s="1227"/>
      <c r="AP161" s="1085"/>
      <c r="AQ161" s="968"/>
      <c r="AR161" s="1047"/>
      <c r="AS161" s="1046"/>
      <c r="AT161" s="1047"/>
      <c r="AU161" s="1231"/>
      <c r="AV161" s="837"/>
      <c r="AW161" s="965"/>
      <c r="AX161" s="1049"/>
      <c r="AY161" s="1050"/>
      <c r="AZ161" s="1049"/>
      <c r="BA161" s="1227"/>
      <c r="BB161" s="1085"/>
      <c r="BC161" s="968"/>
      <c r="BD161" s="965"/>
      <c r="BE161" s="1046"/>
      <c r="BF161" s="1047"/>
      <c r="BG161" s="1231"/>
      <c r="BH161" s="837"/>
      <c r="BI161" s="965"/>
      <c r="BJ161" s="968"/>
      <c r="BK161" s="1050"/>
      <c r="BL161" s="1049"/>
      <c r="BM161" s="1227"/>
      <c r="BN161" s="1085"/>
      <c r="BO161" s="968"/>
      <c r="BP161" s="965"/>
      <c r="BQ161" s="1046"/>
      <c r="BR161" s="965"/>
      <c r="BS161" s="1231"/>
      <c r="BT161" s="837"/>
      <c r="BU161" s="965"/>
      <c r="BV161" s="968"/>
      <c r="BW161" s="1050"/>
      <c r="BX161" s="968"/>
      <c r="BY161" s="1227"/>
      <c r="BZ161" s="1085"/>
      <c r="CA161" s="968"/>
      <c r="CB161" s="1060"/>
      <c r="CC161" s="965"/>
      <c r="CD161" s="965"/>
      <c r="CE161" s="965"/>
      <c r="CF161" s="965"/>
      <c r="CG161" s="965"/>
      <c r="CH161" s="965"/>
      <c r="CI161" s="965"/>
      <c r="CJ161" s="965"/>
      <c r="CK161" s="965"/>
    </row>
    <row r="162" spans="1:89" s="886" customFormat="1" ht="14.25">
      <c r="A162" s="1043"/>
      <c r="B162" s="1044"/>
      <c r="C162" s="1045"/>
      <c r="D162" s="1076"/>
      <c r="E162" s="1043"/>
      <c r="F162" s="1046"/>
      <c r="G162" s="1046"/>
      <c r="H162" s="1047"/>
      <c r="I162" s="1043"/>
      <c r="J162" s="1047"/>
      <c r="K162" s="1317"/>
      <c r="L162" s="1047"/>
      <c r="M162" s="1317"/>
      <c r="N162" s="1317"/>
      <c r="O162" s="965"/>
      <c r="P162" s="965"/>
      <c r="Q162" s="965"/>
      <c r="R162" s="965"/>
      <c r="S162" s="965"/>
      <c r="T162" s="1047"/>
      <c r="U162" s="1188"/>
      <c r="V162" s="1047"/>
      <c r="W162" s="1188"/>
      <c r="X162" s="837"/>
      <c r="Y162" s="965"/>
      <c r="Z162" s="1049"/>
      <c r="AA162" s="1050"/>
      <c r="AB162" s="1049"/>
      <c r="AC162" s="1227"/>
      <c r="AD162" s="1085"/>
      <c r="AE162" s="968"/>
      <c r="AF162" s="1047"/>
      <c r="AG162" s="1046"/>
      <c r="AH162" s="1047"/>
      <c r="AI162" s="1231"/>
      <c r="AJ162" s="837"/>
      <c r="AK162" s="965"/>
      <c r="AL162" s="1049"/>
      <c r="AM162" s="1050"/>
      <c r="AN162" s="1049"/>
      <c r="AO162" s="1227"/>
      <c r="AP162" s="1085"/>
      <c r="AQ162" s="968"/>
      <c r="AR162" s="1047"/>
      <c r="AS162" s="1046"/>
      <c r="AT162" s="1047"/>
      <c r="AU162" s="1231"/>
      <c r="AV162" s="837"/>
      <c r="AW162" s="965"/>
      <c r="AX162" s="1049"/>
      <c r="AY162" s="1050"/>
      <c r="AZ162" s="1049"/>
      <c r="BA162" s="1227"/>
      <c r="BB162" s="1085"/>
      <c r="BC162" s="968"/>
      <c r="BD162" s="965"/>
      <c r="BE162" s="1046"/>
      <c r="BF162" s="1047"/>
      <c r="BG162" s="1231"/>
      <c r="BH162" s="837"/>
      <c r="BI162" s="965"/>
      <c r="BJ162" s="968"/>
      <c r="BK162" s="1050"/>
      <c r="BL162" s="1049"/>
      <c r="BM162" s="1227"/>
      <c r="BN162" s="1085"/>
      <c r="BO162" s="968"/>
      <c r="BP162" s="965"/>
      <c r="BQ162" s="1046"/>
      <c r="BR162" s="965"/>
      <c r="BS162" s="1231"/>
      <c r="BT162" s="837"/>
      <c r="BU162" s="965"/>
      <c r="BV162" s="968"/>
      <c r="BW162" s="1050"/>
      <c r="BX162" s="968"/>
      <c r="BY162" s="1227"/>
      <c r="BZ162" s="1085"/>
      <c r="CA162" s="968"/>
      <c r="CB162" s="1060"/>
      <c r="CC162" s="965"/>
      <c r="CD162" s="965"/>
      <c r="CE162" s="965"/>
      <c r="CF162" s="965"/>
      <c r="CG162" s="965"/>
      <c r="CH162" s="965"/>
      <c r="CI162" s="965"/>
      <c r="CJ162" s="965"/>
      <c r="CK162" s="965"/>
    </row>
    <row r="163" spans="1:89" s="886" customFormat="1" ht="14.25">
      <c r="A163" s="1043"/>
      <c r="B163" s="1044"/>
      <c r="C163" s="1045"/>
      <c r="D163" s="1076"/>
      <c r="E163" s="1043"/>
      <c r="F163" s="1046"/>
      <c r="G163" s="1046"/>
      <c r="H163" s="1047"/>
      <c r="I163" s="1043"/>
      <c r="J163" s="1047"/>
      <c r="K163" s="1317"/>
      <c r="L163" s="1047"/>
      <c r="M163" s="1317"/>
      <c r="N163" s="1317"/>
      <c r="O163" s="965"/>
      <c r="P163" s="965"/>
      <c r="Q163" s="965"/>
      <c r="R163" s="965"/>
      <c r="S163" s="965"/>
      <c r="T163" s="1047"/>
      <c r="U163" s="1188"/>
      <c r="V163" s="1047"/>
      <c r="W163" s="1188"/>
      <c r="X163" s="837"/>
      <c r="Y163" s="965"/>
      <c r="Z163" s="1049"/>
      <c r="AA163" s="1050"/>
      <c r="AB163" s="1049"/>
      <c r="AC163" s="1227"/>
      <c r="AD163" s="1085"/>
      <c r="AE163" s="968"/>
      <c r="AF163" s="1047"/>
      <c r="AG163" s="1046"/>
      <c r="AH163" s="1047"/>
      <c r="AI163" s="1231"/>
      <c r="AJ163" s="837"/>
      <c r="AK163" s="965"/>
      <c r="AL163" s="1049"/>
      <c r="AM163" s="1050"/>
      <c r="AN163" s="1049"/>
      <c r="AO163" s="1227"/>
      <c r="AP163" s="1085"/>
      <c r="AQ163" s="968"/>
      <c r="AR163" s="1047"/>
      <c r="AS163" s="1046"/>
      <c r="AT163" s="1047"/>
      <c r="AU163" s="1231"/>
      <c r="AV163" s="837"/>
      <c r="AW163" s="965"/>
      <c r="AX163" s="1049"/>
      <c r="AY163" s="1050"/>
      <c r="AZ163" s="1049"/>
      <c r="BA163" s="1227"/>
      <c r="BB163" s="1085"/>
      <c r="BC163" s="968"/>
      <c r="BD163" s="965"/>
      <c r="BE163" s="1046"/>
      <c r="BF163" s="1047"/>
      <c r="BG163" s="1231"/>
      <c r="BH163" s="837"/>
      <c r="BI163" s="965"/>
      <c r="BJ163" s="968"/>
      <c r="BK163" s="1050"/>
      <c r="BL163" s="1049"/>
      <c r="BM163" s="1227"/>
      <c r="BN163" s="1085"/>
      <c r="BO163" s="968"/>
      <c r="BP163" s="965"/>
      <c r="BQ163" s="1046"/>
      <c r="BR163" s="965"/>
      <c r="BS163" s="1231"/>
      <c r="BT163" s="837"/>
      <c r="BU163" s="965"/>
      <c r="BV163" s="968"/>
      <c r="BW163" s="1050"/>
      <c r="BX163" s="968"/>
      <c r="BY163" s="1227"/>
      <c r="BZ163" s="1085"/>
      <c r="CA163" s="968"/>
      <c r="CB163" s="1060"/>
      <c r="CC163" s="965"/>
      <c r="CD163" s="965"/>
      <c r="CE163" s="965"/>
      <c r="CF163" s="965"/>
      <c r="CG163" s="965"/>
      <c r="CH163" s="965"/>
      <c r="CI163" s="965"/>
      <c r="CJ163" s="965"/>
      <c r="CK163" s="965"/>
    </row>
    <row r="164" spans="1:89" s="886" customFormat="1" ht="14.25">
      <c r="A164" s="1043"/>
      <c r="B164" s="1044"/>
      <c r="C164" s="1045"/>
      <c r="D164" s="1076"/>
      <c r="E164" s="1043"/>
      <c r="F164" s="1046"/>
      <c r="G164" s="1046"/>
      <c r="H164" s="1047"/>
      <c r="I164" s="1043"/>
      <c r="J164" s="1047"/>
      <c r="K164" s="1317"/>
      <c r="L164" s="1047"/>
      <c r="M164" s="1317"/>
      <c r="N164" s="1317"/>
      <c r="O164" s="965"/>
      <c r="P164" s="965"/>
      <c r="Q164" s="965"/>
      <c r="R164" s="965"/>
      <c r="S164" s="965"/>
      <c r="T164" s="1047"/>
      <c r="U164" s="1188"/>
      <c r="V164" s="1047"/>
      <c r="W164" s="1188"/>
      <c r="X164" s="837"/>
      <c r="Y164" s="965"/>
      <c r="Z164" s="1049"/>
      <c r="AA164" s="1050"/>
      <c r="AB164" s="1049"/>
      <c r="AC164" s="1227"/>
      <c r="AD164" s="1085"/>
      <c r="AE164" s="968"/>
      <c r="AF164" s="1047"/>
      <c r="AG164" s="1046"/>
      <c r="AH164" s="1047"/>
      <c r="AI164" s="1231"/>
      <c r="AJ164" s="837"/>
      <c r="AK164" s="965"/>
      <c r="AL164" s="1049"/>
      <c r="AM164" s="1050"/>
      <c r="AN164" s="1049"/>
      <c r="AO164" s="1227"/>
      <c r="AP164" s="1085"/>
      <c r="AQ164" s="968"/>
      <c r="AR164" s="1047"/>
      <c r="AS164" s="1046"/>
      <c r="AT164" s="1047"/>
      <c r="AU164" s="1231"/>
      <c r="AV164" s="837"/>
      <c r="AW164" s="965"/>
      <c r="AX164" s="1049"/>
      <c r="AY164" s="1050"/>
      <c r="AZ164" s="1049"/>
      <c r="BA164" s="1227"/>
      <c r="BB164" s="1085"/>
      <c r="BC164" s="968"/>
      <c r="BD164" s="965"/>
      <c r="BE164" s="1046"/>
      <c r="BF164" s="1047"/>
      <c r="BG164" s="1231"/>
      <c r="BH164" s="837"/>
      <c r="BI164" s="965"/>
      <c r="BJ164" s="968"/>
      <c r="BK164" s="1050"/>
      <c r="BL164" s="1049"/>
      <c r="BM164" s="1227"/>
      <c r="BN164" s="1085"/>
      <c r="BO164" s="968"/>
      <c r="BP164" s="965"/>
      <c r="BQ164" s="1046"/>
      <c r="BR164" s="965"/>
      <c r="BS164" s="1231"/>
      <c r="BT164" s="837"/>
      <c r="BU164" s="965"/>
      <c r="BV164" s="968"/>
      <c r="BW164" s="1050"/>
      <c r="BX164" s="968"/>
      <c r="BY164" s="1227"/>
      <c r="BZ164" s="1085"/>
      <c r="CA164" s="968"/>
      <c r="CB164" s="1060"/>
      <c r="CC164" s="965"/>
      <c r="CD164" s="965"/>
      <c r="CE164" s="965"/>
      <c r="CF164" s="965"/>
      <c r="CG164" s="965"/>
      <c r="CH164" s="965"/>
      <c r="CI164" s="965"/>
      <c r="CJ164" s="965"/>
      <c r="CK164" s="965"/>
    </row>
    <row r="165" spans="1:89" s="886" customFormat="1" ht="14.25">
      <c r="A165" s="1043"/>
      <c r="B165" s="1044"/>
      <c r="C165" s="1045"/>
      <c r="D165" s="1076"/>
      <c r="E165" s="1043"/>
      <c r="F165" s="1046"/>
      <c r="G165" s="1046"/>
      <c r="H165" s="1047"/>
      <c r="I165" s="1043"/>
      <c r="J165" s="1047"/>
      <c r="K165" s="1317"/>
      <c r="L165" s="1047"/>
      <c r="M165" s="1317"/>
      <c r="N165" s="1317"/>
      <c r="O165" s="965"/>
      <c r="P165" s="965"/>
      <c r="Q165" s="965"/>
      <c r="R165" s="965"/>
      <c r="S165" s="965"/>
      <c r="T165" s="1047"/>
      <c r="U165" s="1188"/>
      <c r="V165" s="1047"/>
      <c r="W165" s="1188"/>
      <c r="X165" s="837"/>
      <c r="Y165" s="965"/>
      <c r="Z165" s="1049"/>
      <c r="AA165" s="1050"/>
      <c r="AB165" s="1049"/>
      <c r="AC165" s="1227"/>
      <c r="AD165" s="1085"/>
      <c r="AE165" s="968"/>
      <c r="AF165" s="1047"/>
      <c r="AG165" s="1046"/>
      <c r="AH165" s="1047"/>
      <c r="AI165" s="1231"/>
      <c r="AJ165" s="837"/>
      <c r="AK165" s="965"/>
      <c r="AL165" s="1049"/>
      <c r="AM165" s="1050"/>
      <c r="AN165" s="1049"/>
      <c r="AO165" s="1227"/>
      <c r="AP165" s="1085"/>
      <c r="AQ165" s="968"/>
      <c r="AR165" s="1047"/>
      <c r="AS165" s="1046"/>
      <c r="AT165" s="1047"/>
      <c r="AU165" s="1231"/>
      <c r="AV165" s="837"/>
      <c r="AW165" s="965"/>
      <c r="AX165" s="1049"/>
      <c r="AY165" s="1050"/>
      <c r="AZ165" s="1049"/>
      <c r="BA165" s="1227"/>
      <c r="BB165" s="1085"/>
      <c r="BC165" s="968"/>
      <c r="BD165" s="965"/>
      <c r="BE165" s="1046"/>
      <c r="BF165" s="1047"/>
      <c r="BG165" s="1231"/>
      <c r="BH165" s="837"/>
      <c r="BI165" s="965"/>
      <c r="BJ165" s="968"/>
      <c r="BK165" s="1050"/>
      <c r="BL165" s="1049"/>
      <c r="BM165" s="1227"/>
      <c r="BN165" s="1085"/>
      <c r="BO165" s="968"/>
      <c r="BP165" s="965"/>
      <c r="BQ165" s="1046"/>
      <c r="BR165" s="965"/>
      <c r="BS165" s="1231"/>
      <c r="BT165" s="837"/>
      <c r="BU165" s="965"/>
      <c r="BV165" s="968"/>
      <c r="BW165" s="1050"/>
      <c r="BX165" s="968"/>
      <c r="BY165" s="1227"/>
      <c r="BZ165" s="1085"/>
      <c r="CA165" s="968"/>
      <c r="CB165" s="1060"/>
      <c r="CC165" s="965"/>
      <c r="CD165" s="965"/>
      <c r="CE165" s="965"/>
      <c r="CF165" s="965"/>
      <c r="CG165" s="965"/>
      <c r="CH165" s="965"/>
      <c r="CI165" s="965"/>
      <c r="CJ165" s="965"/>
      <c r="CK165" s="965"/>
    </row>
    <row r="166" spans="1:89" s="886" customFormat="1" ht="14.25">
      <c r="A166" s="1043"/>
      <c r="B166" s="1044"/>
      <c r="C166" s="1045"/>
      <c r="D166" s="1076"/>
      <c r="E166" s="1043"/>
      <c r="F166" s="1046"/>
      <c r="G166" s="1046"/>
      <c r="H166" s="1047"/>
      <c r="I166" s="1043"/>
      <c r="J166" s="1047"/>
      <c r="K166" s="1317"/>
      <c r="L166" s="1047"/>
      <c r="M166" s="1317"/>
      <c r="N166" s="1317"/>
      <c r="O166" s="965"/>
      <c r="P166" s="965"/>
      <c r="Q166" s="965"/>
      <c r="R166" s="965"/>
      <c r="S166" s="965"/>
      <c r="T166" s="1047"/>
      <c r="U166" s="1188"/>
      <c r="V166" s="1047"/>
      <c r="W166" s="1188"/>
      <c r="X166" s="837"/>
      <c r="Y166" s="965"/>
      <c r="Z166" s="1049"/>
      <c r="AA166" s="1050"/>
      <c r="AB166" s="1049"/>
      <c r="AC166" s="1227"/>
      <c r="AD166" s="1085"/>
      <c r="AE166" s="968"/>
      <c r="AF166" s="1047"/>
      <c r="AG166" s="1046"/>
      <c r="AH166" s="1047"/>
      <c r="AI166" s="1231"/>
      <c r="AJ166" s="837"/>
      <c r="AK166" s="965"/>
      <c r="AL166" s="1049"/>
      <c r="AM166" s="1050"/>
      <c r="AN166" s="1049"/>
      <c r="AO166" s="1227"/>
      <c r="AP166" s="1085"/>
      <c r="AQ166" s="968"/>
      <c r="AR166" s="1047"/>
      <c r="AS166" s="1046"/>
      <c r="AT166" s="1047"/>
      <c r="AU166" s="1231"/>
      <c r="AV166" s="837"/>
      <c r="AW166" s="965"/>
      <c r="AX166" s="1049"/>
      <c r="AY166" s="1050"/>
      <c r="AZ166" s="1049"/>
      <c r="BA166" s="1227"/>
      <c r="BB166" s="1085"/>
      <c r="BC166" s="968"/>
      <c r="BD166" s="965"/>
      <c r="BE166" s="1046"/>
      <c r="BF166" s="1047"/>
      <c r="BG166" s="1231"/>
      <c r="BH166" s="837"/>
      <c r="BI166" s="965"/>
      <c r="BJ166" s="968"/>
      <c r="BK166" s="1050"/>
      <c r="BL166" s="1049"/>
      <c r="BM166" s="1227"/>
      <c r="BN166" s="1085"/>
      <c r="BO166" s="968"/>
      <c r="BP166" s="965"/>
      <c r="BQ166" s="1046"/>
      <c r="BR166" s="965"/>
      <c r="BS166" s="1231"/>
      <c r="BT166" s="837"/>
      <c r="BU166" s="965"/>
      <c r="BV166" s="968"/>
      <c r="BW166" s="1050"/>
      <c r="BX166" s="968"/>
      <c r="BY166" s="1227"/>
      <c r="BZ166" s="1085"/>
      <c r="CA166" s="968"/>
      <c r="CB166" s="1060"/>
      <c r="CC166" s="965"/>
      <c r="CD166" s="965"/>
      <c r="CE166" s="965"/>
      <c r="CF166" s="965"/>
      <c r="CG166" s="965"/>
      <c r="CH166" s="965"/>
      <c r="CI166" s="965"/>
      <c r="CJ166" s="965"/>
      <c r="CK166" s="965"/>
    </row>
    <row r="167" spans="1:89" s="886" customFormat="1" ht="14.25">
      <c r="A167" s="1043"/>
      <c r="B167" s="1044"/>
      <c r="C167" s="1045"/>
      <c r="D167" s="1076"/>
      <c r="E167" s="1043"/>
      <c r="F167" s="1046"/>
      <c r="G167" s="1046"/>
      <c r="H167" s="1047"/>
      <c r="I167" s="1043"/>
      <c r="J167" s="1047"/>
      <c r="K167" s="1317"/>
      <c r="L167" s="1047"/>
      <c r="M167" s="1317"/>
      <c r="N167" s="1317"/>
      <c r="O167" s="965"/>
      <c r="P167" s="965"/>
      <c r="Q167" s="965"/>
      <c r="R167" s="965"/>
      <c r="S167" s="965"/>
      <c r="T167" s="1047"/>
      <c r="U167" s="1188"/>
      <c r="V167" s="1047"/>
      <c r="W167" s="1188"/>
      <c r="X167" s="837"/>
      <c r="Y167" s="965"/>
      <c r="Z167" s="1049"/>
      <c r="AA167" s="1050"/>
      <c r="AB167" s="1049"/>
      <c r="AC167" s="1227"/>
      <c r="AD167" s="1085"/>
      <c r="AE167" s="968"/>
      <c r="AF167" s="1047"/>
      <c r="AG167" s="1046"/>
      <c r="AH167" s="1047"/>
      <c r="AI167" s="1231"/>
      <c r="AJ167" s="837"/>
      <c r="AK167" s="965"/>
      <c r="AL167" s="1049"/>
      <c r="AM167" s="1050"/>
      <c r="AN167" s="1049"/>
      <c r="AO167" s="1227"/>
      <c r="AP167" s="1085"/>
      <c r="AQ167" s="968"/>
      <c r="AR167" s="1047"/>
      <c r="AS167" s="1046"/>
      <c r="AT167" s="1047"/>
      <c r="AU167" s="1231"/>
      <c r="AV167" s="837"/>
      <c r="AW167" s="965"/>
      <c r="AX167" s="1049"/>
      <c r="AY167" s="1050"/>
      <c r="AZ167" s="1049"/>
      <c r="BA167" s="1227"/>
      <c r="BB167" s="1085"/>
      <c r="BC167" s="968"/>
      <c r="BD167" s="965"/>
      <c r="BE167" s="1046"/>
      <c r="BF167" s="1047"/>
      <c r="BG167" s="1231"/>
      <c r="BH167" s="837"/>
      <c r="BI167" s="965"/>
      <c r="BJ167" s="968"/>
      <c r="BK167" s="1050"/>
      <c r="BL167" s="1049"/>
      <c r="BM167" s="1227"/>
      <c r="BN167" s="1085"/>
      <c r="BO167" s="968"/>
      <c r="BP167" s="965"/>
      <c r="BQ167" s="1046"/>
      <c r="BR167" s="965"/>
      <c r="BS167" s="1231"/>
      <c r="BT167" s="837"/>
      <c r="BU167" s="965"/>
      <c r="BV167" s="968"/>
      <c r="BW167" s="1050"/>
      <c r="BX167" s="968"/>
      <c r="BY167" s="1227"/>
      <c r="BZ167" s="1085"/>
      <c r="CA167" s="968"/>
      <c r="CB167" s="1060"/>
      <c r="CC167" s="965"/>
      <c r="CD167" s="965"/>
      <c r="CE167" s="965"/>
      <c r="CF167" s="965"/>
      <c r="CG167" s="965"/>
      <c r="CH167" s="965"/>
      <c r="CI167" s="965"/>
      <c r="CJ167" s="965"/>
      <c r="CK167" s="965"/>
    </row>
    <row r="168" spans="1:89" s="886" customFormat="1" ht="14.25">
      <c r="A168" s="1043"/>
      <c r="B168" s="1044"/>
      <c r="C168" s="1045"/>
      <c r="D168" s="1076"/>
      <c r="E168" s="1043"/>
      <c r="F168" s="1046"/>
      <c r="G168" s="1046"/>
      <c r="H168" s="1047"/>
      <c r="I168" s="1043"/>
      <c r="J168" s="1047"/>
      <c r="K168" s="1317"/>
      <c r="L168" s="1047"/>
      <c r="M168" s="1317"/>
      <c r="N168" s="1317"/>
      <c r="O168" s="965"/>
      <c r="P168" s="965"/>
      <c r="Q168" s="965"/>
      <c r="R168" s="965"/>
      <c r="S168" s="965"/>
      <c r="T168" s="1047"/>
      <c r="U168" s="1188"/>
      <c r="V168" s="1047"/>
      <c r="W168" s="1188"/>
      <c r="X168" s="837"/>
      <c r="Y168" s="965"/>
      <c r="Z168" s="1049"/>
      <c r="AA168" s="1050"/>
      <c r="AB168" s="1049"/>
      <c r="AC168" s="1227"/>
      <c r="AD168" s="1085"/>
      <c r="AE168" s="968"/>
      <c r="AF168" s="1047"/>
      <c r="AG168" s="1046"/>
      <c r="AH168" s="1047"/>
      <c r="AI168" s="1231"/>
      <c r="AJ168" s="837"/>
      <c r="AK168" s="965"/>
      <c r="AL168" s="1049"/>
      <c r="AM168" s="1050"/>
      <c r="AN168" s="1049"/>
      <c r="AO168" s="1227"/>
      <c r="AP168" s="1085"/>
      <c r="AQ168" s="968"/>
      <c r="AR168" s="1047"/>
      <c r="AS168" s="1046"/>
      <c r="AT168" s="1047"/>
      <c r="AU168" s="1231"/>
      <c r="AV168" s="837"/>
      <c r="AW168" s="965"/>
      <c r="AX168" s="1049"/>
      <c r="AY168" s="1050"/>
      <c r="AZ168" s="1049"/>
      <c r="BA168" s="1227"/>
      <c r="BB168" s="1085"/>
      <c r="BC168" s="968"/>
      <c r="BD168" s="965"/>
      <c r="BE168" s="1046"/>
      <c r="BF168" s="1047"/>
      <c r="BG168" s="1231"/>
      <c r="BH168" s="837"/>
      <c r="BI168" s="965"/>
      <c r="BJ168" s="968"/>
      <c r="BK168" s="1050"/>
      <c r="BL168" s="1049"/>
      <c r="BM168" s="1227"/>
      <c r="BN168" s="1085"/>
      <c r="BO168" s="968"/>
      <c r="BP168" s="965"/>
      <c r="BQ168" s="1046"/>
      <c r="BR168" s="965"/>
      <c r="BS168" s="1231"/>
      <c r="BT168" s="837"/>
      <c r="BU168" s="965"/>
      <c r="BV168" s="968"/>
      <c r="BW168" s="1050"/>
      <c r="BX168" s="968"/>
      <c r="BY168" s="1227"/>
      <c r="BZ168" s="1085"/>
      <c r="CA168" s="968"/>
      <c r="CB168" s="1060"/>
      <c r="CC168" s="965"/>
      <c r="CD168" s="965"/>
      <c r="CE168" s="965"/>
      <c r="CF168" s="965"/>
      <c r="CG168" s="965"/>
      <c r="CH168" s="965"/>
      <c r="CI168" s="965"/>
      <c r="CJ168" s="965"/>
      <c r="CK168" s="965"/>
    </row>
    <row r="169" spans="1:89" s="886" customFormat="1" ht="14.25">
      <c r="A169" s="1043"/>
      <c r="B169" s="1044"/>
      <c r="C169" s="1045"/>
      <c r="D169" s="1076"/>
      <c r="E169" s="1043"/>
      <c r="F169" s="1046"/>
      <c r="G169" s="1046"/>
      <c r="H169" s="1047"/>
      <c r="I169" s="1043"/>
      <c r="J169" s="1047"/>
      <c r="K169" s="1317"/>
      <c r="L169" s="1047"/>
      <c r="M169" s="1317"/>
      <c r="N169" s="1317"/>
      <c r="O169" s="965"/>
      <c r="P169" s="965"/>
      <c r="Q169" s="965"/>
      <c r="R169" s="965"/>
      <c r="S169" s="965"/>
      <c r="T169" s="1047"/>
      <c r="U169" s="1188"/>
      <c r="V169" s="1047"/>
      <c r="W169" s="1188"/>
      <c r="X169" s="837"/>
      <c r="Y169" s="965"/>
      <c r="Z169" s="1049"/>
      <c r="AA169" s="1050"/>
      <c r="AB169" s="1049"/>
      <c r="AC169" s="1227"/>
      <c r="AD169" s="1085"/>
      <c r="AE169" s="968"/>
      <c r="AF169" s="1047"/>
      <c r="AG169" s="1046"/>
      <c r="AH169" s="1047"/>
      <c r="AI169" s="1231"/>
      <c r="AJ169" s="837"/>
      <c r="AK169" s="965"/>
      <c r="AL169" s="1049"/>
      <c r="AM169" s="1050"/>
      <c r="AN169" s="1049"/>
      <c r="AO169" s="1227"/>
      <c r="AP169" s="1085"/>
      <c r="AQ169" s="968"/>
      <c r="AR169" s="1047"/>
      <c r="AS169" s="1046"/>
      <c r="AT169" s="1047"/>
      <c r="AU169" s="1231"/>
      <c r="AV169" s="837"/>
      <c r="AW169" s="965"/>
      <c r="AX169" s="1049"/>
      <c r="AY169" s="1050"/>
      <c r="AZ169" s="1049"/>
      <c r="BA169" s="1227"/>
      <c r="BB169" s="1085"/>
      <c r="BC169" s="968"/>
      <c r="BD169" s="965"/>
      <c r="BE169" s="1046"/>
      <c r="BF169" s="1047"/>
      <c r="BG169" s="1231"/>
      <c r="BH169" s="837"/>
      <c r="BI169" s="965"/>
      <c r="BJ169" s="968"/>
      <c r="BK169" s="1050"/>
      <c r="BL169" s="1049"/>
      <c r="BM169" s="1227"/>
      <c r="BN169" s="1085"/>
      <c r="BO169" s="968"/>
      <c r="BP169" s="965"/>
      <c r="BQ169" s="1046"/>
      <c r="BR169" s="965"/>
      <c r="BS169" s="1231"/>
      <c r="BT169" s="837"/>
      <c r="BU169" s="965"/>
      <c r="BV169" s="968"/>
      <c r="BW169" s="1050"/>
      <c r="BX169" s="968"/>
      <c r="BY169" s="1227"/>
      <c r="BZ169" s="1085"/>
      <c r="CA169" s="968"/>
      <c r="CB169" s="1060"/>
      <c r="CC169" s="965"/>
      <c r="CD169" s="965"/>
      <c r="CE169" s="965"/>
      <c r="CF169" s="965"/>
      <c r="CG169" s="965"/>
      <c r="CH169" s="965"/>
      <c r="CI169" s="965"/>
      <c r="CJ169" s="965"/>
      <c r="CK169" s="965"/>
    </row>
    <row r="170" spans="1:89" s="886" customFormat="1" ht="14.25">
      <c r="A170" s="1043"/>
      <c r="B170" s="1044"/>
      <c r="C170" s="1045"/>
      <c r="D170" s="1076"/>
      <c r="E170" s="1043"/>
      <c r="F170" s="1046"/>
      <c r="G170" s="1046"/>
      <c r="H170" s="1047"/>
      <c r="I170" s="1043"/>
      <c r="J170" s="1047"/>
      <c r="K170" s="1317"/>
      <c r="L170" s="1047"/>
      <c r="M170" s="1317"/>
      <c r="N170" s="1317"/>
      <c r="O170" s="965"/>
      <c r="P170" s="965"/>
      <c r="Q170" s="965"/>
      <c r="R170" s="965"/>
      <c r="S170" s="965"/>
      <c r="T170" s="1047"/>
      <c r="U170" s="1188"/>
      <c r="V170" s="1047"/>
      <c r="W170" s="1188"/>
      <c r="X170" s="837"/>
      <c r="Y170" s="965"/>
      <c r="Z170" s="1049"/>
      <c r="AA170" s="1050"/>
      <c r="AB170" s="1049"/>
      <c r="AC170" s="1227"/>
      <c r="AD170" s="1085"/>
      <c r="AE170" s="968"/>
      <c r="AF170" s="1047"/>
      <c r="AG170" s="1046"/>
      <c r="AH170" s="1047"/>
      <c r="AI170" s="1231"/>
      <c r="AJ170" s="837"/>
      <c r="AK170" s="965"/>
      <c r="AL170" s="1049"/>
      <c r="AM170" s="1050"/>
      <c r="AN170" s="1049"/>
      <c r="AO170" s="1227"/>
      <c r="AP170" s="1085"/>
      <c r="AQ170" s="968"/>
      <c r="AR170" s="1047"/>
      <c r="AS170" s="1046"/>
      <c r="AT170" s="1047"/>
      <c r="AU170" s="1231"/>
      <c r="AV170" s="837"/>
      <c r="AW170" s="965"/>
      <c r="AX170" s="1049"/>
      <c r="AY170" s="1050"/>
      <c r="AZ170" s="1049"/>
      <c r="BA170" s="1227"/>
      <c r="BB170" s="1085"/>
      <c r="BC170" s="968"/>
      <c r="BD170" s="965"/>
      <c r="BE170" s="1046"/>
      <c r="BF170" s="1047"/>
      <c r="BG170" s="1231"/>
      <c r="BH170" s="837"/>
      <c r="BI170" s="965"/>
      <c r="BJ170" s="968"/>
      <c r="BK170" s="1050"/>
      <c r="BL170" s="1049"/>
      <c r="BM170" s="1227"/>
      <c r="BN170" s="1085"/>
      <c r="BO170" s="968"/>
      <c r="BP170" s="965"/>
      <c r="BQ170" s="1046"/>
      <c r="BR170" s="965"/>
      <c r="BS170" s="1231"/>
      <c r="BT170" s="837"/>
      <c r="BU170" s="965"/>
      <c r="BV170" s="968"/>
      <c r="BW170" s="1050"/>
      <c r="BX170" s="968"/>
      <c r="BY170" s="1227"/>
      <c r="BZ170" s="1085"/>
      <c r="CA170" s="968"/>
      <c r="CB170" s="1060"/>
      <c r="CC170" s="965"/>
      <c r="CD170" s="965"/>
      <c r="CE170" s="965"/>
      <c r="CF170" s="965"/>
      <c r="CG170" s="965"/>
      <c r="CH170" s="965"/>
      <c r="CI170" s="965"/>
      <c r="CJ170" s="965"/>
      <c r="CK170" s="965"/>
    </row>
    <row r="171" spans="1:89" s="886" customFormat="1" ht="14.25">
      <c r="A171" s="1043"/>
      <c r="B171" s="1044"/>
      <c r="C171" s="1045"/>
      <c r="D171" s="1076"/>
      <c r="E171" s="1043"/>
      <c r="F171" s="1046"/>
      <c r="G171" s="1046"/>
      <c r="H171" s="1047"/>
      <c r="I171" s="1043"/>
      <c r="J171" s="1047"/>
      <c r="K171" s="1317"/>
      <c r="L171" s="1047"/>
      <c r="M171" s="1317"/>
      <c r="N171" s="1317"/>
      <c r="O171" s="965"/>
      <c r="P171" s="965"/>
      <c r="Q171" s="965"/>
      <c r="R171" s="965"/>
      <c r="S171" s="965"/>
      <c r="T171" s="1047"/>
      <c r="U171" s="1188"/>
      <c r="V171" s="1047"/>
      <c r="W171" s="1188"/>
      <c r="X171" s="837"/>
      <c r="Y171" s="965"/>
      <c r="Z171" s="1049"/>
      <c r="AA171" s="1050"/>
      <c r="AB171" s="1049"/>
      <c r="AC171" s="1227"/>
      <c r="AD171" s="1085"/>
      <c r="AE171" s="968"/>
      <c r="AF171" s="1047"/>
      <c r="AG171" s="1046"/>
      <c r="AH171" s="1047"/>
      <c r="AI171" s="1231"/>
      <c r="AJ171" s="837"/>
      <c r="AK171" s="965"/>
      <c r="AL171" s="1049"/>
      <c r="AM171" s="1050"/>
      <c r="AN171" s="1049"/>
      <c r="AO171" s="1227"/>
      <c r="AP171" s="1085"/>
      <c r="AQ171" s="968"/>
      <c r="AR171" s="1047"/>
      <c r="AS171" s="1046"/>
      <c r="AT171" s="1047"/>
      <c r="AU171" s="1231"/>
      <c r="AV171" s="837"/>
      <c r="AW171" s="965"/>
      <c r="AX171" s="1049"/>
      <c r="AY171" s="1050"/>
      <c r="AZ171" s="1049"/>
      <c r="BA171" s="1227"/>
      <c r="BB171" s="1085"/>
      <c r="BC171" s="968"/>
      <c r="BD171" s="965"/>
      <c r="BE171" s="1046"/>
      <c r="BF171" s="1047"/>
      <c r="BG171" s="1231"/>
      <c r="BH171" s="837"/>
      <c r="BI171" s="965"/>
      <c r="BJ171" s="968"/>
      <c r="BK171" s="1050"/>
      <c r="BL171" s="1049"/>
      <c r="BM171" s="1227"/>
      <c r="BN171" s="1085"/>
      <c r="BO171" s="968"/>
      <c r="BP171" s="965"/>
      <c r="BQ171" s="1046"/>
      <c r="BR171" s="965"/>
      <c r="BS171" s="1231"/>
      <c r="BT171" s="837"/>
      <c r="BU171" s="965"/>
      <c r="BV171" s="968"/>
      <c r="BW171" s="1050"/>
      <c r="BX171" s="968"/>
      <c r="BY171" s="1227"/>
      <c r="BZ171" s="1085"/>
      <c r="CA171" s="968"/>
      <c r="CB171" s="1060"/>
      <c r="CC171" s="965"/>
      <c r="CD171" s="965"/>
      <c r="CE171" s="965"/>
      <c r="CF171" s="965"/>
      <c r="CG171" s="965"/>
      <c r="CH171" s="965"/>
      <c r="CI171" s="965"/>
      <c r="CJ171" s="965"/>
      <c r="CK171" s="965"/>
    </row>
    <row r="172" spans="1:89" s="886" customFormat="1" ht="14.25">
      <c r="A172" s="1043"/>
      <c r="B172" s="1044"/>
      <c r="C172" s="1045"/>
      <c r="D172" s="1076"/>
      <c r="E172" s="1043"/>
      <c r="F172" s="1046"/>
      <c r="G172" s="1046"/>
      <c r="H172" s="1047"/>
      <c r="I172" s="1043"/>
      <c r="J172" s="1047"/>
      <c r="K172" s="1317"/>
      <c r="L172" s="1047"/>
      <c r="M172" s="1317"/>
      <c r="N172" s="1317"/>
      <c r="O172" s="965"/>
      <c r="P172" s="965"/>
      <c r="Q172" s="965"/>
      <c r="R172" s="965"/>
      <c r="S172" s="965"/>
      <c r="T172" s="1047"/>
      <c r="U172" s="1188"/>
      <c r="V172" s="1047"/>
      <c r="W172" s="1188"/>
      <c r="X172" s="837"/>
      <c r="Y172" s="965"/>
      <c r="Z172" s="1049"/>
      <c r="AA172" s="1050"/>
      <c r="AB172" s="1049"/>
      <c r="AC172" s="1227"/>
      <c r="AD172" s="1085"/>
      <c r="AE172" s="968"/>
      <c r="AF172" s="1047"/>
      <c r="AG172" s="1046"/>
      <c r="AH172" s="1047"/>
      <c r="AI172" s="1231"/>
      <c r="AJ172" s="837"/>
      <c r="AK172" s="965"/>
      <c r="AL172" s="1049"/>
      <c r="AM172" s="1050"/>
      <c r="AN172" s="1049"/>
      <c r="AO172" s="1227"/>
      <c r="AP172" s="1085"/>
      <c r="AQ172" s="968"/>
      <c r="AR172" s="1047"/>
      <c r="AS172" s="1046"/>
      <c r="AT172" s="1047"/>
      <c r="AU172" s="1231"/>
      <c r="AV172" s="837"/>
      <c r="AW172" s="965"/>
      <c r="AX172" s="1049"/>
      <c r="AY172" s="1050"/>
      <c r="AZ172" s="1049"/>
      <c r="BA172" s="1227"/>
      <c r="BB172" s="1085"/>
      <c r="BC172" s="968"/>
      <c r="BD172" s="965"/>
      <c r="BE172" s="1046"/>
      <c r="BF172" s="1047"/>
      <c r="BG172" s="1231"/>
      <c r="BH172" s="837"/>
      <c r="BI172" s="965"/>
      <c r="BJ172" s="968"/>
      <c r="BK172" s="1050"/>
      <c r="BL172" s="1049"/>
      <c r="BM172" s="1227"/>
      <c r="BN172" s="1085"/>
      <c r="BO172" s="968"/>
      <c r="BP172" s="965"/>
      <c r="BQ172" s="1046"/>
      <c r="BR172" s="965"/>
      <c r="BS172" s="1231"/>
      <c r="BT172" s="837"/>
      <c r="BU172" s="965"/>
      <c r="BV172" s="968"/>
      <c r="BW172" s="1050"/>
      <c r="BX172" s="968"/>
      <c r="BY172" s="1227"/>
      <c r="BZ172" s="1085"/>
      <c r="CA172" s="968"/>
      <c r="CB172" s="1060"/>
      <c r="CC172" s="965"/>
      <c r="CD172" s="965"/>
      <c r="CE172" s="965"/>
      <c r="CF172" s="965"/>
      <c r="CG172" s="965"/>
      <c r="CH172" s="965"/>
      <c r="CI172" s="965"/>
      <c r="CJ172" s="965"/>
      <c r="CK172" s="965"/>
    </row>
    <row r="173" spans="1:89" s="886" customFormat="1" ht="14.25">
      <c r="A173" s="1043"/>
      <c r="B173" s="1044"/>
      <c r="C173" s="1045"/>
      <c r="D173" s="1076"/>
      <c r="E173" s="1043"/>
      <c r="F173" s="1046"/>
      <c r="G173" s="1046"/>
      <c r="H173" s="1047"/>
      <c r="I173" s="1043"/>
      <c r="J173" s="1047"/>
      <c r="K173" s="1317"/>
      <c r="L173" s="1047"/>
      <c r="M173" s="1317"/>
      <c r="N173" s="1317"/>
      <c r="O173" s="965"/>
      <c r="P173" s="965"/>
      <c r="Q173" s="965"/>
      <c r="R173" s="965"/>
      <c r="S173" s="965"/>
      <c r="T173" s="1047"/>
      <c r="U173" s="1188"/>
      <c r="V173" s="1047"/>
      <c r="W173" s="1188"/>
      <c r="X173" s="837"/>
      <c r="Y173" s="965"/>
      <c r="Z173" s="1049"/>
      <c r="AA173" s="1050"/>
      <c r="AB173" s="1049"/>
      <c r="AC173" s="1227"/>
      <c r="AD173" s="1085"/>
      <c r="AE173" s="968"/>
      <c r="AF173" s="1047"/>
      <c r="AG173" s="1046"/>
      <c r="AH173" s="1047"/>
      <c r="AI173" s="1231"/>
      <c r="AJ173" s="837"/>
      <c r="AK173" s="965"/>
      <c r="AL173" s="1049"/>
      <c r="AM173" s="1050"/>
      <c r="AN173" s="1049"/>
      <c r="AO173" s="1227"/>
      <c r="AP173" s="1085"/>
      <c r="AQ173" s="968"/>
      <c r="AR173" s="1047"/>
      <c r="AS173" s="1046"/>
      <c r="AT173" s="1047"/>
      <c r="AU173" s="1231"/>
      <c r="AV173" s="837"/>
      <c r="AW173" s="965"/>
      <c r="AX173" s="1049"/>
      <c r="AY173" s="1050"/>
      <c r="AZ173" s="1049"/>
      <c r="BA173" s="1227"/>
      <c r="BB173" s="1085"/>
      <c r="BC173" s="968"/>
      <c r="BD173" s="965"/>
      <c r="BE173" s="1046"/>
      <c r="BF173" s="1047"/>
      <c r="BG173" s="1231"/>
      <c r="BH173" s="837"/>
      <c r="BI173" s="965"/>
      <c r="BJ173" s="968"/>
      <c r="BK173" s="1050"/>
      <c r="BL173" s="1049"/>
      <c r="BM173" s="1227"/>
      <c r="BN173" s="1085"/>
      <c r="BO173" s="968"/>
      <c r="BP173" s="965"/>
      <c r="BQ173" s="1046"/>
      <c r="BR173" s="965"/>
      <c r="BS173" s="1231"/>
      <c r="BT173" s="837"/>
      <c r="BU173" s="965"/>
      <c r="BV173" s="968"/>
      <c r="BW173" s="1050"/>
      <c r="BX173" s="968"/>
      <c r="BY173" s="1227"/>
      <c r="BZ173" s="1085"/>
      <c r="CA173" s="968"/>
      <c r="CB173" s="1060"/>
      <c r="CC173" s="965"/>
      <c r="CD173" s="965"/>
      <c r="CE173" s="965"/>
      <c r="CF173" s="965"/>
      <c r="CG173" s="965"/>
      <c r="CH173" s="965"/>
      <c r="CI173" s="965"/>
      <c r="CJ173" s="965"/>
      <c r="CK173" s="965"/>
    </row>
    <row r="174" spans="1:89" s="886" customFormat="1" ht="14.25">
      <c r="A174" s="1043"/>
      <c r="B174" s="1044"/>
      <c r="C174" s="1045"/>
      <c r="D174" s="1076"/>
      <c r="E174" s="1043"/>
      <c r="F174" s="1046"/>
      <c r="G174" s="1046"/>
      <c r="H174" s="1047"/>
      <c r="I174" s="1043"/>
      <c r="J174" s="1047"/>
      <c r="K174" s="1317"/>
      <c r="L174" s="1047"/>
      <c r="M174" s="1317"/>
      <c r="N174" s="1317"/>
      <c r="O174" s="965"/>
      <c r="P174" s="965"/>
      <c r="Q174" s="965"/>
      <c r="R174" s="965"/>
      <c r="S174" s="965"/>
      <c r="T174" s="1047"/>
      <c r="U174" s="1188"/>
      <c r="V174" s="1047"/>
      <c r="W174" s="1188"/>
      <c r="X174" s="837"/>
      <c r="Y174" s="965"/>
      <c r="Z174" s="1049"/>
      <c r="AA174" s="1050"/>
      <c r="AB174" s="1049"/>
      <c r="AC174" s="1227"/>
      <c r="AD174" s="1085"/>
      <c r="AE174" s="968"/>
      <c r="AF174" s="1047"/>
      <c r="AG174" s="1046"/>
      <c r="AH174" s="1047"/>
      <c r="AI174" s="1231"/>
      <c r="AJ174" s="837"/>
      <c r="AK174" s="965"/>
      <c r="AL174" s="1049"/>
      <c r="AM174" s="1050"/>
      <c r="AN174" s="1049"/>
      <c r="AO174" s="1227"/>
      <c r="AP174" s="1085"/>
      <c r="AQ174" s="968"/>
      <c r="AR174" s="1047"/>
      <c r="AS174" s="1046"/>
      <c r="AT174" s="1047"/>
      <c r="AU174" s="1231"/>
      <c r="AV174" s="837"/>
      <c r="AW174" s="965"/>
      <c r="AX174" s="1049"/>
      <c r="AY174" s="1050"/>
      <c r="AZ174" s="1049"/>
      <c r="BA174" s="1227"/>
      <c r="BB174" s="1085"/>
      <c r="BC174" s="968"/>
      <c r="BD174" s="965"/>
      <c r="BE174" s="1046"/>
      <c r="BF174" s="1047"/>
      <c r="BG174" s="1231"/>
      <c r="BH174" s="837"/>
      <c r="BI174" s="965"/>
      <c r="BJ174" s="968"/>
      <c r="BK174" s="1050"/>
      <c r="BL174" s="1049"/>
      <c r="BM174" s="1227"/>
      <c r="BN174" s="1085"/>
      <c r="BO174" s="968"/>
      <c r="BP174" s="965"/>
      <c r="BQ174" s="1046"/>
      <c r="BR174" s="965"/>
      <c r="BS174" s="1231"/>
      <c r="BT174" s="837"/>
      <c r="BU174" s="965"/>
      <c r="BV174" s="968"/>
      <c r="BW174" s="1050"/>
      <c r="BX174" s="968"/>
      <c r="BY174" s="1227"/>
      <c r="BZ174" s="1085"/>
      <c r="CA174" s="968"/>
      <c r="CB174" s="1060"/>
      <c r="CC174" s="965"/>
      <c r="CD174" s="965"/>
      <c r="CE174" s="965"/>
      <c r="CF174" s="965"/>
      <c r="CG174" s="965"/>
      <c r="CH174" s="965"/>
      <c r="CI174" s="965"/>
      <c r="CJ174" s="965"/>
      <c r="CK174" s="965"/>
    </row>
    <row r="175" spans="1:89" s="886" customFormat="1" ht="14.25">
      <c r="A175" s="1043"/>
      <c r="B175" s="1044"/>
      <c r="C175" s="1045"/>
      <c r="D175" s="1076"/>
      <c r="E175" s="1043"/>
      <c r="F175" s="1046"/>
      <c r="G175" s="1046"/>
      <c r="H175" s="1047"/>
      <c r="I175" s="1043"/>
      <c r="J175" s="1047"/>
      <c r="K175" s="1317"/>
      <c r="L175" s="1047"/>
      <c r="M175" s="1317"/>
      <c r="N175" s="1317"/>
      <c r="O175" s="965"/>
      <c r="P175" s="965"/>
      <c r="Q175" s="965"/>
      <c r="R175" s="965"/>
      <c r="S175" s="965"/>
      <c r="T175" s="1047"/>
      <c r="U175" s="1188"/>
      <c r="V175" s="1047"/>
      <c r="W175" s="1188"/>
      <c r="X175" s="837"/>
      <c r="Y175" s="965"/>
      <c r="Z175" s="1049"/>
      <c r="AA175" s="1050"/>
      <c r="AB175" s="1049"/>
      <c r="AC175" s="1227"/>
      <c r="AD175" s="1085"/>
      <c r="AE175" s="968"/>
      <c r="AF175" s="1047"/>
      <c r="AG175" s="1046"/>
      <c r="AH175" s="1047"/>
      <c r="AI175" s="1231"/>
      <c r="AJ175" s="837"/>
      <c r="AK175" s="965"/>
      <c r="AL175" s="1049"/>
      <c r="AM175" s="1050"/>
      <c r="AN175" s="1049"/>
      <c r="AO175" s="1227"/>
      <c r="AP175" s="1085"/>
      <c r="AQ175" s="968"/>
      <c r="AR175" s="1047"/>
      <c r="AS175" s="1046"/>
      <c r="AT175" s="1047"/>
      <c r="AU175" s="1231"/>
      <c r="AV175" s="837"/>
      <c r="AW175" s="965"/>
      <c r="AX175" s="1049"/>
      <c r="AY175" s="1050"/>
      <c r="AZ175" s="1049"/>
      <c r="BA175" s="1227"/>
      <c r="BB175" s="1085"/>
      <c r="BC175" s="968"/>
      <c r="BD175" s="965"/>
      <c r="BE175" s="1046"/>
      <c r="BF175" s="1047"/>
      <c r="BG175" s="1231"/>
      <c r="BH175" s="837"/>
      <c r="BI175" s="965"/>
      <c r="BJ175" s="968"/>
      <c r="BK175" s="1050"/>
      <c r="BL175" s="1049"/>
      <c r="BM175" s="1227"/>
      <c r="BN175" s="1085"/>
      <c r="BO175" s="968"/>
      <c r="BP175" s="965"/>
      <c r="BQ175" s="1046"/>
      <c r="BR175" s="965"/>
      <c r="BS175" s="1231"/>
      <c r="BT175" s="837"/>
      <c r="BU175" s="965"/>
      <c r="BV175" s="968"/>
      <c r="BW175" s="1050"/>
      <c r="BX175" s="968"/>
      <c r="BY175" s="1227"/>
      <c r="BZ175" s="1085"/>
      <c r="CA175" s="968"/>
      <c r="CB175" s="1060"/>
      <c r="CC175" s="965"/>
      <c r="CD175" s="965"/>
      <c r="CE175" s="965"/>
      <c r="CF175" s="965"/>
      <c r="CG175" s="965"/>
      <c r="CH175" s="965"/>
      <c r="CI175" s="965"/>
      <c r="CJ175" s="965"/>
      <c r="CK175" s="965"/>
    </row>
    <row r="176" spans="1:89" s="886" customFormat="1" ht="14.25">
      <c r="A176" s="1043"/>
      <c r="B176" s="1044"/>
      <c r="C176" s="1045"/>
      <c r="D176" s="1076"/>
      <c r="E176" s="1043"/>
      <c r="F176" s="1046"/>
      <c r="G176" s="1046"/>
      <c r="H176" s="1047"/>
      <c r="I176" s="1043"/>
      <c r="J176" s="1047"/>
      <c r="K176" s="1317"/>
      <c r="L176" s="1047"/>
      <c r="M176" s="1317"/>
      <c r="N176" s="1317"/>
      <c r="O176" s="965"/>
      <c r="P176" s="965"/>
      <c r="Q176" s="965"/>
      <c r="R176" s="965"/>
      <c r="S176" s="965"/>
      <c r="T176" s="1047"/>
      <c r="U176" s="1188"/>
      <c r="V176" s="1047"/>
      <c r="W176" s="1188"/>
      <c r="X176" s="837"/>
      <c r="Y176" s="965"/>
      <c r="Z176" s="1049"/>
      <c r="AA176" s="1050"/>
      <c r="AB176" s="1049"/>
      <c r="AC176" s="1227"/>
      <c r="AD176" s="1085"/>
      <c r="AE176" s="968"/>
      <c r="AF176" s="1047"/>
      <c r="AG176" s="1046"/>
      <c r="AH176" s="1047"/>
      <c r="AI176" s="1231"/>
      <c r="AJ176" s="837"/>
      <c r="AK176" s="965"/>
      <c r="AL176" s="1049"/>
      <c r="AM176" s="1050"/>
      <c r="AN176" s="1049"/>
      <c r="AO176" s="1227"/>
      <c r="AP176" s="1085"/>
      <c r="AQ176" s="968"/>
      <c r="AR176" s="1047"/>
      <c r="AS176" s="1046"/>
      <c r="AT176" s="1047"/>
      <c r="AU176" s="1231"/>
      <c r="AV176" s="837"/>
      <c r="AW176" s="965"/>
      <c r="AX176" s="1049"/>
      <c r="AY176" s="1050"/>
      <c r="AZ176" s="1049"/>
      <c r="BA176" s="1227"/>
      <c r="BB176" s="1085"/>
      <c r="BC176" s="968"/>
      <c r="BD176" s="965"/>
      <c r="BE176" s="1046"/>
      <c r="BF176" s="1047"/>
      <c r="BG176" s="1231"/>
      <c r="BH176" s="837"/>
      <c r="BI176" s="965"/>
      <c r="BJ176" s="968"/>
      <c r="BK176" s="1050"/>
      <c r="BL176" s="1049"/>
      <c r="BM176" s="1227"/>
      <c r="BN176" s="1085"/>
      <c r="BO176" s="968"/>
      <c r="BP176" s="965"/>
      <c r="BQ176" s="1046"/>
      <c r="BR176" s="965"/>
      <c r="BS176" s="1231"/>
      <c r="BT176" s="837"/>
      <c r="BU176" s="965"/>
      <c r="BV176" s="968"/>
      <c r="BW176" s="1050"/>
      <c r="BX176" s="968"/>
      <c r="BY176" s="1227"/>
      <c r="BZ176" s="1085"/>
      <c r="CA176" s="968"/>
      <c r="CB176" s="1060"/>
      <c r="CC176" s="965"/>
      <c r="CD176" s="965"/>
      <c r="CE176" s="965"/>
      <c r="CF176" s="965"/>
      <c r="CG176" s="965"/>
      <c r="CH176" s="965"/>
      <c r="CI176" s="965"/>
      <c r="CJ176" s="965"/>
      <c r="CK176" s="965"/>
    </row>
    <row r="177" spans="1:89" s="886" customFormat="1" ht="14.25">
      <c r="A177" s="1043"/>
      <c r="B177" s="1044"/>
      <c r="C177" s="1045"/>
      <c r="D177" s="1076"/>
      <c r="E177" s="1043"/>
      <c r="F177" s="1046"/>
      <c r="G177" s="1046"/>
      <c r="H177" s="1047"/>
      <c r="I177" s="1043"/>
      <c r="J177" s="1047"/>
      <c r="K177" s="1317"/>
      <c r="L177" s="1047"/>
      <c r="M177" s="1317"/>
      <c r="N177" s="1317"/>
      <c r="O177" s="965"/>
      <c r="P177" s="965"/>
      <c r="Q177" s="965"/>
      <c r="R177" s="965"/>
      <c r="S177" s="965"/>
      <c r="T177" s="1047"/>
      <c r="U177" s="1188"/>
      <c r="V177" s="1047"/>
      <c r="W177" s="1188"/>
      <c r="X177" s="837"/>
      <c r="Y177" s="965"/>
      <c r="Z177" s="1049"/>
      <c r="AA177" s="1050"/>
      <c r="AB177" s="1049"/>
      <c r="AC177" s="1227"/>
      <c r="AD177" s="1085"/>
      <c r="AE177" s="968"/>
      <c r="AF177" s="1047"/>
      <c r="AG177" s="1046"/>
      <c r="AH177" s="1047"/>
      <c r="AI177" s="1231"/>
      <c r="AJ177" s="837"/>
      <c r="AK177" s="965"/>
      <c r="AL177" s="1049"/>
      <c r="AM177" s="1050"/>
      <c r="AN177" s="1049"/>
      <c r="AO177" s="1227"/>
      <c r="AP177" s="1085"/>
      <c r="AQ177" s="968"/>
      <c r="AR177" s="1047"/>
      <c r="AS177" s="1046"/>
      <c r="AT177" s="1047"/>
      <c r="AU177" s="1231"/>
      <c r="AV177" s="837"/>
      <c r="AW177" s="965"/>
      <c r="AX177" s="1049"/>
      <c r="AY177" s="1050"/>
      <c r="AZ177" s="1049"/>
      <c r="BA177" s="1227"/>
      <c r="BB177" s="1085"/>
      <c r="BC177" s="968"/>
      <c r="BD177" s="965"/>
      <c r="BE177" s="1046"/>
      <c r="BF177" s="1047"/>
      <c r="BG177" s="1231"/>
      <c r="BH177" s="837"/>
      <c r="BI177" s="965"/>
      <c r="BJ177" s="968"/>
      <c r="BK177" s="1050"/>
      <c r="BL177" s="1049"/>
      <c r="BM177" s="1227"/>
      <c r="BN177" s="1085"/>
      <c r="BO177" s="968"/>
      <c r="BP177" s="965"/>
      <c r="BQ177" s="1046"/>
      <c r="BR177" s="965"/>
      <c r="BS177" s="1231"/>
      <c r="BT177" s="837"/>
      <c r="BU177" s="965"/>
      <c r="BV177" s="968"/>
      <c r="BW177" s="1050"/>
      <c r="BX177" s="968"/>
      <c r="BY177" s="1227"/>
      <c r="BZ177" s="1085"/>
      <c r="CA177" s="968"/>
      <c r="CB177" s="1060"/>
      <c r="CC177" s="965"/>
      <c r="CD177" s="965"/>
      <c r="CE177" s="965"/>
      <c r="CF177" s="965"/>
      <c r="CG177" s="965"/>
      <c r="CH177" s="965"/>
      <c r="CI177" s="965"/>
      <c r="CJ177" s="965"/>
      <c r="CK177" s="965"/>
    </row>
    <row r="178" spans="1:89" s="886" customFormat="1" ht="14.25">
      <c r="A178" s="1043"/>
      <c r="B178" s="1044"/>
      <c r="C178" s="1045"/>
      <c r="D178" s="1076"/>
      <c r="E178" s="1043"/>
      <c r="F178" s="1046"/>
      <c r="G178" s="1046"/>
      <c r="H178" s="1047"/>
      <c r="I178" s="1043"/>
      <c r="J178" s="1047"/>
      <c r="K178" s="1317"/>
      <c r="L178" s="1047"/>
      <c r="M178" s="1317"/>
      <c r="N178" s="1317"/>
      <c r="O178" s="965"/>
      <c r="P178" s="965"/>
      <c r="Q178" s="965"/>
      <c r="R178" s="965"/>
      <c r="S178" s="965"/>
      <c r="T178" s="1047"/>
      <c r="U178" s="1188"/>
      <c r="V178" s="1047"/>
      <c r="W178" s="1188"/>
      <c r="X178" s="837"/>
      <c r="Y178" s="965"/>
      <c r="Z178" s="1049"/>
      <c r="AA178" s="1050"/>
      <c r="AB178" s="1049"/>
      <c r="AC178" s="1227"/>
      <c r="AD178" s="1085"/>
      <c r="AE178" s="968"/>
      <c r="AF178" s="1047"/>
      <c r="AG178" s="1046"/>
      <c r="AH178" s="1047"/>
      <c r="AI178" s="1231"/>
      <c r="AJ178" s="837"/>
      <c r="AK178" s="965"/>
      <c r="AL178" s="1049"/>
      <c r="AM178" s="1050"/>
      <c r="AN178" s="1049"/>
      <c r="AO178" s="1227"/>
      <c r="AP178" s="1085"/>
      <c r="AQ178" s="968"/>
      <c r="AR178" s="1047"/>
      <c r="AS178" s="1046"/>
      <c r="AT178" s="1047"/>
      <c r="AU178" s="1231"/>
      <c r="AV178" s="837"/>
      <c r="AW178" s="965"/>
      <c r="AX178" s="1049"/>
      <c r="AY178" s="1050"/>
      <c r="AZ178" s="1049"/>
      <c r="BA178" s="1227"/>
      <c r="BB178" s="1085"/>
      <c r="BC178" s="968"/>
      <c r="BD178" s="965"/>
      <c r="BE178" s="1046"/>
      <c r="BF178" s="1047"/>
      <c r="BG178" s="1231"/>
      <c r="BH178" s="837"/>
      <c r="BI178" s="965"/>
      <c r="BJ178" s="968"/>
      <c r="BK178" s="1050"/>
      <c r="BL178" s="1049"/>
      <c r="BM178" s="1227"/>
      <c r="BN178" s="1085"/>
      <c r="BO178" s="968"/>
      <c r="BP178" s="965"/>
      <c r="BQ178" s="1046"/>
      <c r="BR178" s="965"/>
      <c r="BS178" s="1231"/>
      <c r="BT178" s="837"/>
      <c r="BU178" s="965"/>
      <c r="BV178" s="968"/>
      <c r="BW178" s="1050"/>
      <c r="BX178" s="968"/>
      <c r="BY178" s="1227"/>
      <c r="BZ178" s="1085"/>
      <c r="CA178" s="968"/>
      <c r="CB178" s="1060"/>
      <c r="CC178" s="965"/>
      <c r="CD178" s="965"/>
      <c r="CE178" s="965"/>
      <c r="CF178" s="965"/>
      <c r="CG178" s="965"/>
      <c r="CH178" s="965"/>
      <c r="CI178" s="965"/>
      <c r="CJ178" s="965"/>
      <c r="CK178" s="965"/>
    </row>
    <row r="179" spans="1:89" s="886" customFormat="1" ht="14.25">
      <c r="A179" s="1043"/>
      <c r="B179" s="1044"/>
      <c r="C179" s="1045"/>
      <c r="D179" s="1076"/>
      <c r="E179" s="1043"/>
      <c r="F179" s="1046"/>
      <c r="G179" s="1046"/>
      <c r="H179" s="1047"/>
      <c r="I179" s="1043"/>
      <c r="J179" s="1047"/>
      <c r="K179" s="1317"/>
      <c r="L179" s="1047"/>
      <c r="M179" s="1317"/>
      <c r="N179" s="1317"/>
      <c r="O179" s="965"/>
      <c r="P179" s="965"/>
      <c r="Q179" s="965"/>
      <c r="R179" s="965"/>
      <c r="S179" s="965"/>
      <c r="T179" s="1047"/>
      <c r="U179" s="1188"/>
      <c r="V179" s="1047"/>
      <c r="W179" s="1188"/>
      <c r="X179" s="837"/>
      <c r="Y179" s="965"/>
      <c r="Z179" s="1049"/>
      <c r="AA179" s="1050"/>
      <c r="AB179" s="1049"/>
      <c r="AC179" s="1227"/>
      <c r="AD179" s="1085"/>
      <c r="AE179" s="968"/>
      <c r="AF179" s="1047"/>
      <c r="AG179" s="1046"/>
      <c r="AH179" s="1047"/>
      <c r="AI179" s="1231"/>
      <c r="AJ179" s="837"/>
      <c r="AK179" s="965"/>
      <c r="AL179" s="1049"/>
      <c r="AM179" s="1050"/>
      <c r="AN179" s="1049"/>
      <c r="AO179" s="1227"/>
      <c r="AP179" s="1085"/>
      <c r="AQ179" s="968"/>
      <c r="AR179" s="1047"/>
      <c r="AS179" s="1046"/>
      <c r="AT179" s="1047"/>
      <c r="AU179" s="1231"/>
      <c r="AV179" s="837"/>
      <c r="AW179" s="965"/>
      <c r="AX179" s="1049"/>
      <c r="AY179" s="1050"/>
      <c r="AZ179" s="1049"/>
      <c r="BA179" s="1227"/>
      <c r="BB179" s="1085"/>
      <c r="BC179" s="968"/>
      <c r="BD179" s="965"/>
      <c r="BE179" s="1046"/>
      <c r="BF179" s="1047"/>
      <c r="BG179" s="1231"/>
      <c r="BH179" s="837"/>
      <c r="BI179" s="965"/>
      <c r="BJ179" s="968"/>
      <c r="BK179" s="1050"/>
      <c r="BL179" s="1049"/>
      <c r="BM179" s="1227"/>
      <c r="BN179" s="1085"/>
      <c r="BO179" s="968"/>
      <c r="BP179" s="965"/>
      <c r="BQ179" s="1046"/>
      <c r="BR179" s="965"/>
      <c r="BS179" s="1231"/>
      <c r="BT179" s="837"/>
      <c r="BU179" s="965"/>
      <c r="BV179" s="968"/>
      <c r="BW179" s="1050"/>
      <c r="BX179" s="968"/>
      <c r="BY179" s="1227"/>
      <c r="BZ179" s="1085"/>
      <c r="CA179" s="968"/>
      <c r="CB179" s="1060"/>
      <c r="CC179" s="965"/>
      <c r="CD179" s="965"/>
      <c r="CE179" s="965"/>
      <c r="CF179" s="965"/>
      <c r="CG179" s="965"/>
      <c r="CH179" s="965"/>
      <c r="CI179" s="965"/>
      <c r="CJ179" s="965"/>
      <c r="CK179" s="965"/>
    </row>
    <row r="180" spans="1:89" s="886" customFormat="1" ht="14.25">
      <c r="A180" s="1043"/>
      <c r="B180" s="1044"/>
      <c r="C180" s="1045"/>
      <c r="D180" s="1076"/>
      <c r="E180" s="1043"/>
      <c r="F180" s="1046"/>
      <c r="G180" s="1046"/>
      <c r="H180" s="1047"/>
      <c r="I180" s="1043"/>
      <c r="J180" s="1047"/>
      <c r="K180" s="1317"/>
      <c r="L180" s="1047"/>
      <c r="M180" s="1317"/>
      <c r="N180" s="1317"/>
      <c r="O180" s="965"/>
      <c r="P180" s="965"/>
      <c r="Q180" s="965"/>
      <c r="R180" s="965"/>
      <c r="S180" s="965"/>
      <c r="T180" s="1047"/>
      <c r="U180" s="1188"/>
      <c r="V180" s="1047"/>
      <c r="W180" s="1188"/>
      <c r="X180" s="837"/>
      <c r="Y180" s="965"/>
      <c r="Z180" s="1049"/>
      <c r="AA180" s="1050"/>
      <c r="AB180" s="1049"/>
      <c r="AC180" s="1227"/>
      <c r="AD180" s="1085"/>
      <c r="AE180" s="968"/>
      <c r="AF180" s="1047"/>
      <c r="AG180" s="1046"/>
      <c r="AH180" s="1047"/>
      <c r="AI180" s="1231"/>
      <c r="AJ180" s="837"/>
      <c r="AK180" s="965"/>
      <c r="AL180" s="1049"/>
      <c r="AM180" s="1050"/>
      <c r="AN180" s="1049"/>
      <c r="AO180" s="1227"/>
      <c r="AP180" s="1085"/>
      <c r="AQ180" s="968"/>
      <c r="AR180" s="1047"/>
      <c r="AS180" s="1046"/>
      <c r="AT180" s="1047"/>
      <c r="AU180" s="1231"/>
      <c r="AV180" s="837"/>
      <c r="AW180" s="965"/>
      <c r="AX180" s="1049"/>
      <c r="AY180" s="1050"/>
      <c r="AZ180" s="1049"/>
      <c r="BA180" s="1227"/>
      <c r="BB180" s="1085"/>
      <c r="BC180" s="968"/>
      <c r="BD180" s="965"/>
      <c r="BE180" s="1046"/>
      <c r="BF180" s="1047"/>
      <c r="BG180" s="1231"/>
      <c r="BH180" s="837"/>
      <c r="BI180" s="965"/>
      <c r="BJ180" s="968"/>
      <c r="BK180" s="1050"/>
      <c r="BL180" s="1049"/>
      <c r="BM180" s="1227"/>
      <c r="BN180" s="1085"/>
      <c r="BO180" s="968"/>
      <c r="BP180" s="965"/>
      <c r="BQ180" s="1046"/>
      <c r="BR180" s="965"/>
      <c r="BS180" s="1231"/>
      <c r="BT180" s="837"/>
      <c r="BU180" s="965"/>
      <c r="BV180" s="968"/>
      <c r="BW180" s="1050"/>
      <c r="BX180" s="968"/>
      <c r="BY180" s="1227"/>
      <c r="BZ180" s="1085"/>
      <c r="CA180" s="968"/>
      <c r="CB180" s="1060"/>
      <c r="CC180" s="965"/>
      <c r="CD180" s="965"/>
      <c r="CE180" s="965"/>
      <c r="CF180" s="965"/>
      <c r="CG180" s="965"/>
      <c r="CH180" s="965"/>
      <c r="CI180" s="965"/>
      <c r="CJ180" s="965"/>
      <c r="CK180" s="965"/>
    </row>
    <row r="181" spans="1:89" s="886" customFormat="1" ht="14.25">
      <c r="A181" s="1043"/>
      <c r="B181" s="1044"/>
      <c r="C181" s="1045"/>
      <c r="D181" s="1076"/>
      <c r="E181" s="1043"/>
      <c r="F181" s="1046"/>
      <c r="G181" s="1046"/>
      <c r="H181" s="1047"/>
      <c r="I181" s="1043"/>
      <c r="J181" s="1047"/>
      <c r="K181" s="1317"/>
      <c r="L181" s="1047"/>
      <c r="M181" s="1317"/>
      <c r="N181" s="1317"/>
      <c r="O181" s="965"/>
      <c r="P181" s="965"/>
      <c r="Q181" s="965"/>
      <c r="R181" s="965"/>
      <c r="S181" s="965"/>
      <c r="T181" s="1047"/>
      <c r="U181" s="1188"/>
      <c r="V181" s="1047"/>
      <c r="W181" s="1188"/>
      <c r="X181" s="837"/>
      <c r="Y181" s="965"/>
      <c r="Z181" s="1049"/>
      <c r="AA181" s="1050"/>
      <c r="AB181" s="1049"/>
      <c r="AC181" s="1227"/>
      <c r="AD181" s="1085"/>
      <c r="AE181" s="968"/>
      <c r="AF181" s="1047"/>
      <c r="AG181" s="1046"/>
      <c r="AH181" s="1047"/>
      <c r="AI181" s="1231"/>
      <c r="AJ181" s="837"/>
      <c r="AK181" s="965"/>
      <c r="AL181" s="1049"/>
      <c r="AM181" s="1050"/>
      <c r="AN181" s="1049"/>
      <c r="AO181" s="1227"/>
      <c r="AP181" s="1085"/>
      <c r="AQ181" s="968"/>
      <c r="AR181" s="1047"/>
      <c r="AS181" s="1046"/>
      <c r="AT181" s="1047"/>
      <c r="AU181" s="1231"/>
      <c r="AV181" s="837"/>
      <c r="AW181" s="965"/>
      <c r="AX181" s="1049"/>
      <c r="AY181" s="1050"/>
      <c r="AZ181" s="1049"/>
      <c r="BA181" s="1227"/>
      <c r="BB181" s="1085"/>
      <c r="BC181" s="968"/>
      <c r="BD181" s="965"/>
      <c r="BE181" s="1046"/>
      <c r="BF181" s="1047"/>
      <c r="BG181" s="1231"/>
      <c r="BH181" s="837"/>
      <c r="BI181" s="965"/>
      <c r="BJ181" s="968"/>
      <c r="BK181" s="1050"/>
      <c r="BL181" s="1049"/>
      <c r="BM181" s="1227"/>
      <c r="BN181" s="1085"/>
      <c r="BO181" s="968"/>
      <c r="BP181" s="965"/>
      <c r="BQ181" s="1046"/>
      <c r="BR181" s="965"/>
      <c r="BS181" s="1231"/>
      <c r="BT181" s="837"/>
      <c r="BU181" s="965"/>
      <c r="BV181" s="968"/>
      <c r="BW181" s="1050"/>
      <c r="BX181" s="968"/>
      <c r="BY181" s="1227"/>
      <c r="BZ181" s="1085"/>
      <c r="CA181" s="968"/>
      <c r="CB181" s="1060"/>
      <c r="CC181" s="965"/>
      <c r="CD181" s="965"/>
      <c r="CE181" s="965"/>
      <c r="CF181" s="965"/>
      <c r="CG181" s="965"/>
      <c r="CH181" s="965"/>
      <c r="CI181" s="965"/>
      <c r="CJ181" s="965"/>
      <c r="CK181" s="965"/>
    </row>
    <row r="182" spans="1:89" s="886" customFormat="1" ht="14.25">
      <c r="A182" s="1043"/>
      <c r="B182" s="1044"/>
      <c r="C182" s="1045"/>
      <c r="D182" s="1076"/>
      <c r="E182" s="1043"/>
      <c r="F182" s="1046"/>
      <c r="G182" s="1046"/>
      <c r="H182" s="1047"/>
      <c r="I182" s="1043"/>
      <c r="J182" s="1047"/>
      <c r="K182" s="1317"/>
      <c r="L182" s="1047"/>
      <c r="M182" s="1317"/>
      <c r="N182" s="1317"/>
      <c r="O182" s="965"/>
      <c r="P182" s="965"/>
      <c r="Q182" s="965"/>
      <c r="R182" s="965"/>
      <c r="S182" s="965"/>
      <c r="T182" s="1047"/>
      <c r="U182" s="1188"/>
      <c r="V182" s="1047"/>
      <c r="W182" s="1188"/>
      <c r="X182" s="837"/>
      <c r="Y182" s="965"/>
      <c r="Z182" s="1049"/>
      <c r="AA182" s="1050"/>
      <c r="AB182" s="1049"/>
      <c r="AC182" s="1227"/>
      <c r="AD182" s="1085"/>
      <c r="AE182" s="968"/>
      <c r="AF182" s="1047"/>
      <c r="AG182" s="1046"/>
      <c r="AH182" s="1047"/>
      <c r="AI182" s="1231"/>
      <c r="AJ182" s="837"/>
      <c r="AK182" s="965"/>
      <c r="AL182" s="1049"/>
      <c r="AM182" s="1050"/>
      <c r="AN182" s="1049"/>
      <c r="AO182" s="1227"/>
      <c r="AP182" s="1085"/>
      <c r="AQ182" s="968"/>
      <c r="AR182" s="1047"/>
      <c r="AS182" s="1046"/>
      <c r="AT182" s="1047"/>
      <c r="AU182" s="1231"/>
      <c r="AV182" s="837"/>
      <c r="AW182" s="965"/>
      <c r="AX182" s="1049"/>
      <c r="AY182" s="1050"/>
      <c r="AZ182" s="1049"/>
      <c r="BA182" s="1227"/>
      <c r="BB182" s="1085"/>
      <c r="BC182" s="968"/>
      <c r="BD182" s="965"/>
      <c r="BE182" s="1046"/>
      <c r="BF182" s="1047"/>
      <c r="BG182" s="1231"/>
      <c r="BH182" s="837"/>
      <c r="BI182" s="965"/>
      <c r="BJ182" s="968"/>
      <c r="BK182" s="1050"/>
      <c r="BL182" s="1049"/>
      <c r="BM182" s="1227"/>
      <c r="BN182" s="1085"/>
      <c r="BO182" s="968"/>
      <c r="BP182" s="965"/>
      <c r="BQ182" s="1046"/>
      <c r="BR182" s="965"/>
      <c r="BS182" s="1231"/>
      <c r="BT182" s="837"/>
      <c r="BU182" s="965"/>
      <c r="BV182" s="968"/>
      <c r="BW182" s="1050"/>
      <c r="BX182" s="968"/>
      <c r="BY182" s="1227"/>
      <c r="BZ182" s="1085"/>
      <c r="CA182" s="968"/>
      <c r="CB182" s="1060"/>
      <c r="CC182" s="965"/>
      <c r="CD182" s="965"/>
      <c r="CE182" s="965"/>
      <c r="CF182" s="965"/>
      <c r="CG182" s="965"/>
      <c r="CH182" s="965"/>
      <c r="CI182" s="965"/>
      <c r="CJ182" s="965"/>
      <c r="CK182" s="965"/>
    </row>
    <row r="183" spans="1:89" s="886" customFormat="1" ht="14.25">
      <c r="A183" s="1043"/>
      <c r="B183" s="1044"/>
      <c r="C183" s="1045"/>
      <c r="D183" s="1076"/>
      <c r="E183" s="1043"/>
      <c r="F183" s="1046"/>
      <c r="G183" s="1046"/>
      <c r="H183" s="1047"/>
      <c r="I183" s="1043"/>
      <c r="J183" s="1047"/>
      <c r="K183" s="1317"/>
      <c r="L183" s="1047"/>
      <c r="M183" s="1317"/>
      <c r="N183" s="1317"/>
      <c r="O183" s="965"/>
      <c r="P183" s="965"/>
      <c r="Q183" s="965"/>
      <c r="R183" s="965"/>
      <c r="S183" s="965"/>
      <c r="T183" s="1047"/>
      <c r="U183" s="1188"/>
      <c r="V183" s="1047"/>
      <c r="W183" s="1188"/>
      <c r="X183" s="837"/>
      <c r="Y183" s="965"/>
      <c r="Z183" s="1049"/>
      <c r="AA183" s="1050"/>
      <c r="AB183" s="1049"/>
      <c r="AC183" s="1227"/>
      <c r="AD183" s="1085"/>
      <c r="AE183" s="968"/>
      <c r="AF183" s="1047"/>
      <c r="AG183" s="1046"/>
      <c r="AH183" s="1047"/>
      <c r="AI183" s="1231"/>
      <c r="AJ183" s="837"/>
      <c r="AK183" s="965"/>
      <c r="AL183" s="1049"/>
      <c r="AM183" s="1050"/>
      <c r="AN183" s="1049"/>
      <c r="AO183" s="1227"/>
      <c r="AP183" s="1085"/>
      <c r="AQ183" s="968"/>
      <c r="AR183" s="1047"/>
      <c r="AS183" s="1046"/>
      <c r="AT183" s="1047"/>
      <c r="AU183" s="1231"/>
      <c r="AV183" s="837"/>
      <c r="AW183" s="965"/>
      <c r="AX183" s="1049"/>
      <c r="AY183" s="1050"/>
      <c r="AZ183" s="1049"/>
      <c r="BA183" s="1227"/>
      <c r="BB183" s="1085"/>
      <c r="BC183" s="968"/>
      <c r="BD183" s="965"/>
      <c r="BE183" s="1046"/>
      <c r="BF183" s="1047"/>
      <c r="BG183" s="1231"/>
      <c r="BH183" s="837"/>
      <c r="BI183" s="965"/>
      <c r="BJ183" s="968"/>
      <c r="BK183" s="1050"/>
      <c r="BL183" s="1049"/>
      <c r="BM183" s="1227"/>
      <c r="BN183" s="1085"/>
      <c r="BO183" s="968"/>
      <c r="BP183" s="965"/>
      <c r="BQ183" s="1046"/>
      <c r="BR183" s="965"/>
      <c r="BS183" s="1231"/>
      <c r="BT183" s="837"/>
      <c r="BU183" s="965"/>
      <c r="BV183" s="968"/>
      <c r="BW183" s="1050"/>
      <c r="BX183" s="968"/>
      <c r="BY183" s="1227"/>
      <c r="BZ183" s="1085"/>
      <c r="CA183" s="968"/>
      <c r="CB183" s="1060"/>
      <c r="CC183" s="965"/>
      <c r="CD183" s="965"/>
      <c r="CE183" s="965"/>
      <c r="CF183" s="965"/>
      <c r="CG183" s="965"/>
      <c r="CH183" s="965"/>
      <c r="CI183" s="965"/>
      <c r="CJ183" s="965"/>
      <c r="CK183" s="965"/>
    </row>
    <row r="184" spans="1:89" s="886" customFormat="1" ht="14.25">
      <c r="A184" s="1043"/>
      <c r="B184" s="1044"/>
      <c r="C184" s="1045"/>
      <c r="D184" s="1076"/>
      <c r="E184" s="1043"/>
      <c r="F184" s="1046"/>
      <c r="G184" s="1046"/>
      <c r="H184" s="1047"/>
      <c r="I184" s="1043"/>
      <c r="J184" s="1047"/>
      <c r="K184" s="1317"/>
      <c r="L184" s="1047"/>
      <c r="M184" s="1317"/>
      <c r="N184" s="1317"/>
      <c r="O184" s="965"/>
      <c r="P184" s="965"/>
      <c r="Q184" s="965"/>
      <c r="R184" s="965"/>
      <c r="S184" s="965"/>
      <c r="T184" s="1047"/>
      <c r="U184" s="1188"/>
      <c r="V184" s="1047"/>
      <c r="W184" s="1188"/>
      <c r="X184" s="837"/>
      <c r="Y184" s="965"/>
      <c r="Z184" s="1049"/>
      <c r="AA184" s="1050"/>
      <c r="AB184" s="1049"/>
      <c r="AC184" s="1227"/>
      <c r="AD184" s="1085"/>
      <c r="AE184" s="968"/>
      <c r="AF184" s="1047"/>
      <c r="AG184" s="1046"/>
      <c r="AH184" s="1047"/>
      <c r="AI184" s="1231"/>
      <c r="AJ184" s="837"/>
      <c r="AK184" s="965"/>
      <c r="AL184" s="1049"/>
      <c r="AM184" s="1050"/>
      <c r="AN184" s="1049"/>
      <c r="AO184" s="1227"/>
      <c r="AP184" s="1085"/>
      <c r="AQ184" s="968"/>
      <c r="AR184" s="1047"/>
      <c r="AS184" s="1046"/>
      <c r="AT184" s="1047"/>
      <c r="AU184" s="1231"/>
      <c r="AV184" s="837"/>
      <c r="AW184" s="965"/>
      <c r="AX184" s="1049"/>
      <c r="AY184" s="1050"/>
      <c r="AZ184" s="1049"/>
      <c r="BA184" s="1227"/>
      <c r="BB184" s="1085"/>
      <c r="BC184" s="968"/>
      <c r="BD184" s="965"/>
      <c r="BE184" s="1046"/>
      <c r="BF184" s="1047"/>
      <c r="BG184" s="1231"/>
      <c r="BH184" s="837"/>
      <c r="BI184" s="965"/>
      <c r="BJ184" s="968"/>
      <c r="BK184" s="1050"/>
      <c r="BL184" s="1049"/>
      <c r="BM184" s="1227"/>
      <c r="BN184" s="1085"/>
      <c r="BO184" s="968"/>
      <c r="BP184" s="965"/>
      <c r="BQ184" s="1046"/>
      <c r="BR184" s="965"/>
      <c r="BS184" s="1231"/>
      <c r="BT184" s="837"/>
      <c r="BU184" s="965"/>
      <c r="BV184" s="968"/>
      <c r="BW184" s="1050"/>
      <c r="BX184" s="968"/>
      <c r="BY184" s="1227"/>
      <c r="BZ184" s="1085"/>
      <c r="CA184" s="968"/>
      <c r="CB184" s="1060"/>
      <c r="CC184" s="965"/>
      <c r="CD184" s="965"/>
      <c r="CE184" s="965"/>
      <c r="CF184" s="965"/>
      <c r="CG184" s="965"/>
      <c r="CH184" s="965"/>
      <c r="CI184" s="965"/>
      <c r="CJ184" s="965"/>
      <c r="CK184" s="965"/>
    </row>
    <row r="185" spans="1:89" s="886" customFormat="1" ht="14.25">
      <c r="A185" s="1043"/>
      <c r="B185" s="1044"/>
      <c r="C185" s="1045"/>
      <c r="D185" s="1076"/>
      <c r="E185" s="1043"/>
      <c r="F185" s="1046"/>
      <c r="G185" s="1046"/>
      <c r="H185" s="1047"/>
      <c r="I185" s="1043"/>
      <c r="J185" s="1047"/>
      <c r="K185" s="1317"/>
      <c r="L185" s="1047"/>
      <c r="M185" s="1317"/>
      <c r="N185" s="1317"/>
      <c r="O185" s="965"/>
      <c r="P185" s="965"/>
      <c r="Q185" s="965"/>
      <c r="R185" s="965"/>
      <c r="S185" s="965"/>
      <c r="T185" s="1047"/>
      <c r="U185" s="1188"/>
      <c r="V185" s="1047"/>
      <c r="W185" s="1188"/>
      <c r="X185" s="837"/>
      <c r="Y185" s="965"/>
      <c r="Z185" s="1049"/>
      <c r="AA185" s="1050"/>
      <c r="AB185" s="1049"/>
      <c r="AC185" s="1227"/>
      <c r="AD185" s="1085"/>
      <c r="AE185" s="968"/>
      <c r="AF185" s="1047"/>
      <c r="AG185" s="1046"/>
      <c r="AH185" s="1047"/>
      <c r="AI185" s="1231"/>
      <c r="AJ185" s="837"/>
      <c r="AK185" s="965"/>
      <c r="AL185" s="1049"/>
      <c r="AM185" s="1050"/>
      <c r="AN185" s="1049"/>
      <c r="AO185" s="1227"/>
      <c r="AP185" s="1085"/>
      <c r="AQ185" s="968"/>
      <c r="AR185" s="1047"/>
      <c r="AS185" s="1046"/>
      <c r="AT185" s="1047"/>
      <c r="AU185" s="1231"/>
      <c r="AV185" s="837"/>
      <c r="AW185" s="965"/>
      <c r="AX185" s="1049"/>
      <c r="AY185" s="1050"/>
      <c r="AZ185" s="1049"/>
      <c r="BA185" s="1227"/>
      <c r="BB185" s="1085"/>
      <c r="BC185" s="968"/>
      <c r="BD185" s="965"/>
      <c r="BE185" s="1046"/>
      <c r="BF185" s="1047"/>
      <c r="BG185" s="1231"/>
      <c r="BH185" s="837"/>
      <c r="BI185" s="965"/>
      <c r="BJ185" s="968"/>
      <c r="BK185" s="1050"/>
      <c r="BL185" s="1049"/>
      <c r="BM185" s="1227"/>
      <c r="BN185" s="1085"/>
      <c r="BO185" s="968"/>
      <c r="BP185" s="965"/>
      <c r="BQ185" s="1046"/>
      <c r="BR185" s="965"/>
      <c r="BS185" s="1231"/>
      <c r="BT185" s="837"/>
      <c r="BU185" s="965"/>
      <c r="BV185" s="968"/>
      <c r="BW185" s="1050"/>
      <c r="BX185" s="968"/>
      <c r="BY185" s="1227"/>
      <c r="BZ185" s="1085"/>
      <c r="CA185" s="968"/>
      <c r="CB185" s="1060"/>
      <c r="CC185" s="965"/>
      <c r="CD185" s="965"/>
      <c r="CE185" s="965"/>
      <c r="CF185" s="965"/>
      <c r="CG185" s="965"/>
      <c r="CH185" s="965"/>
      <c r="CI185" s="965"/>
      <c r="CJ185" s="965"/>
      <c r="CK185" s="965"/>
    </row>
    <row r="186" spans="1:89" s="886" customFormat="1" ht="14.25">
      <c r="A186" s="1043"/>
      <c r="B186" s="1044"/>
      <c r="C186" s="1045"/>
      <c r="D186" s="1076"/>
      <c r="E186" s="1043"/>
      <c r="F186" s="1046"/>
      <c r="G186" s="1046"/>
      <c r="H186" s="1047"/>
      <c r="I186" s="1043"/>
      <c r="J186" s="1047"/>
      <c r="K186" s="1317"/>
      <c r="L186" s="1047"/>
      <c r="M186" s="1317"/>
      <c r="N186" s="1317"/>
      <c r="O186" s="965"/>
      <c r="P186" s="965"/>
      <c r="Q186" s="965"/>
      <c r="R186" s="965"/>
      <c r="S186" s="965"/>
      <c r="T186" s="1047"/>
      <c r="U186" s="1188"/>
      <c r="V186" s="1047"/>
      <c r="W186" s="1188"/>
      <c r="X186" s="837"/>
      <c r="Y186" s="965"/>
      <c r="Z186" s="1049"/>
      <c r="AA186" s="1050"/>
      <c r="AB186" s="1049"/>
      <c r="AC186" s="1227"/>
      <c r="AD186" s="1085"/>
      <c r="AE186" s="968"/>
      <c r="AF186" s="1047"/>
      <c r="AG186" s="1046"/>
      <c r="AH186" s="1047"/>
      <c r="AI186" s="1231"/>
      <c r="AJ186" s="837"/>
      <c r="AK186" s="965"/>
      <c r="AL186" s="1049"/>
      <c r="AM186" s="1050"/>
      <c r="AN186" s="1049"/>
      <c r="AO186" s="1227"/>
      <c r="AP186" s="1085"/>
      <c r="AQ186" s="968"/>
      <c r="AR186" s="1047"/>
      <c r="AS186" s="1046"/>
      <c r="AT186" s="1047"/>
      <c r="AU186" s="1231"/>
      <c r="AV186" s="837"/>
      <c r="AW186" s="965"/>
      <c r="AX186" s="1049"/>
      <c r="AY186" s="1050"/>
      <c r="AZ186" s="1049"/>
      <c r="BA186" s="1227"/>
      <c r="BB186" s="1085"/>
      <c r="BC186" s="968"/>
      <c r="BD186" s="965"/>
      <c r="BE186" s="1046"/>
      <c r="BF186" s="1047"/>
      <c r="BG186" s="1231"/>
      <c r="BH186" s="837"/>
      <c r="BI186" s="965"/>
      <c r="BJ186" s="968"/>
      <c r="BK186" s="1050"/>
      <c r="BL186" s="1049"/>
      <c r="BM186" s="1227"/>
      <c r="BN186" s="1085"/>
      <c r="BO186" s="968"/>
      <c r="BP186" s="965"/>
      <c r="BQ186" s="1046"/>
      <c r="BR186" s="965"/>
      <c r="BS186" s="1231"/>
      <c r="BT186" s="837"/>
      <c r="BU186" s="965"/>
      <c r="BV186" s="968"/>
      <c r="BW186" s="1050"/>
      <c r="BX186" s="968"/>
      <c r="BY186" s="1227"/>
      <c r="BZ186" s="1085"/>
      <c r="CA186" s="968"/>
      <c r="CB186" s="1060"/>
      <c r="CC186" s="965"/>
      <c r="CD186" s="965"/>
      <c r="CE186" s="965"/>
      <c r="CF186" s="965"/>
      <c r="CG186" s="965"/>
      <c r="CH186" s="965"/>
      <c r="CI186" s="965"/>
      <c r="CJ186" s="965"/>
      <c r="CK186" s="965"/>
    </row>
    <row r="187" spans="1:89" s="886" customFormat="1" ht="14.25">
      <c r="A187" s="1043"/>
      <c r="B187" s="1044"/>
      <c r="C187" s="1045"/>
      <c r="D187" s="1076"/>
      <c r="E187" s="1043"/>
      <c r="F187" s="1046"/>
      <c r="G187" s="1046"/>
      <c r="H187" s="1047"/>
      <c r="I187" s="1043"/>
      <c r="J187" s="1047"/>
      <c r="K187" s="1317"/>
      <c r="L187" s="1047"/>
      <c r="M187" s="1317"/>
      <c r="N187" s="1317"/>
      <c r="O187" s="965"/>
      <c r="P187" s="965"/>
      <c r="Q187" s="965"/>
      <c r="R187" s="965"/>
      <c r="S187" s="965"/>
      <c r="T187" s="1047"/>
      <c r="U187" s="1188"/>
      <c r="V187" s="1047"/>
      <c r="W187" s="1188"/>
      <c r="X187" s="837"/>
      <c r="Y187" s="965"/>
      <c r="Z187" s="1049"/>
      <c r="AA187" s="1050"/>
      <c r="AB187" s="1049"/>
      <c r="AC187" s="1227"/>
      <c r="AD187" s="1085"/>
      <c r="AE187" s="968"/>
      <c r="AF187" s="1047"/>
      <c r="AG187" s="1046"/>
      <c r="AH187" s="1047"/>
      <c r="AI187" s="1231"/>
      <c r="AJ187" s="837"/>
      <c r="AK187" s="965"/>
      <c r="AL187" s="1049"/>
      <c r="AM187" s="1050"/>
      <c r="AN187" s="1049"/>
      <c r="AO187" s="1227"/>
      <c r="AP187" s="1085"/>
      <c r="AQ187" s="968"/>
      <c r="AR187" s="1047"/>
      <c r="AS187" s="1046"/>
      <c r="AT187" s="1047"/>
      <c r="AU187" s="1231"/>
      <c r="AV187" s="837"/>
      <c r="AW187" s="965"/>
      <c r="AX187" s="1049"/>
      <c r="AY187" s="1050"/>
      <c r="AZ187" s="1049"/>
      <c r="BA187" s="1227"/>
      <c r="BB187" s="1085"/>
      <c r="BC187" s="968"/>
      <c r="BD187" s="965"/>
      <c r="BE187" s="1046"/>
      <c r="BF187" s="1047"/>
      <c r="BG187" s="1231"/>
      <c r="BH187" s="837"/>
      <c r="BI187" s="965"/>
      <c r="BJ187" s="968"/>
      <c r="BK187" s="1050"/>
      <c r="BL187" s="1049"/>
      <c r="BM187" s="1227"/>
      <c r="BN187" s="1085"/>
      <c r="BO187" s="968"/>
      <c r="BP187" s="965"/>
      <c r="BQ187" s="1046"/>
      <c r="BR187" s="965"/>
      <c r="BS187" s="1231"/>
      <c r="BT187" s="837"/>
      <c r="BU187" s="965"/>
      <c r="BV187" s="968"/>
      <c r="BW187" s="1050"/>
      <c r="BX187" s="968"/>
      <c r="BY187" s="1227"/>
      <c r="BZ187" s="1085"/>
      <c r="CA187" s="968"/>
      <c r="CB187" s="1060"/>
      <c r="CC187" s="965"/>
      <c r="CD187" s="965"/>
      <c r="CE187" s="965"/>
      <c r="CF187" s="965"/>
      <c r="CG187" s="965"/>
      <c r="CH187" s="965"/>
      <c r="CI187" s="965"/>
      <c r="CJ187" s="965"/>
      <c r="CK187" s="965"/>
    </row>
    <row r="188" spans="1:89" s="886" customFormat="1" ht="14.25">
      <c r="A188" s="1043"/>
      <c r="B188" s="1044"/>
      <c r="C188" s="1045"/>
      <c r="D188" s="1076"/>
      <c r="E188" s="1043"/>
      <c r="F188" s="1046"/>
      <c r="G188" s="1046"/>
      <c r="H188" s="1047"/>
      <c r="I188" s="1043"/>
      <c r="J188" s="1047"/>
      <c r="K188" s="1317"/>
      <c r="L188" s="1047"/>
      <c r="M188" s="1317"/>
      <c r="N188" s="1317"/>
      <c r="O188" s="965"/>
      <c r="P188" s="965"/>
      <c r="Q188" s="965"/>
      <c r="R188" s="965"/>
      <c r="S188" s="965"/>
      <c r="T188" s="1047"/>
      <c r="U188" s="1188"/>
      <c r="V188" s="1047"/>
      <c r="W188" s="1188"/>
      <c r="X188" s="837"/>
      <c r="Y188" s="965"/>
      <c r="Z188" s="1049"/>
      <c r="AA188" s="1050"/>
      <c r="AB188" s="1049"/>
      <c r="AC188" s="1227"/>
      <c r="AD188" s="1085"/>
      <c r="AE188" s="968"/>
      <c r="AF188" s="1047"/>
      <c r="AG188" s="1046"/>
      <c r="AH188" s="1047"/>
      <c r="AI188" s="1231"/>
      <c r="AJ188" s="837"/>
      <c r="AK188" s="965"/>
      <c r="AL188" s="1049"/>
      <c r="AM188" s="1050"/>
      <c r="AN188" s="1049"/>
      <c r="AO188" s="1227"/>
      <c r="AP188" s="1085"/>
      <c r="AQ188" s="968"/>
      <c r="AR188" s="1047"/>
      <c r="AS188" s="1046"/>
      <c r="AT188" s="1047"/>
      <c r="AU188" s="1231"/>
      <c r="AV188" s="837"/>
      <c r="AW188" s="965"/>
      <c r="AX188" s="1049"/>
      <c r="AY188" s="1050"/>
      <c r="AZ188" s="1049"/>
      <c r="BA188" s="1227"/>
      <c r="BB188" s="1085"/>
      <c r="BC188" s="968"/>
      <c r="BD188" s="965"/>
      <c r="BE188" s="1046"/>
      <c r="BF188" s="1047"/>
      <c r="BG188" s="1231"/>
      <c r="BH188" s="837"/>
      <c r="BI188" s="965"/>
      <c r="BJ188" s="968"/>
      <c r="BK188" s="1050"/>
      <c r="BL188" s="1049"/>
      <c r="BM188" s="1227"/>
      <c r="BN188" s="1085"/>
      <c r="BO188" s="968"/>
      <c r="BP188" s="965"/>
      <c r="BQ188" s="1046"/>
      <c r="BR188" s="965"/>
      <c r="BS188" s="1231"/>
      <c r="BT188" s="837"/>
      <c r="BU188" s="965"/>
      <c r="BV188" s="968"/>
      <c r="BW188" s="1050"/>
      <c r="BX188" s="968"/>
      <c r="BY188" s="1227"/>
      <c r="BZ188" s="1085"/>
      <c r="CA188" s="968"/>
      <c r="CB188" s="1060"/>
      <c r="CC188" s="965"/>
      <c r="CD188" s="965"/>
      <c r="CE188" s="965"/>
      <c r="CF188" s="965"/>
      <c r="CG188" s="965"/>
      <c r="CH188" s="965"/>
      <c r="CI188" s="965"/>
      <c r="CJ188" s="965"/>
      <c r="CK188" s="965"/>
    </row>
    <row r="189" spans="1:89" s="886" customFormat="1" ht="14.25">
      <c r="A189" s="1043"/>
      <c r="B189" s="1044"/>
      <c r="C189" s="1045"/>
      <c r="D189" s="1076"/>
      <c r="E189" s="1043"/>
      <c r="F189" s="1046"/>
      <c r="G189" s="1046"/>
      <c r="H189" s="1047"/>
      <c r="I189" s="1043"/>
      <c r="J189" s="1047"/>
      <c r="K189" s="1317"/>
      <c r="L189" s="1047"/>
      <c r="M189" s="1317"/>
      <c r="N189" s="1317"/>
      <c r="O189" s="965"/>
      <c r="P189" s="965"/>
      <c r="Q189" s="965"/>
      <c r="R189" s="965"/>
      <c r="S189" s="965"/>
      <c r="T189" s="1047"/>
      <c r="U189" s="1188"/>
      <c r="V189" s="1047"/>
      <c r="W189" s="1188"/>
      <c r="X189" s="837"/>
      <c r="Y189" s="965"/>
      <c r="Z189" s="1049"/>
      <c r="AA189" s="1050"/>
      <c r="AB189" s="1049"/>
      <c r="AC189" s="1227"/>
      <c r="AD189" s="1085"/>
      <c r="AE189" s="968"/>
      <c r="AF189" s="1047"/>
      <c r="AG189" s="1046"/>
      <c r="AH189" s="1047"/>
      <c r="AI189" s="1231"/>
      <c r="AJ189" s="837"/>
      <c r="AK189" s="965"/>
      <c r="AL189" s="1049"/>
      <c r="AM189" s="1050"/>
      <c r="AN189" s="1049"/>
      <c r="AO189" s="1227"/>
      <c r="AP189" s="1085"/>
      <c r="AQ189" s="968"/>
      <c r="AR189" s="1047"/>
      <c r="AS189" s="1046"/>
      <c r="AT189" s="1047"/>
      <c r="AU189" s="1231"/>
      <c r="AV189" s="837"/>
      <c r="AW189" s="965"/>
      <c r="AX189" s="1049"/>
      <c r="AY189" s="1050"/>
      <c r="AZ189" s="1049"/>
      <c r="BA189" s="1227"/>
      <c r="BB189" s="1085"/>
      <c r="BC189" s="968"/>
      <c r="BD189" s="965"/>
      <c r="BE189" s="1046"/>
      <c r="BF189" s="1047"/>
      <c r="BG189" s="1231"/>
      <c r="BH189" s="837"/>
      <c r="BI189" s="965"/>
      <c r="BJ189" s="968"/>
      <c r="BK189" s="1050"/>
      <c r="BL189" s="1049"/>
      <c r="BM189" s="1227"/>
      <c r="BN189" s="1085"/>
      <c r="BO189" s="968"/>
      <c r="BP189" s="965"/>
      <c r="BQ189" s="1046"/>
      <c r="BR189" s="965"/>
      <c r="BS189" s="1231"/>
      <c r="BT189" s="837"/>
      <c r="BU189" s="965"/>
      <c r="BV189" s="968"/>
      <c r="BW189" s="1050"/>
      <c r="BX189" s="968"/>
      <c r="BY189" s="1227"/>
      <c r="BZ189" s="1085"/>
      <c r="CA189" s="968"/>
      <c r="CB189" s="1060"/>
      <c r="CC189" s="965"/>
      <c r="CD189" s="965"/>
      <c r="CE189" s="965"/>
      <c r="CF189" s="965"/>
      <c r="CG189" s="965"/>
      <c r="CH189" s="965"/>
      <c r="CI189" s="965"/>
      <c r="CJ189" s="965"/>
      <c r="CK189" s="965"/>
    </row>
    <row r="190" spans="1:89" s="886" customFormat="1" ht="14.25">
      <c r="A190" s="1043"/>
      <c r="B190" s="1044"/>
      <c r="C190" s="1045"/>
      <c r="D190" s="1076"/>
      <c r="E190" s="1043"/>
      <c r="F190" s="1046"/>
      <c r="G190" s="1046"/>
      <c r="H190" s="1047"/>
      <c r="I190" s="1043"/>
      <c r="J190" s="1047"/>
      <c r="K190" s="1317"/>
      <c r="L190" s="1047"/>
      <c r="M190" s="1317"/>
      <c r="N190" s="1317"/>
      <c r="O190" s="965"/>
      <c r="P190" s="965"/>
      <c r="Q190" s="965"/>
      <c r="R190" s="965"/>
      <c r="S190" s="965"/>
      <c r="T190" s="1047"/>
      <c r="U190" s="1188"/>
      <c r="V190" s="1047"/>
      <c r="W190" s="1188"/>
      <c r="X190" s="837"/>
      <c r="Y190" s="965"/>
      <c r="Z190" s="1049"/>
      <c r="AA190" s="1050"/>
      <c r="AB190" s="1049"/>
      <c r="AC190" s="1227"/>
      <c r="AD190" s="1085"/>
      <c r="AE190" s="968"/>
      <c r="AF190" s="1047"/>
      <c r="AG190" s="1046"/>
      <c r="AH190" s="1047"/>
      <c r="AI190" s="1231"/>
      <c r="AJ190" s="837"/>
      <c r="AK190" s="965"/>
      <c r="AL190" s="1049"/>
      <c r="AM190" s="1050"/>
      <c r="AN190" s="1049"/>
      <c r="AO190" s="1227"/>
      <c r="AP190" s="1085"/>
      <c r="AQ190" s="968"/>
      <c r="AR190" s="1047"/>
      <c r="AS190" s="1046"/>
      <c r="AT190" s="1047"/>
      <c r="AU190" s="1231"/>
      <c r="AV190" s="837"/>
      <c r="AW190" s="965"/>
      <c r="AX190" s="1049"/>
      <c r="AY190" s="1050"/>
      <c r="AZ190" s="1049"/>
      <c r="BA190" s="1227"/>
      <c r="BB190" s="1085"/>
      <c r="BC190" s="968"/>
      <c r="BD190" s="965"/>
      <c r="BE190" s="1046"/>
      <c r="BF190" s="1047"/>
      <c r="BG190" s="1231"/>
      <c r="BH190" s="837"/>
      <c r="BI190" s="965"/>
      <c r="BJ190" s="968"/>
      <c r="BK190" s="1050"/>
      <c r="BL190" s="1049"/>
      <c r="BM190" s="1227"/>
      <c r="BN190" s="1085"/>
      <c r="BO190" s="968"/>
      <c r="BP190" s="965"/>
      <c r="BQ190" s="1046"/>
      <c r="BR190" s="965"/>
      <c r="BS190" s="1231"/>
      <c r="BT190" s="837"/>
      <c r="BU190" s="965"/>
      <c r="BV190" s="968"/>
      <c r="BW190" s="1050"/>
      <c r="BX190" s="968"/>
      <c r="BY190" s="1227"/>
      <c r="BZ190" s="1085"/>
      <c r="CA190" s="968"/>
      <c r="CB190" s="1060"/>
      <c r="CC190" s="965"/>
      <c r="CD190" s="965"/>
      <c r="CE190" s="965"/>
      <c r="CF190" s="965"/>
      <c r="CG190" s="965"/>
      <c r="CH190" s="965"/>
      <c r="CI190" s="965"/>
      <c r="CJ190" s="965"/>
      <c r="CK190" s="965"/>
    </row>
    <row r="191" spans="1:89" s="886" customFormat="1" ht="14.25">
      <c r="A191" s="1043"/>
      <c r="B191" s="1044"/>
      <c r="C191" s="1045"/>
      <c r="D191" s="1076"/>
      <c r="E191" s="1043"/>
      <c r="F191" s="1046"/>
      <c r="G191" s="1046"/>
      <c r="H191" s="1047"/>
      <c r="I191" s="1043"/>
      <c r="J191" s="1047"/>
      <c r="K191" s="1317"/>
      <c r="L191" s="1047"/>
      <c r="M191" s="1317"/>
      <c r="N191" s="1317"/>
      <c r="O191" s="965"/>
      <c r="P191" s="965"/>
      <c r="Q191" s="965"/>
      <c r="R191" s="965"/>
      <c r="S191" s="965"/>
      <c r="T191" s="1047"/>
      <c r="U191" s="1188"/>
      <c r="V191" s="1047"/>
      <c r="W191" s="1188"/>
      <c r="X191" s="837"/>
      <c r="Y191" s="965"/>
      <c r="Z191" s="1049"/>
      <c r="AA191" s="1050"/>
      <c r="AB191" s="1049"/>
      <c r="AC191" s="1227"/>
      <c r="AD191" s="1085"/>
      <c r="AE191" s="968"/>
      <c r="AF191" s="1047"/>
      <c r="AG191" s="1046"/>
      <c r="AH191" s="1047"/>
      <c r="AI191" s="1231"/>
      <c r="AJ191" s="837"/>
      <c r="AK191" s="965"/>
      <c r="AL191" s="1049"/>
      <c r="AM191" s="1050"/>
      <c r="AN191" s="1049"/>
      <c r="AO191" s="1227"/>
      <c r="AP191" s="1085"/>
      <c r="AQ191" s="968"/>
      <c r="AR191" s="1047"/>
      <c r="AS191" s="1046"/>
      <c r="AT191" s="1047"/>
      <c r="AU191" s="1231"/>
      <c r="AV191" s="837"/>
      <c r="AW191" s="965"/>
      <c r="AX191" s="1049"/>
      <c r="AY191" s="1050"/>
      <c r="AZ191" s="1049"/>
      <c r="BA191" s="1227"/>
      <c r="BB191" s="1085"/>
      <c r="BC191" s="968"/>
      <c r="BD191" s="965"/>
      <c r="BE191" s="1046"/>
      <c r="BF191" s="1047"/>
      <c r="BG191" s="1231"/>
      <c r="BH191" s="837"/>
      <c r="BI191" s="965"/>
      <c r="BJ191" s="968"/>
      <c r="BK191" s="1050"/>
      <c r="BL191" s="1049"/>
      <c r="BM191" s="1227"/>
      <c r="BN191" s="1085"/>
      <c r="BO191" s="968"/>
      <c r="BP191" s="965"/>
      <c r="BQ191" s="1046"/>
      <c r="BR191" s="965"/>
      <c r="BS191" s="1231"/>
      <c r="BT191" s="837"/>
      <c r="BU191" s="965"/>
      <c r="BV191" s="968"/>
      <c r="BW191" s="1050"/>
      <c r="BX191" s="968"/>
      <c r="BY191" s="1227"/>
      <c r="BZ191" s="1085"/>
      <c r="CA191" s="968"/>
      <c r="CB191" s="1060"/>
      <c r="CC191" s="965"/>
      <c r="CD191" s="965"/>
      <c r="CE191" s="965"/>
      <c r="CF191" s="965"/>
      <c r="CG191" s="965"/>
      <c r="CH191" s="965"/>
      <c r="CI191" s="965"/>
      <c r="CJ191" s="965"/>
      <c r="CK191" s="965"/>
    </row>
    <row r="192" spans="1:89" s="886" customFormat="1" ht="14.25">
      <c r="A192" s="1043"/>
      <c r="B192" s="1044"/>
      <c r="C192" s="1045"/>
      <c r="D192" s="1076"/>
      <c r="E192" s="1043"/>
      <c r="F192" s="1046"/>
      <c r="G192" s="1046"/>
      <c r="H192" s="1047"/>
      <c r="I192" s="1043"/>
      <c r="J192" s="1047"/>
      <c r="K192" s="1317"/>
      <c r="L192" s="1047"/>
      <c r="M192" s="1317"/>
      <c r="N192" s="1317"/>
      <c r="O192" s="965"/>
      <c r="P192" s="965"/>
      <c r="Q192" s="965"/>
      <c r="R192" s="965"/>
      <c r="S192" s="965"/>
      <c r="T192" s="1047"/>
      <c r="U192" s="1188"/>
      <c r="V192" s="1047"/>
      <c r="W192" s="1188"/>
      <c r="X192" s="837"/>
      <c r="Y192" s="965"/>
      <c r="Z192" s="1049"/>
      <c r="AA192" s="1050"/>
      <c r="AB192" s="1049"/>
      <c r="AC192" s="1227"/>
      <c r="AD192" s="1085"/>
      <c r="AE192" s="968"/>
      <c r="AF192" s="1047"/>
      <c r="AG192" s="1046"/>
      <c r="AH192" s="1047"/>
      <c r="AI192" s="1231"/>
      <c r="AJ192" s="837"/>
      <c r="AK192" s="965"/>
      <c r="AL192" s="1049"/>
      <c r="AM192" s="1050"/>
      <c r="AN192" s="1049"/>
      <c r="AO192" s="1227"/>
      <c r="AP192" s="1085"/>
      <c r="AQ192" s="968"/>
      <c r="AR192" s="1047"/>
      <c r="AS192" s="1046"/>
      <c r="AT192" s="1047"/>
      <c r="AU192" s="1231"/>
      <c r="AV192" s="837"/>
      <c r="AW192" s="965"/>
      <c r="AX192" s="1049"/>
      <c r="AY192" s="1050"/>
      <c r="AZ192" s="1049"/>
      <c r="BA192" s="1227"/>
      <c r="BB192" s="1085"/>
      <c r="BC192" s="968"/>
      <c r="BD192" s="965"/>
      <c r="BE192" s="1046"/>
      <c r="BF192" s="1047"/>
      <c r="BG192" s="1231"/>
      <c r="BH192" s="837"/>
      <c r="BI192" s="965"/>
      <c r="BJ192" s="968"/>
      <c r="BK192" s="1050"/>
      <c r="BL192" s="1049"/>
      <c r="BM192" s="1227"/>
      <c r="BN192" s="1085"/>
      <c r="BO192" s="968"/>
      <c r="BP192" s="965"/>
      <c r="BQ192" s="1046"/>
      <c r="BR192" s="965"/>
      <c r="BS192" s="1231"/>
      <c r="BT192" s="837"/>
      <c r="BU192" s="965"/>
      <c r="BV192" s="968"/>
      <c r="BW192" s="1050"/>
      <c r="BX192" s="968"/>
      <c r="BY192" s="1227"/>
      <c r="BZ192" s="1085"/>
      <c r="CA192" s="968"/>
      <c r="CB192" s="1060"/>
      <c r="CC192" s="965"/>
      <c r="CD192" s="965"/>
      <c r="CE192" s="965"/>
      <c r="CF192" s="965"/>
      <c r="CG192" s="965"/>
      <c r="CH192" s="965"/>
      <c r="CI192" s="965"/>
      <c r="CJ192" s="965"/>
      <c r="CK192" s="965"/>
    </row>
    <row r="193" spans="1:89" s="886" customFormat="1" ht="14.25">
      <c r="A193" s="1043"/>
      <c r="B193" s="1044"/>
      <c r="C193" s="1045"/>
      <c r="D193" s="1076"/>
      <c r="E193" s="1043"/>
      <c r="F193" s="1046"/>
      <c r="G193" s="1046"/>
      <c r="H193" s="1047"/>
      <c r="I193" s="1043"/>
      <c r="J193" s="1047"/>
      <c r="K193" s="1317"/>
      <c r="L193" s="1047"/>
      <c r="M193" s="1317"/>
      <c r="N193" s="1317"/>
      <c r="O193" s="965"/>
      <c r="P193" s="965"/>
      <c r="Q193" s="965"/>
      <c r="R193" s="965"/>
      <c r="S193" s="965"/>
      <c r="T193" s="1047"/>
      <c r="U193" s="1188"/>
      <c r="V193" s="1047"/>
      <c r="W193" s="1188"/>
      <c r="X193" s="837"/>
      <c r="Y193" s="965"/>
      <c r="Z193" s="1049"/>
      <c r="AA193" s="1050"/>
      <c r="AB193" s="1049"/>
      <c r="AC193" s="1227"/>
      <c r="AD193" s="1085"/>
      <c r="AE193" s="968"/>
      <c r="AF193" s="1047"/>
      <c r="AG193" s="1046"/>
      <c r="AH193" s="1047"/>
      <c r="AI193" s="1231"/>
      <c r="AJ193" s="837"/>
      <c r="AK193" s="965"/>
      <c r="AL193" s="1049"/>
      <c r="AM193" s="1050"/>
      <c r="AN193" s="1049"/>
      <c r="AO193" s="1227"/>
      <c r="AP193" s="1085"/>
      <c r="AQ193" s="968"/>
      <c r="AR193" s="1047"/>
      <c r="AS193" s="1046"/>
      <c r="AT193" s="1047"/>
      <c r="AU193" s="1231"/>
      <c r="AV193" s="837"/>
      <c r="AW193" s="965"/>
      <c r="AX193" s="1049"/>
      <c r="AY193" s="1050"/>
      <c r="AZ193" s="1049"/>
      <c r="BA193" s="1227"/>
      <c r="BB193" s="1085"/>
      <c r="BC193" s="968"/>
      <c r="BD193" s="965"/>
      <c r="BE193" s="1046"/>
      <c r="BF193" s="1047"/>
      <c r="BG193" s="1231"/>
      <c r="BH193" s="837"/>
      <c r="BI193" s="965"/>
      <c r="BJ193" s="968"/>
      <c r="BK193" s="1050"/>
      <c r="BL193" s="1049"/>
      <c r="BM193" s="1227"/>
      <c r="BN193" s="1085"/>
      <c r="BO193" s="968"/>
      <c r="BP193" s="965"/>
      <c r="BQ193" s="1046"/>
      <c r="BR193" s="965"/>
      <c r="BS193" s="1231"/>
      <c r="BT193" s="837"/>
      <c r="BU193" s="965"/>
      <c r="BV193" s="968"/>
      <c r="BW193" s="1050"/>
      <c r="BX193" s="968"/>
      <c r="BY193" s="1227"/>
      <c r="BZ193" s="1085"/>
      <c r="CA193" s="968"/>
      <c r="CB193" s="1060"/>
      <c r="CC193" s="965"/>
      <c r="CD193" s="965"/>
      <c r="CE193" s="965"/>
      <c r="CF193" s="965"/>
      <c r="CG193" s="965"/>
      <c r="CH193" s="965"/>
      <c r="CI193" s="965"/>
      <c r="CJ193" s="965"/>
      <c r="CK193" s="965"/>
    </row>
    <row r="194" spans="1:89" s="886" customFormat="1" ht="14.25">
      <c r="A194" s="1043"/>
      <c r="B194" s="1044"/>
      <c r="C194" s="1045"/>
      <c r="D194" s="1076"/>
      <c r="E194" s="1043"/>
      <c r="F194" s="1046"/>
      <c r="G194" s="1046"/>
      <c r="H194" s="1047"/>
      <c r="I194" s="1043"/>
      <c r="J194" s="1047"/>
      <c r="K194" s="1317"/>
      <c r="L194" s="1047"/>
      <c r="M194" s="1317"/>
      <c r="N194" s="1317"/>
      <c r="O194" s="965"/>
      <c r="P194" s="965"/>
      <c r="Q194" s="965"/>
      <c r="R194" s="965"/>
      <c r="S194" s="965"/>
      <c r="T194" s="1047"/>
      <c r="U194" s="1188"/>
      <c r="V194" s="1047"/>
      <c r="W194" s="1188"/>
      <c r="X194" s="837"/>
      <c r="Y194" s="965"/>
      <c r="Z194" s="1049"/>
      <c r="AA194" s="1050"/>
      <c r="AB194" s="1049"/>
      <c r="AC194" s="1227"/>
      <c r="AD194" s="1085"/>
      <c r="AE194" s="968"/>
      <c r="AF194" s="1047"/>
      <c r="AG194" s="1046"/>
      <c r="AH194" s="1047"/>
      <c r="AI194" s="1231"/>
      <c r="AJ194" s="837"/>
      <c r="AK194" s="965"/>
      <c r="AL194" s="1049"/>
      <c r="AM194" s="1050"/>
      <c r="AN194" s="1049"/>
      <c r="AO194" s="1227"/>
      <c r="AP194" s="1085"/>
      <c r="AQ194" s="968"/>
      <c r="AR194" s="1047"/>
      <c r="AS194" s="1046"/>
      <c r="AT194" s="1047"/>
      <c r="AU194" s="1231"/>
      <c r="AV194" s="837"/>
      <c r="AW194" s="965"/>
      <c r="AX194" s="1049"/>
      <c r="AY194" s="1050"/>
      <c r="AZ194" s="1049"/>
      <c r="BA194" s="1227"/>
      <c r="BB194" s="1085"/>
      <c r="BC194" s="968"/>
      <c r="BD194" s="965"/>
      <c r="BE194" s="1046"/>
      <c r="BF194" s="1047"/>
      <c r="BG194" s="1231"/>
      <c r="BH194" s="837"/>
      <c r="BI194" s="965"/>
      <c r="BJ194" s="968"/>
      <c r="BK194" s="1050"/>
      <c r="BL194" s="1049"/>
      <c r="BM194" s="1227"/>
      <c r="BN194" s="1085"/>
      <c r="BO194" s="968"/>
      <c r="BP194" s="965"/>
      <c r="BQ194" s="1046"/>
      <c r="BR194" s="965"/>
      <c r="BS194" s="1231"/>
      <c r="BT194" s="837"/>
      <c r="BU194" s="965"/>
      <c r="BV194" s="968"/>
      <c r="BW194" s="1050"/>
      <c r="BX194" s="968"/>
      <c r="BY194" s="1227"/>
      <c r="BZ194" s="1085"/>
      <c r="CA194" s="968"/>
      <c r="CB194" s="1060"/>
      <c r="CC194" s="965"/>
      <c r="CD194" s="965"/>
      <c r="CE194" s="965"/>
      <c r="CF194" s="965"/>
      <c r="CG194" s="965"/>
      <c r="CH194" s="965"/>
      <c r="CI194" s="965"/>
      <c r="CJ194" s="965"/>
      <c r="CK194" s="965"/>
    </row>
    <row r="195" spans="1:89" s="886" customFormat="1" ht="14.25">
      <c r="A195" s="1043"/>
      <c r="B195" s="1044"/>
      <c r="C195" s="1045"/>
      <c r="D195" s="1076"/>
      <c r="E195" s="1043"/>
      <c r="F195" s="1046"/>
      <c r="G195" s="1046"/>
      <c r="H195" s="1047"/>
      <c r="I195" s="1043"/>
      <c r="J195" s="1047"/>
      <c r="K195" s="1317"/>
      <c r="L195" s="1047"/>
      <c r="M195" s="1317"/>
      <c r="N195" s="1317"/>
      <c r="O195" s="965"/>
      <c r="P195" s="965"/>
      <c r="Q195" s="965"/>
      <c r="R195" s="965"/>
      <c r="S195" s="965"/>
      <c r="T195" s="1047"/>
      <c r="U195" s="1188"/>
      <c r="V195" s="1047"/>
      <c r="W195" s="1188"/>
      <c r="X195" s="837"/>
      <c r="Y195" s="965"/>
      <c r="Z195" s="1049"/>
      <c r="AA195" s="1050"/>
      <c r="AB195" s="1049"/>
      <c r="AC195" s="1227"/>
      <c r="AD195" s="1085"/>
      <c r="AE195" s="968"/>
      <c r="AF195" s="1047"/>
      <c r="AG195" s="1046"/>
      <c r="AH195" s="1047"/>
      <c r="AI195" s="1231"/>
      <c r="AJ195" s="837"/>
      <c r="AK195" s="965"/>
      <c r="AL195" s="1049"/>
      <c r="AM195" s="1050"/>
      <c r="AN195" s="1049"/>
      <c r="AO195" s="1227"/>
      <c r="AP195" s="1085"/>
      <c r="AQ195" s="968"/>
      <c r="AR195" s="1047"/>
      <c r="AS195" s="1046"/>
      <c r="AT195" s="1047"/>
      <c r="AU195" s="1231"/>
      <c r="AV195" s="837"/>
      <c r="AW195" s="965"/>
      <c r="AX195" s="1049"/>
      <c r="AY195" s="1050"/>
      <c r="AZ195" s="1049"/>
      <c r="BA195" s="1227"/>
      <c r="BB195" s="1085"/>
      <c r="BC195" s="968"/>
      <c r="BD195" s="965"/>
      <c r="BE195" s="1046"/>
      <c r="BF195" s="1047"/>
      <c r="BG195" s="1231"/>
      <c r="BH195" s="837"/>
      <c r="BI195" s="965"/>
      <c r="BJ195" s="968"/>
      <c r="BK195" s="1050"/>
      <c r="BL195" s="1049"/>
      <c r="BM195" s="1227"/>
      <c r="BN195" s="1085"/>
      <c r="BO195" s="968"/>
      <c r="BP195" s="965"/>
      <c r="BQ195" s="1046"/>
      <c r="BR195" s="965"/>
      <c r="BS195" s="1231"/>
      <c r="BT195" s="837"/>
      <c r="BU195" s="965"/>
      <c r="BV195" s="968"/>
      <c r="BW195" s="1050"/>
      <c r="BX195" s="968"/>
      <c r="BY195" s="1227"/>
      <c r="BZ195" s="1085"/>
      <c r="CA195" s="968"/>
      <c r="CB195" s="1060"/>
      <c r="CC195" s="965"/>
      <c r="CD195" s="965"/>
      <c r="CE195" s="965"/>
      <c r="CF195" s="965"/>
      <c r="CG195" s="965"/>
      <c r="CH195" s="965"/>
      <c r="CI195" s="965"/>
      <c r="CJ195" s="965"/>
      <c r="CK195" s="965"/>
    </row>
    <row r="196" spans="1:89" s="886" customFormat="1" ht="14.25">
      <c r="A196" s="1043"/>
      <c r="B196" s="1044"/>
      <c r="C196" s="1045"/>
      <c r="D196" s="1076"/>
      <c r="E196" s="1043"/>
      <c r="F196" s="1046"/>
      <c r="G196" s="1046"/>
      <c r="H196" s="1047"/>
      <c r="I196" s="1043"/>
      <c r="J196" s="1047"/>
      <c r="K196" s="1317"/>
      <c r="L196" s="1047"/>
      <c r="M196" s="1317"/>
      <c r="N196" s="1317"/>
      <c r="O196" s="965"/>
      <c r="P196" s="965"/>
      <c r="Q196" s="965"/>
      <c r="R196" s="965"/>
      <c r="S196" s="965"/>
      <c r="T196" s="1047"/>
      <c r="U196" s="1188"/>
      <c r="V196" s="1047"/>
      <c r="W196" s="1188"/>
      <c r="X196" s="837"/>
      <c r="Y196" s="965"/>
      <c r="Z196" s="1049"/>
      <c r="AA196" s="1050"/>
      <c r="AB196" s="1049"/>
      <c r="AC196" s="1227"/>
      <c r="AD196" s="1085"/>
      <c r="AE196" s="968"/>
      <c r="AF196" s="1047"/>
      <c r="AG196" s="1046"/>
      <c r="AH196" s="1047"/>
      <c r="AI196" s="1231"/>
      <c r="AJ196" s="837"/>
      <c r="AK196" s="965"/>
      <c r="AL196" s="1049"/>
      <c r="AM196" s="1050"/>
      <c r="AN196" s="1049"/>
      <c r="AO196" s="1227"/>
      <c r="AP196" s="1085"/>
      <c r="AQ196" s="968"/>
      <c r="AR196" s="1047"/>
      <c r="AS196" s="1046"/>
      <c r="AT196" s="1047"/>
      <c r="AU196" s="1231"/>
      <c r="AV196" s="837"/>
      <c r="AW196" s="965"/>
      <c r="AX196" s="1049"/>
      <c r="AY196" s="1050"/>
      <c r="AZ196" s="1049"/>
      <c r="BA196" s="1227"/>
      <c r="BB196" s="1085"/>
      <c r="BC196" s="968"/>
      <c r="BD196" s="965"/>
      <c r="BE196" s="1046"/>
      <c r="BF196" s="1047"/>
      <c r="BG196" s="1231"/>
      <c r="BH196" s="837"/>
      <c r="BI196" s="965"/>
      <c r="BJ196" s="968"/>
      <c r="BK196" s="1050"/>
      <c r="BL196" s="1049"/>
      <c r="BM196" s="1227"/>
      <c r="BN196" s="1085"/>
      <c r="BO196" s="968"/>
      <c r="BP196" s="965"/>
      <c r="BQ196" s="1046"/>
      <c r="BR196" s="965"/>
      <c r="BS196" s="1231"/>
      <c r="BT196" s="837"/>
      <c r="BU196" s="965"/>
      <c r="BV196" s="968"/>
      <c r="BW196" s="1050"/>
      <c r="BX196" s="968"/>
      <c r="BY196" s="1227"/>
      <c r="BZ196" s="1085"/>
      <c r="CA196" s="968"/>
      <c r="CB196" s="1060"/>
      <c r="CC196" s="965"/>
      <c r="CD196" s="965"/>
      <c r="CE196" s="965"/>
      <c r="CF196" s="965"/>
      <c r="CG196" s="965"/>
      <c r="CH196" s="965"/>
      <c r="CI196" s="965"/>
      <c r="CJ196" s="965"/>
      <c r="CK196" s="965"/>
    </row>
    <row r="197" spans="1:89" s="886" customFormat="1" ht="14.25">
      <c r="A197" s="1043"/>
      <c r="B197" s="1044"/>
      <c r="C197" s="1045"/>
      <c r="D197" s="1076"/>
      <c r="E197" s="1043"/>
      <c r="F197" s="1046"/>
      <c r="G197" s="1046"/>
      <c r="H197" s="1047"/>
      <c r="I197" s="1043"/>
      <c r="J197" s="1047"/>
      <c r="K197" s="1317"/>
      <c r="L197" s="1047"/>
      <c r="M197" s="1317"/>
      <c r="N197" s="1317"/>
      <c r="O197" s="965"/>
      <c r="P197" s="965"/>
      <c r="Q197" s="965"/>
      <c r="R197" s="965"/>
      <c r="S197" s="965"/>
      <c r="T197" s="1047"/>
      <c r="U197" s="1188"/>
      <c r="V197" s="1047"/>
      <c r="W197" s="1188"/>
      <c r="X197" s="837"/>
      <c r="Y197" s="965"/>
      <c r="Z197" s="1049"/>
      <c r="AA197" s="1050"/>
      <c r="AB197" s="1049"/>
      <c r="AC197" s="1227"/>
      <c r="AD197" s="1085"/>
      <c r="AE197" s="968"/>
      <c r="AF197" s="1047"/>
      <c r="AG197" s="1046"/>
      <c r="AH197" s="1047"/>
      <c r="AI197" s="1231"/>
      <c r="AJ197" s="837"/>
      <c r="AK197" s="965"/>
      <c r="AL197" s="1049"/>
      <c r="AM197" s="1050"/>
      <c r="AN197" s="1049"/>
      <c r="AO197" s="1227"/>
      <c r="AP197" s="1085"/>
      <c r="AQ197" s="968"/>
      <c r="AR197" s="1047"/>
      <c r="AS197" s="1046"/>
      <c r="AT197" s="1047"/>
      <c r="AU197" s="1231"/>
      <c r="AV197" s="837"/>
      <c r="AW197" s="965"/>
      <c r="AX197" s="1049"/>
      <c r="AY197" s="1050"/>
      <c r="AZ197" s="1049"/>
      <c r="BA197" s="1227"/>
      <c r="BB197" s="1085"/>
      <c r="BC197" s="968"/>
      <c r="BD197" s="965"/>
      <c r="BE197" s="1046"/>
      <c r="BF197" s="1047"/>
      <c r="BG197" s="1231"/>
      <c r="BH197" s="837"/>
      <c r="BI197" s="965"/>
      <c r="BJ197" s="968"/>
      <c r="BK197" s="1050"/>
      <c r="BL197" s="1049"/>
      <c r="BM197" s="1227"/>
      <c r="BN197" s="1085"/>
      <c r="BO197" s="968"/>
      <c r="BP197" s="965"/>
      <c r="BQ197" s="1046"/>
      <c r="BR197" s="965"/>
      <c r="BS197" s="1231"/>
      <c r="BT197" s="837"/>
      <c r="BU197" s="965"/>
      <c r="BV197" s="968"/>
      <c r="BW197" s="1050"/>
      <c r="BX197" s="968"/>
      <c r="BY197" s="1227"/>
      <c r="BZ197" s="1085"/>
      <c r="CA197" s="968"/>
      <c r="CB197" s="1060"/>
      <c r="CC197" s="965"/>
      <c r="CD197" s="965"/>
      <c r="CE197" s="965"/>
      <c r="CF197" s="965"/>
      <c r="CG197" s="965"/>
      <c r="CH197" s="965"/>
      <c r="CI197" s="965"/>
      <c r="CJ197" s="965"/>
      <c r="CK197" s="965"/>
    </row>
    <row r="198" spans="1:89" s="886" customFormat="1" ht="14.25">
      <c r="A198" s="1043"/>
      <c r="B198" s="1044"/>
      <c r="C198" s="1045"/>
      <c r="D198" s="1076"/>
      <c r="E198" s="1043"/>
      <c r="F198" s="1046"/>
      <c r="G198" s="1046"/>
      <c r="H198" s="1047"/>
      <c r="I198" s="1043"/>
      <c r="J198" s="1047"/>
      <c r="K198" s="1317"/>
      <c r="L198" s="1047"/>
      <c r="M198" s="1317"/>
      <c r="N198" s="1317"/>
      <c r="O198" s="965"/>
      <c r="P198" s="965"/>
      <c r="Q198" s="965"/>
      <c r="R198" s="965"/>
      <c r="S198" s="965"/>
      <c r="T198" s="1047"/>
      <c r="U198" s="1188"/>
      <c r="V198" s="1047"/>
      <c r="W198" s="1188"/>
      <c r="X198" s="837"/>
      <c r="Y198" s="965"/>
      <c r="Z198" s="1049"/>
      <c r="AA198" s="1050"/>
      <c r="AB198" s="1049"/>
      <c r="AC198" s="1227"/>
      <c r="AD198" s="1085"/>
      <c r="AE198" s="968"/>
      <c r="AF198" s="1047"/>
      <c r="AG198" s="1046"/>
      <c r="AH198" s="1047"/>
      <c r="AI198" s="1231"/>
      <c r="AJ198" s="837"/>
      <c r="AK198" s="965"/>
      <c r="AL198" s="1049"/>
      <c r="AM198" s="1050"/>
      <c r="AN198" s="1049"/>
      <c r="AO198" s="1227"/>
      <c r="AP198" s="1085"/>
      <c r="AQ198" s="968"/>
      <c r="AR198" s="1047"/>
      <c r="AS198" s="1046"/>
      <c r="AT198" s="1047"/>
      <c r="AU198" s="1231"/>
      <c r="AV198" s="837"/>
      <c r="AW198" s="965"/>
      <c r="AX198" s="1049"/>
      <c r="AY198" s="1050"/>
      <c r="AZ198" s="1049"/>
      <c r="BA198" s="1227"/>
      <c r="BB198" s="1085"/>
      <c r="BC198" s="968"/>
      <c r="BD198" s="965"/>
      <c r="BE198" s="1046"/>
      <c r="BF198" s="1047"/>
      <c r="BG198" s="1231"/>
      <c r="BH198" s="837"/>
      <c r="BI198" s="965"/>
      <c r="BJ198" s="968"/>
      <c r="BK198" s="1050"/>
      <c r="BL198" s="1049"/>
      <c r="BM198" s="1227"/>
      <c r="BN198" s="1085"/>
      <c r="BO198" s="968"/>
      <c r="BP198" s="965"/>
      <c r="BQ198" s="1046"/>
      <c r="BR198" s="965"/>
      <c r="BS198" s="1231"/>
      <c r="BT198" s="837"/>
      <c r="BU198" s="965"/>
      <c r="BV198" s="968"/>
      <c r="BW198" s="1050"/>
      <c r="BX198" s="968"/>
      <c r="BY198" s="1227"/>
      <c r="BZ198" s="1085"/>
      <c r="CA198" s="968"/>
      <c r="CB198" s="1060"/>
      <c r="CC198" s="965"/>
      <c r="CD198" s="965"/>
      <c r="CE198" s="965"/>
      <c r="CF198" s="965"/>
      <c r="CG198" s="965"/>
      <c r="CH198" s="965"/>
      <c r="CI198" s="965"/>
      <c r="CJ198" s="965"/>
      <c r="CK198" s="965"/>
    </row>
    <row r="199" spans="1:89" s="886" customFormat="1" ht="14.25">
      <c r="A199" s="1043"/>
      <c r="B199" s="1044"/>
      <c r="C199" s="1045"/>
      <c r="D199" s="1076"/>
      <c r="E199" s="1043"/>
      <c r="F199" s="1046"/>
      <c r="G199" s="1046"/>
      <c r="H199" s="1047"/>
      <c r="I199" s="1043"/>
      <c r="J199" s="1047"/>
      <c r="K199" s="1317"/>
      <c r="L199" s="1047"/>
      <c r="M199" s="1317"/>
      <c r="N199" s="1317"/>
      <c r="O199" s="965"/>
      <c r="P199" s="965"/>
      <c r="Q199" s="965"/>
      <c r="R199" s="965"/>
      <c r="S199" s="965"/>
      <c r="T199" s="1047"/>
      <c r="U199" s="1188"/>
      <c r="V199" s="1047"/>
      <c r="W199" s="1188"/>
      <c r="X199" s="837"/>
      <c r="Y199" s="965"/>
      <c r="Z199" s="1049"/>
      <c r="AA199" s="1050"/>
      <c r="AB199" s="1049"/>
      <c r="AC199" s="1227"/>
      <c r="AD199" s="1085"/>
      <c r="AE199" s="968"/>
      <c r="AF199" s="1047"/>
      <c r="AG199" s="1046"/>
      <c r="AH199" s="1047"/>
      <c r="AI199" s="1231"/>
      <c r="AJ199" s="837"/>
      <c r="AK199" s="965"/>
      <c r="AL199" s="1049"/>
      <c r="AM199" s="1050"/>
      <c r="AN199" s="1049"/>
      <c r="AO199" s="1227"/>
      <c r="AP199" s="1085"/>
      <c r="AQ199" s="968"/>
      <c r="AR199" s="1047"/>
      <c r="AS199" s="1046"/>
      <c r="AT199" s="1047"/>
      <c r="AU199" s="1231"/>
      <c r="AV199" s="837"/>
      <c r="AW199" s="965"/>
      <c r="AX199" s="1049"/>
      <c r="AY199" s="1050"/>
      <c r="AZ199" s="1049"/>
      <c r="BA199" s="1227"/>
      <c r="BB199" s="1085"/>
      <c r="BC199" s="968"/>
      <c r="BD199" s="965"/>
      <c r="BE199" s="1046"/>
      <c r="BF199" s="1047"/>
      <c r="BG199" s="1231"/>
      <c r="BH199" s="837"/>
      <c r="BI199" s="965"/>
      <c r="BJ199" s="968"/>
      <c r="BK199" s="1050"/>
      <c r="BL199" s="1049"/>
      <c r="BM199" s="1227"/>
      <c r="BN199" s="1085"/>
      <c r="BO199" s="968"/>
      <c r="BP199" s="965"/>
      <c r="BQ199" s="1046"/>
      <c r="BR199" s="965"/>
      <c r="BS199" s="1231"/>
      <c r="BT199" s="837"/>
      <c r="BU199" s="965"/>
      <c r="BV199" s="968"/>
      <c r="BW199" s="1050"/>
      <c r="BX199" s="968"/>
      <c r="BY199" s="1227"/>
      <c r="BZ199" s="1085"/>
      <c r="CA199" s="968"/>
      <c r="CB199" s="1060"/>
      <c r="CC199" s="965"/>
      <c r="CD199" s="965"/>
      <c r="CE199" s="965"/>
      <c r="CF199" s="965"/>
      <c r="CG199" s="965"/>
      <c r="CH199" s="965"/>
      <c r="CI199" s="965"/>
      <c r="CJ199" s="965"/>
      <c r="CK199" s="965"/>
    </row>
    <row r="200" spans="1:89" s="886" customFormat="1" ht="14.25">
      <c r="A200" s="1043"/>
      <c r="B200" s="1044"/>
      <c r="C200" s="1045"/>
      <c r="D200" s="1076"/>
      <c r="E200" s="1043"/>
      <c r="F200" s="1046"/>
      <c r="G200" s="1046"/>
      <c r="H200" s="1047"/>
      <c r="I200" s="1043"/>
      <c r="J200" s="1047"/>
      <c r="K200" s="1317"/>
      <c r="L200" s="1047"/>
      <c r="M200" s="1317"/>
      <c r="N200" s="1317"/>
      <c r="O200" s="965"/>
      <c r="P200" s="965"/>
      <c r="Q200" s="965"/>
      <c r="R200" s="965"/>
      <c r="S200" s="965"/>
      <c r="T200" s="1047"/>
      <c r="U200" s="1188"/>
      <c r="V200" s="1047"/>
      <c r="W200" s="1188"/>
      <c r="X200" s="837"/>
      <c r="Y200" s="965"/>
      <c r="Z200" s="1049"/>
      <c r="AA200" s="1050"/>
      <c r="AB200" s="1049"/>
      <c r="AC200" s="1227"/>
      <c r="AD200" s="1085"/>
      <c r="AE200" s="968"/>
      <c r="AF200" s="1047"/>
      <c r="AG200" s="1046"/>
      <c r="AH200" s="1047"/>
      <c r="AI200" s="1231"/>
      <c r="AJ200" s="837"/>
      <c r="AK200" s="965"/>
      <c r="AL200" s="1049"/>
      <c r="AM200" s="1050"/>
      <c r="AN200" s="1049"/>
      <c r="AO200" s="1227"/>
      <c r="AP200" s="1085"/>
      <c r="AQ200" s="968"/>
      <c r="AR200" s="1047"/>
      <c r="AS200" s="1046"/>
      <c r="AT200" s="1047"/>
      <c r="AU200" s="1231"/>
      <c r="AV200" s="837"/>
      <c r="AW200" s="965"/>
      <c r="AX200" s="1049"/>
      <c r="AY200" s="1050"/>
      <c r="AZ200" s="1049"/>
      <c r="BA200" s="1227"/>
      <c r="BB200" s="1085"/>
      <c r="BC200" s="968"/>
      <c r="BD200" s="965"/>
      <c r="BE200" s="1046"/>
      <c r="BF200" s="1047"/>
      <c r="BG200" s="1231"/>
      <c r="BH200" s="837"/>
      <c r="BI200" s="965"/>
      <c r="BJ200" s="968"/>
      <c r="BK200" s="1050"/>
      <c r="BL200" s="1049"/>
      <c r="BM200" s="1227"/>
      <c r="BN200" s="1085"/>
      <c r="BO200" s="968"/>
      <c r="BP200" s="965"/>
      <c r="BQ200" s="1046"/>
      <c r="BR200" s="965"/>
      <c r="BS200" s="1231"/>
      <c r="BT200" s="837"/>
      <c r="BU200" s="965"/>
      <c r="BV200" s="968"/>
      <c r="BW200" s="1050"/>
      <c r="BX200" s="968"/>
      <c r="BY200" s="1227"/>
      <c r="BZ200" s="1085"/>
      <c r="CA200" s="968"/>
      <c r="CB200" s="1060"/>
      <c r="CC200" s="965"/>
      <c r="CD200" s="965"/>
      <c r="CE200" s="965"/>
      <c r="CF200" s="965"/>
      <c r="CG200" s="965"/>
      <c r="CH200" s="965"/>
      <c r="CI200" s="965"/>
      <c r="CJ200" s="965"/>
      <c r="CK200" s="965"/>
    </row>
    <row r="201" spans="1:89" s="886" customFormat="1" ht="14.25">
      <c r="A201" s="1043"/>
      <c r="B201" s="1044"/>
      <c r="C201" s="1045"/>
      <c r="D201" s="1076"/>
      <c r="E201" s="1043"/>
      <c r="F201" s="1046"/>
      <c r="G201" s="1046"/>
      <c r="H201" s="1047"/>
      <c r="I201" s="1043"/>
      <c r="J201" s="1047"/>
      <c r="K201" s="1317"/>
      <c r="L201" s="1047"/>
      <c r="M201" s="1317"/>
      <c r="N201" s="1317"/>
      <c r="O201" s="965"/>
      <c r="P201" s="965"/>
      <c r="Q201" s="965"/>
      <c r="R201" s="965"/>
      <c r="S201" s="965"/>
      <c r="T201" s="1047"/>
      <c r="U201" s="1188"/>
      <c r="V201" s="1047"/>
      <c r="W201" s="1188"/>
      <c r="X201" s="837"/>
      <c r="Y201" s="965"/>
      <c r="Z201" s="1049"/>
      <c r="AA201" s="1050"/>
      <c r="AB201" s="1049"/>
      <c r="AC201" s="1227"/>
      <c r="AD201" s="1085"/>
      <c r="AE201" s="968"/>
      <c r="AF201" s="1047"/>
      <c r="AG201" s="1046"/>
      <c r="AH201" s="1047"/>
      <c r="AI201" s="1231"/>
      <c r="AJ201" s="837"/>
      <c r="AK201" s="965"/>
      <c r="AL201" s="1049"/>
      <c r="AM201" s="1050"/>
      <c r="AN201" s="1049"/>
      <c r="AO201" s="1227"/>
      <c r="AP201" s="1085"/>
      <c r="AQ201" s="968"/>
      <c r="AR201" s="1047"/>
      <c r="AS201" s="1046"/>
      <c r="AT201" s="1047"/>
      <c r="AU201" s="1231"/>
      <c r="AV201" s="837"/>
      <c r="AW201" s="965"/>
      <c r="AX201" s="1049"/>
      <c r="AY201" s="1050"/>
      <c r="AZ201" s="1049"/>
      <c r="BA201" s="1227"/>
      <c r="BB201" s="1085"/>
      <c r="BC201" s="968"/>
      <c r="BD201" s="965"/>
      <c r="BE201" s="1046"/>
      <c r="BF201" s="1047"/>
      <c r="BG201" s="1231"/>
      <c r="BH201" s="837"/>
      <c r="BI201" s="965"/>
      <c r="BJ201" s="968"/>
      <c r="BK201" s="1050"/>
      <c r="BL201" s="1049"/>
      <c r="BM201" s="1227"/>
      <c r="BN201" s="1085"/>
      <c r="BO201" s="968"/>
      <c r="BP201" s="965"/>
      <c r="BQ201" s="1046"/>
      <c r="BR201" s="965"/>
      <c r="BS201" s="1231"/>
      <c r="BT201" s="837"/>
      <c r="BU201" s="965"/>
      <c r="BV201" s="968"/>
      <c r="BW201" s="1050"/>
      <c r="BX201" s="968"/>
      <c r="BY201" s="1227"/>
      <c r="BZ201" s="1085"/>
      <c r="CA201" s="968"/>
      <c r="CB201" s="1060"/>
      <c r="CC201" s="965"/>
      <c r="CD201" s="965"/>
      <c r="CE201" s="965"/>
      <c r="CF201" s="965"/>
      <c r="CG201" s="965"/>
      <c r="CH201" s="965"/>
      <c r="CI201" s="965"/>
      <c r="CJ201" s="965"/>
      <c r="CK201" s="965"/>
    </row>
    <row r="202" spans="1:89" s="886" customFormat="1" ht="14.25">
      <c r="A202" s="1043"/>
      <c r="B202" s="1044"/>
      <c r="C202" s="1045"/>
      <c r="D202" s="1076"/>
      <c r="E202" s="1043"/>
      <c r="F202" s="1046"/>
      <c r="G202" s="1046"/>
      <c r="H202" s="1047"/>
      <c r="I202" s="1043"/>
      <c r="J202" s="1047"/>
      <c r="K202" s="1317"/>
      <c r="L202" s="1047"/>
      <c r="M202" s="1317"/>
      <c r="N202" s="1317"/>
      <c r="O202" s="965"/>
      <c r="P202" s="965"/>
      <c r="Q202" s="965"/>
      <c r="R202" s="965"/>
      <c r="S202" s="965"/>
      <c r="T202" s="1047"/>
      <c r="U202" s="1188"/>
      <c r="V202" s="1047"/>
      <c r="W202" s="1188"/>
      <c r="X202" s="837"/>
      <c r="Y202" s="965"/>
      <c r="Z202" s="1049"/>
      <c r="AA202" s="1050"/>
      <c r="AB202" s="1049"/>
      <c r="AC202" s="1227"/>
      <c r="AD202" s="1085"/>
      <c r="AE202" s="968"/>
      <c r="AF202" s="1047"/>
      <c r="AG202" s="1046"/>
      <c r="AH202" s="1047"/>
      <c r="AI202" s="1231"/>
      <c r="AJ202" s="837"/>
      <c r="AK202" s="965"/>
      <c r="AL202" s="1049"/>
      <c r="AM202" s="1050"/>
      <c r="AN202" s="1049"/>
      <c r="AO202" s="1227"/>
      <c r="AP202" s="1085"/>
      <c r="AQ202" s="968"/>
      <c r="AR202" s="1047"/>
      <c r="AS202" s="1046"/>
      <c r="AT202" s="1047"/>
      <c r="AU202" s="1231"/>
      <c r="AV202" s="837"/>
      <c r="AW202" s="965"/>
      <c r="AX202" s="1049"/>
      <c r="AY202" s="1050"/>
      <c r="AZ202" s="1049"/>
      <c r="BA202" s="1227"/>
      <c r="BB202" s="1085"/>
      <c r="BC202" s="968"/>
      <c r="BD202" s="965"/>
      <c r="BE202" s="1046"/>
      <c r="BF202" s="1047"/>
      <c r="BG202" s="1231"/>
      <c r="BH202" s="837"/>
      <c r="BI202" s="965"/>
      <c r="BJ202" s="968"/>
      <c r="BK202" s="1050"/>
      <c r="BL202" s="1049"/>
      <c r="BM202" s="1227"/>
      <c r="BN202" s="1085"/>
      <c r="BO202" s="968"/>
      <c r="BP202" s="965"/>
      <c r="BQ202" s="1046"/>
      <c r="BR202" s="965"/>
      <c r="BS202" s="1231"/>
      <c r="BT202" s="837"/>
      <c r="BU202" s="965"/>
      <c r="BV202" s="968"/>
      <c r="BW202" s="1050"/>
      <c r="BX202" s="968"/>
      <c r="BY202" s="1227"/>
      <c r="BZ202" s="1085"/>
      <c r="CA202" s="968"/>
      <c r="CB202" s="1060"/>
      <c r="CC202" s="965"/>
      <c r="CD202" s="965"/>
      <c r="CE202" s="965"/>
      <c r="CF202" s="965"/>
      <c r="CG202" s="965"/>
      <c r="CH202" s="965"/>
      <c r="CI202" s="965"/>
      <c r="CJ202" s="965"/>
      <c r="CK202" s="965"/>
    </row>
    <row r="203" spans="1:89" s="886" customFormat="1" ht="14.25">
      <c r="A203" s="1043"/>
      <c r="B203" s="1044"/>
      <c r="C203" s="1045"/>
      <c r="D203" s="1076"/>
      <c r="E203" s="1043"/>
      <c r="F203" s="1046"/>
      <c r="G203" s="1046"/>
      <c r="H203" s="1047"/>
      <c r="I203" s="1043"/>
      <c r="J203" s="1047"/>
      <c r="K203" s="1317"/>
      <c r="L203" s="1047"/>
      <c r="M203" s="1317"/>
      <c r="N203" s="1317"/>
      <c r="O203" s="965"/>
      <c r="P203" s="965"/>
      <c r="Q203" s="965"/>
      <c r="R203" s="965"/>
      <c r="S203" s="965"/>
      <c r="T203" s="1047"/>
      <c r="U203" s="1188"/>
      <c r="V203" s="1047"/>
      <c r="W203" s="1188"/>
      <c r="X203" s="837"/>
      <c r="Y203" s="965"/>
      <c r="Z203" s="1049"/>
      <c r="AA203" s="1050"/>
      <c r="AB203" s="1049"/>
      <c r="AC203" s="1227"/>
      <c r="AD203" s="1085"/>
      <c r="AE203" s="968"/>
      <c r="AF203" s="1047"/>
      <c r="AG203" s="1046"/>
      <c r="AH203" s="1047"/>
      <c r="AI203" s="1231"/>
      <c r="AJ203" s="837"/>
      <c r="AK203" s="965"/>
      <c r="AL203" s="1049"/>
      <c r="AM203" s="1050"/>
      <c r="AN203" s="1049"/>
      <c r="AO203" s="1227"/>
      <c r="AP203" s="1085"/>
      <c r="AQ203" s="968"/>
      <c r="AR203" s="1047"/>
      <c r="AS203" s="1046"/>
      <c r="AT203" s="1047"/>
      <c r="AU203" s="1231"/>
      <c r="AV203" s="837"/>
      <c r="AW203" s="965"/>
      <c r="AX203" s="1049"/>
      <c r="AY203" s="1050"/>
      <c r="AZ203" s="1049"/>
      <c r="BA203" s="1227"/>
      <c r="BB203" s="1085"/>
      <c r="BC203" s="968"/>
      <c r="BD203" s="965"/>
      <c r="BE203" s="1046"/>
      <c r="BF203" s="1047"/>
      <c r="BG203" s="1231"/>
      <c r="BH203" s="837"/>
      <c r="BI203" s="965"/>
      <c r="BJ203" s="968"/>
      <c r="BK203" s="1050"/>
      <c r="BL203" s="1049"/>
      <c r="BM203" s="1227"/>
      <c r="BN203" s="1085"/>
      <c r="BO203" s="968"/>
      <c r="BP203" s="965"/>
      <c r="BQ203" s="1046"/>
      <c r="BR203" s="965"/>
      <c r="BS203" s="1231"/>
      <c r="BT203" s="837"/>
      <c r="BU203" s="965"/>
      <c r="BV203" s="968"/>
      <c r="BW203" s="1050"/>
      <c r="BX203" s="968"/>
      <c r="BY203" s="1227"/>
      <c r="BZ203" s="1085"/>
      <c r="CA203" s="968"/>
      <c r="CB203" s="1060"/>
      <c r="CC203" s="965"/>
      <c r="CD203" s="965"/>
      <c r="CE203" s="965"/>
      <c r="CF203" s="965"/>
      <c r="CG203" s="965"/>
      <c r="CH203" s="965"/>
      <c r="CI203" s="965"/>
      <c r="CJ203" s="965"/>
      <c r="CK203" s="965"/>
    </row>
    <row r="204" spans="1:89" s="886" customFormat="1" ht="14.25">
      <c r="A204" s="1043"/>
      <c r="B204" s="1044"/>
      <c r="C204" s="1045"/>
      <c r="D204" s="1076"/>
      <c r="E204" s="1043"/>
      <c r="F204" s="1046"/>
      <c r="G204" s="1046"/>
      <c r="H204" s="1047"/>
      <c r="I204" s="1043"/>
      <c r="J204" s="1047"/>
      <c r="K204" s="1317"/>
      <c r="L204" s="1047"/>
      <c r="M204" s="1317"/>
      <c r="N204" s="1317"/>
      <c r="O204" s="965"/>
      <c r="P204" s="965"/>
      <c r="Q204" s="965"/>
      <c r="R204" s="965"/>
      <c r="S204" s="965"/>
      <c r="T204" s="1047"/>
      <c r="U204" s="1188"/>
      <c r="V204" s="1047"/>
      <c r="W204" s="1188"/>
      <c r="X204" s="837"/>
      <c r="Y204" s="965"/>
      <c r="Z204" s="1049"/>
      <c r="AA204" s="1050"/>
      <c r="AB204" s="1049"/>
      <c r="AC204" s="1227"/>
      <c r="AD204" s="1085"/>
      <c r="AE204" s="968"/>
      <c r="AF204" s="1047"/>
      <c r="AG204" s="1046"/>
      <c r="AH204" s="1047"/>
      <c r="AI204" s="1231"/>
      <c r="AJ204" s="837"/>
      <c r="AK204" s="965"/>
      <c r="AL204" s="1049"/>
      <c r="AM204" s="1050"/>
      <c r="AN204" s="1049"/>
      <c r="AO204" s="1227"/>
      <c r="AP204" s="1085"/>
      <c r="AQ204" s="968"/>
      <c r="AR204" s="1047"/>
      <c r="AS204" s="1046"/>
      <c r="AT204" s="1047"/>
      <c r="AU204" s="1231"/>
      <c r="AV204" s="837"/>
      <c r="AW204" s="965"/>
      <c r="AX204" s="1049"/>
      <c r="AY204" s="1050"/>
      <c r="AZ204" s="1049"/>
      <c r="BA204" s="1227"/>
      <c r="BB204" s="1085"/>
      <c r="BC204" s="968"/>
      <c r="BD204" s="965"/>
      <c r="BE204" s="1046"/>
      <c r="BF204" s="1047"/>
      <c r="BG204" s="1231"/>
      <c r="BH204" s="837"/>
      <c r="BI204" s="965"/>
      <c r="BJ204" s="968"/>
      <c r="BK204" s="1050"/>
      <c r="BL204" s="1049"/>
      <c r="BM204" s="1227"/>
      <c r="BN204" s="1085"/>
      <c r="BO204" s="968"/>
      <c r="BP204" s="965"/>
      <c r="BQ204" s="1046"/>
      <c r="BR204" s="965"/>
      <c r="BS204" s="1231"/>
      <c r="BT204" s="837"/>
      <c r="BU204" s="965"/>
      <c r="BV204" s="968"/>
      <c r="BW204" s="1050"/>
      <c r="BX204" s="968"/>
      <c r="BY204" s="1227"/>
      <c r="BZ204" s="1085"/>
      <c r="CA204" s="968"/>
      <c r="CB204" s="1060"/>
      <c r="CC204" s="965"/>
      <c r="CD204" s="965"/>
      <c r="CE204" s="965"/>
      <c r="CF204" s="965"/>
      <c r="CG204" s="965"/>
      <c r="CH204" s="965"/>
      <c r="CI204" s="965"/>
      <c r="CJ204" s="965"/>
      <c r="CK204" s="965"/>
    </row>
    <row r="205" spans="1:89" s="886" customFormat="1" ht="14.25">
      <c r="A205" s="1043"/>
      <c r="B205" s="1044"/>
      <c r="C205" s="1045"/>
      <c r="D205" s="1076"/>
      <c r="E205" s="1043"/>
      <c r="F205" s="1046"/>
      <c r="G205" s="1046"/>
      <c r="H205" s="1047"/>
      <c r="I205" s="1043"/>
      <c r="J205" s="1047"/>
      <c r="K205" s="1317"/>
      <c r="L205" s="1047"/>
      <c r="M205" s="1317"/>
      <c r="N205" s="1317"/>
      <c r="O205" s="965"/>
      <c r="P205" s="965"/>
      <c r="Q205" s="965"/>
      <c r="R205" s="965"/>
      <c r="S205" s="965"/>
      <c r="T205" s="1047"/>
      <c r="U205" s="1188"/>
      <c r="V205" s="1047"/>
      <c r="W205" s="1188"/>
      <c r="X205" s="837"/>
      <c r="Y205" s="965"/>
      <c r="Z205" s="1049"/>
      <c r="AA205" s="1050"/>
      <c r="AB205" s="1049"/>
      <c r="AC205" s="1227"/>
      <c r="AD205" s="1085"/>
      <c r="AE205" s="968"/>
      <c r="AF205" s="1047"/>
      <c r="AG205" s="1046"/>
      <c r="AH205" s="1047"/>
      <c r="AI205" s="1231"/>
      <c r="AJ205" s="837"/>
      <c r="AK205" s="965"/>
      <c r="AL205" s="1049"/>
      <c r="AM205" s="1050"/>
      <c r="AN205" s="1049"/>
      <c r="AO205" s="1227"/>
      <c r="AP205" s="1085"/>
      <c r="AQ205" s="968"/>
      <c r="AR205" s="1047"/>
      <c r="AS205" s="1046"/>
      <c r="AT205" s="1047"/>
      <c r="AU205" s="1231"/>
      <c r="AV205" s="837"/>
      <c r="AW205" s="965"/>
      <c r="AX205" s="1049"/>
      <c r="AY205" s="1050"/>
      <c r="AZ205" s="1049"/>
      <c r="BA205" s="1227"/>
      <c r="BB205" s="1085"/>
      <c r="BC205" s="968"/>
      <c r="BD205" s="965"/>
      <c r="BE205" s="1046"/>
      <c r="BF205" s="1047"/>
      <c r="BG205" s="1231"/>
      <c r="BH205" s="837"/>
      <c r="BI205" s="965"/>
      <c r="BJ205" s="968"/>
      <c r="BK205" s="1050"/>
      <c r="BL205" s="1049"/>
      <c r="BM205" s="1227"/>
      <c r="BN205" s="1085"/>
      <c r="BO205" s="968"/>
      <c r="BP205" s="965"/>
      <c r="BQ205" s="1046"/>
      <c r="BR205" s="965"/>
      <c r="BS205" s="1231"/>
      <c r="BT205" s="837"/>
      <c r="BU205" s="965"/>
      <c r="BV205" s="968"/>
      <c r="BW205" s="1050"/>
      <c r="BX205" s="968"/>
      <c r="BY205" s="1227"/>
      <c r="BZ205" s="1085"/>
      <c r="CA205" s="968"/>
      <c r="CB205" s="1060"/>
      <c r="CC205" s="965"/>
      <c r="CD205" s="965"/>
      <c r="CE205" s="965"/>
      <c r="CF205" s="965"/>
      <c r="CG205" s="965"/>
      <c r="CH205" s="965"/>
      <c r="CI205" s="965"/>
      <c r="CJ205" s="965"/>
      <c r="CK205" s="965"/>
    </row>
  </sheetData>
  <dataConsolidate/>
  <mergeCells count="234">
    <mergeCell ref="T2:X2"/>
    <mergeCell ref="Z2:AD2"/>
    <mergeCell ref="AF2:AJ2"/>
    <mergeCell ref="AR2:AV2"/>
    <mergeCell ref="H73:H75"/>
    <mergeCell ref="O73:O75"/>
    <mergeCell ref="J2:O2"/>
    <mergeCell ref="AY28:AY29"/>
    <mergeCell ref="BA28:BA29"/>
    <mergeCell ref="U43:U44"/>
    <mergeCell ref="W43:W44"/>
    <mergeCell ref="I67:I68"/>
    <mergeCell ref="U67:U68"/>
    <mergeCell ref="W67:W68"/>
    <mergeCell ref="AS41:AS42"/>
    <mergeCell ref="U70:U71"/>
    <mergeCell ref="W70:W71"/>
    <mergeCell ref="AA70:AA71"/>
    <mergeCell ref="AC70:AC71"/>
    <mergeCell ref="BA67:BA68"/>
    <mergeCell ref="AI73:AI75"/>
    <mergeCell ref="AC73:AC75"/>
    <mergeCell ref="AU73:AU75"/>
    <mergeCell ref="BA73:BA75"/>
    <mergeCell ref="BE28:BE29"/>
    <mergeCell ref="A16:A18"/>
    <mergeCell ref="B16:B18"/>
    <mergeCell ref="A19:A21"/>
    <mergeCell ref="B19:B21"/>
    <mergeCell ref="A22:A24"/>
    <mergeCell ref="B22:B24"/>
    <mergeCell ref="A10:A13"/>
    <mergeCell ref="B10:B13"/>
    <mergeCell ref="AM28:AM29"/>
    <mergeCell ref="AO28:AO29"/>
    <mergeCell ref="AS28:AS29"/>
    <mergeCell ref="AU28:AU29"/>
    <mergeCell ref="M28:M29"/>
    <mergeCell ref="K28:K29"/>
    <mergeCell ref="N28:N29"/>
    <mergeCell ref="A4:A6"/>
    <mergeCell ref="B4:B6"/>
    <mergeCell ref="A7:A9"/>
    <mergeCell ref="B7:B9"/>
    <mergeCell ref="AC28:AC29"/>
    <mergeCell ref="AG28:AG29"/>
    <mergeCell ref="AI28:AI29"/>
    <mergeCell ref="W28:W29"/>
    <mergeCell ref="AA28:AA29"/>
    <mergeCell ref="A25:A27"/>
    <mergeCell ref="B25:B27"/>
    <mergeCell ref="A28:A29"/>
    <mergeCell ref="B28:B29"/>
    <mergeCell ref="I28:I29"/>
    <mergeCell ref="U28:U29"/>
    <mergeCell ref="BW30:BW31"/>
    <mergeCell ref="BY30:BY31"/>
    <mergeCell ref="BG30:BG31"/>
    <mergeCell ref="BK30:BK31"/>
    <mergeCell ref="BM30:BM31"/>
    <mergeCell ref="BQ30:BQ31"/>
    <mergeCell ref="BS30:BS31"/>
    <mergeCell ref="BY28:BY29"/>
    <mergeCell ref="BG28:BG29"/>
    <mergeCell ref="BK28:BK29"/>
    <mergeCell ref="BM28:BM29"/>
    <mergeCell ref="BQ28:BQ29"/>
    <mergeCell ref="BS28:BS29"/>
    <mergeCell ref="BW28:BW29"/>
    <mergeCell ref="BE30:BE31"/>
    <mergeCell ref="AM30:AM31"/>
    <mergeCell ref="AO30:AO31"/>
    <mergeCell ref="AS30:AS31"/>
    <mergeCell ref="AU30:AU31"/>
    <mergeCell ref="AY30:AY31"/>
    <mergeCell ref="BA30:BA31"/>
    <mergeCell ref="A30:A31"/>
    <mergeCell ref="B30:B31"/>
    <mergeCell ref="I30:I31"/>
    <mergeCell ref="U30:U31"/>
    <mergeCell ref="W30:W31"/>
    <mergeCell ref="AA30:AA31"/>
    <mergeCell ref="AC30:AC31"/>
    <mergeCell ref="AG30:AG31"/>
    <mergeCell ref="AI30:AI31"/>
    <mergeCell ref="AC32:AC33"/>
    <mergeCell ref="AG32:AG33"/>
    <mergeCell ref="A35:A37"/>
    <mergeCell ref="B35:B37"/>
    <mergeCell ref="A38:A40"/>
    <mergeCell ref="B38:B40"/>
    <mergeCell ref="I41:I42"/>
    <mergeCell ref="U41:U42"/>
    <mergeCell ref="W41:W42"/>
    <mergeCell ref="AA41:AA42"/>
    <mergeCell ref="AC41:AC42"/>
    <mergeCell ref="A41:A42"/>
    <mergeCell ref="B41:B42"/>
    <mergeCell ref="A43:A44"/>
    <mergeCell ref="B43:B44"/>
    <mergeCell ref="I43:I44"/>
    <mergeCell ref="BA32:BA33"/>
    <mergeCell ref="BE32:BE33"/>
    <mergeCell ref="BG32:BG33"/>
    <mergeCell ref="BK32:BK33"/>
    <mergeCell ref="BM32:BM33"/>
    <mergeCell ref="AI32:AI33"/>
    <mergeCell ref="AM32:AM33"/>
    <mergeCell ref="AO32:AO33"/>
    <mergeCell ref="AS32:AS33"/>
    <mergeCell ref="AU32:AU33"/>
    <mergeCell ref="AY32:AY33"/>
    <mergeCell ref="AG41:AG42"/>
    <mergeCell ref="AI41:AI42"/>
    <mergeCell ref="AM41:AM42"/>
    <mergeCell ref="AO41:AO42"/>
    <mergeCell ref="A32:A33"/>
    <mergeCell ref="B32:B33"/>
    <mergeCell ref="I32:I33"/>
    <mergeCell ref="U32:U33"/>
    <mergeCell ref="W32:W33"/>
    <mergeCell ref="AA32:AA33"/>
    <mergeCell ref="AA43:AA44"/>
    <mergeCell ref="AC43:AC44"/>
    <mergeCell ref="AG43:AG44"/>
    <mergeCell ref="AI43:AI44"/>
    <mergeCell ref="AM43:AM44"/>
    <mergeCell ref="AO43:AO44"/>
    <mergeCell ref="AS43:AS44"/>
    <mergeCell ref="AU43:AU44"/>
    <mergeCell ref="AY43:AY44"/>
    <mergeCell ref="M73:M75"/>
    <mergeCell ref="A57:A62"/>
    <mergeCell ref="B57:B62"/>
    <mergeCell ref="A63:A65"/>
    <mergeCell ref="B63:B65"/>
    <mergeCell ref="A67:A68"/>
    <mergeCell ref="B67:B68"/>
    <mergeCell ref="B45:B47"/>
    <mergeCell ref="A48:A51"/>
    <mergeCell ref="B48:B51"/>
    <mergeCell ref="A52:A56"/>
    <mergeCell ref="B52:B56"/>
    <mergeCell ref="A45:A47"/>
    <mergeCell ref="A73:A75"/>
    <mergeCell ref="B73:B75"/>
    <mergeCell ref="G73:G75"/>
    <mergeCell ref="I73:I75"/>
    <mergeCell ref="A70:A71"/>
    <mergeCell ref="B70:B71"/>
    <mergeCell ref="I70:I71"/>
    <mergeCell ref="BE73:BE75"/>
    <mergeCell ref="AO73:AO75"/>
    <mergeCell ref="AI67:AI68"/>
    <mergeCell ref="AM67:AM68"/>
    <mergeCell ref="AO67:AO68"/>
    <mergeCell ref="AS67:AS68"/>
    <mergeCell ref="AU67:AU68"/>
    <mergeCell ref="AY67:AY68"/>
    <mergeCell ref="AA67:AA68"/>
    <mergeCell ref="AC67:AC68"/>
    <mergeCell ref="AG67:AG68"/>
    <mergeCell ref="BQ41:BQ42"/>
    <mergeCell ref="BA43:BA44"/>
    <mergeCell ref="BE43:BE44"/>
    <mergeCell ref="BG43:BG44"/>
    <mergeCell ref="BG73:BG75"/>
    <mergeCell ref="BQ70:BQ71"/>
    <mergeCell ref="BS70:BS71"/>
    <mergeCell ref="BW70:BW71"/>
    <mergeCell ref="U73:U75"/>
    <mergeCell ref="W73:W75"/>
    <mergeCell ref="AY70:AY71"/>
    <mergeCell ref="BA70:BA71"/>
    <mergeCell ref="BE70:BE71"/>
    <mergeCell ref="AG70:AG71"/>
    <mergeCell ref="AI70:AI71"/>
    <mergeCell ref="AM70:AM71"/>
    <mergeCell ref="AO70:AO71"/>
    <mergeCell ref="AS70:AS71"/>
    <mergeCell ref="AU70:AU71"/>
    <mergeCell ref="AA73:AA75"/>
    <mergeCell ref="AG73:AG75"/>
    <mergeCell ref="AM73:AM75"/>
    <mergeCell ref="AS73:AS75"/>
    <mergeCell ref="AY73:AY75"/>
    <mergeCell ref="BK43:BK44"/>
    <mergeCell ref="AL2:AP2"/>
    <mergeCell ref="AX2:BB2"/>
    <mergeCell ref="BD2:BH2"/>
    <mergeCell ref="BP2:BT2"/>
    <mergeCell ref="BJ2:BN2"/>
    <mergeCell ref="BV2:BZ2"/>
    <mergeCell ref="BY70:BY71"/>
    <mergeCell ref="BG70:BG71"/>
    <mergeCell ref="BK70:BK71"/>
    <mergeCell ref="BM70:BM71"/>
    <mergeCell ref="BS67:BS68"/>
    <mergeCell ref="BW67:BW68"/>
    <mergeCell ref="BY67:BY68"/>
    <mergeCell ref="BG67:BG68"/>
    <mergeCell ref="BK67:BK68"/>
    <mergeCell ref="BM67:BM68"/>
    <mergeCell ref="BQ67:BQ68"/>
    <mergeCell ref="BM43:BM44"/>
    <mergeCell ref="BQ43:BQ44"/>
    <mergeCell ref="BW41:BW42"/>
    <mergeCell ref="BS43:BS44"/>
    <mergeCell ref="BS32:BS33"/>
    <mergeCell ref="BM41:BM42"/>
    <mergeCell ref="N73:N75"/>
    <mergeCell ref="P73:P75"/>
    <mergeCell ref="Q73:Q75"/>
    <mergeCell ref="R73:R75"/>
    <mergeCell ref="BY43:BY44"/>
    <mergeCell ref="BW32:BW33"/>
    <mergeCell ref="BY32:BY33"/>
    <mergeCell ref="BQ32:BQ33"/>
    <mergeCell ref="BK73:BK75"/>
    <mergeCell ref="BQ73:BQ75"/>
    <mergeCell ref="BS73:BS75"/>
    <mergeCell ref="BW73:BW75"/>
    <mergeCell ref="BY73:BY75"/>
    <mergeCell ref="BS41:BS42"/>
    <mergeCell ref="BM73:BM75"/>
    <mergeCell ref="BY41:BY42"/>
    <mergeCell ref="AU41:AU42"/>
    <mergeCell ref="AY41:AY42"/>
    <mergeCell ref="BA41:BA42"/>
    <mergeCell ref="BE41:BE42"/>
    <mergeCell ref="BG41:BG42"/>
    <mergeCell ref="BK41:BK42"/>
    <mergeCell ref="BW43:BW44"/>
    <mergeCell ref="BE67:BE68"/>
  </mergeCells>
  <phoneticPr fontId="3" type="noConversion"/>
  <conditionalFormatting sqref="X4:X75 AD4:AD75 AJ4:AJ75 AV4:AV75 BB4:BB75 BN4:BN75 BZ4:BZ75 BT4:BT75 AP4:AP75 BH4:BH75">
    <cfRule type="cellIs" dxfId="229" priority="184" operator="lessThan">
      <formula>-0.3</formula>
    </cfRule>
    <cfRule type="cellIs" dxfId="228" priority="185" operator="greaterThan">
      <formula>0.3</formula>
    </cfRule>
  </conditionalFormatting>
  <conditionalFormatting sqref="U4 AG4 AS4 BE4 BQ4 BW4 BK4 AY4 AM4 W4 AC4 AI4 AO4 AU4 BA4 BG4 BM4 BS4 BY4 U10 W10 AA4">
    <cfRule type="cellIs" dxfId="227" priority="183" operator="notEqual">
      <formula>$I$4</formula>
    </cfRule>
  </conditionalFormatting>
  <conditionalFormatting sqref="U7 AA7 AG7 AM7 AS7 AY7 BE7 BK7 BQ7 BW7 W7 AC7 AI7 AO7 AU7 BA7 BG7 BM7 BS7 BY7">
    <cfRule type="cellIs" dxfId="226" priority="182" operator="notEqual">
      <formula>$I$7</formula>
    </cfRule>
  </conditionalFormatting>
  <conditionalFormatting sqref="AA10 AG10 AM10 AS10 AY10 BE10 BK10 BQ10 BW10 AC10 AI10 AU10 BA10 BG10 BM10 BS10 BY10 AO10 W10 U10">
    <cfRule type="cellIs" dxfId="225" priority="181" operator="notEqual">
      <formula>$I$10</formula>
    </cfRule>
  </conditionalFormatting>
  <conditionalFormatting sqref="U16 AA16 AG16 AM16 AS16 AY16 BE16 BK16 BQ16 BW16 W16 AC16 AI16 AO16 AU16 BA16 BG16 BM16 BS16 BY16">
    <cfRule type="cellIs" dxfId="224" priority="180" operator="notEqual">
      <formula>$I$16</formula>
    </cfRule>
  </conditionalFormatting>
  <conditionalFormatting sqref="U19 AA19 AG19 AM19 AS19 AY19 BE19 BK19 BQ19 BW19 W19 AC19 AI19 AO19 AU19 BA19 BG19 BM19 BS19 BY19">
    <cfRule type="cellIs" dxfId="223" priority="179" operator="notEqual">
      <formula>$I$19</formula>
    </cfRule>
  </conditionalFormatting>
  <conditionalFormatting sqref="U22 AA22 AG22 AM22 AS22 AY22 BE22 BK22 BQ22 BW22 W22 AC22 AI22 AO22 AU22 BA22 BG22 BM22 BS22 BY22">
    <cfRule type="cellIs" dxfId="222" priority="178" operator="notEqual">
      <formula>$I$22</formula>
    </cfRule>
  </conditionalFormatting>
  <conditionalFormatting sqref="U28:U29 AA28:AA29 AG28:AG29 AM28:AM29 AS28:AS29 AY28:AY29 BE28:BE29 BK28:BK29 BQ28:BQ29 BG28:BG29 W28:W29 BS28:BS29 BW28 AO28:AO29 BA28:BA29 AI28:AI29 AC28:AC29 BY28 BM28:BM29 AU28:AU29">
    <cfRule type="cellIs" dxfId="221" priority="177" operator="notEqual">
      <formula>$I$28</formula>
    </cfRule>
  </conditionalFormatting>
  <conditionalFormatting sqref="U30:U33 AA30:AA33 AG30:AG33 AM30:AM33 AS30:AS33 AY30:AY33 BE30:BE33 BK30:BK33 BQ30:BQ33 BW30:BW33 W30:W33 AC30:AC33 AI30:AI33 AO30:AO33 AU30:AU33 BA30:BA33 BG30:BG33 BM30:BM33 BS30:BS33 BY30:BY33">
    <cfRule type="cellIs" dxfId="220" priority="176" operator="notEqual">
      <formula>$I$30</formula>
    </cfRule>
  </conditionalFormatting>
  <conditionalFormatting sqref="U35 AA35 AG35 AM35 AS35 AY35 BE35 BK35 BQ35 BW35 AA38 W35 AC35 AC38 AI35 AO35 AU35 BA35 BG35 BM35 BS35 BY35">
    <cfRule type="cellIs" dxfId="219" priority="175" operator="notEqual">
      <formula>$I$35</formula>
    </cfRule>
  </conditionalFormatting>
  <conditionalFormatting sqref="U38 AA38 AG38 AM38 AS38 AY38 BE38 BK38 BQ38 BW38 W38 AC38 AI38 AO38 AU38 BA38 BG38 BM38 BS38 BY38">
    <cfRule type="cellIs" dxfId="218" priority="173" operator="notEqual">
      <formula>$I$38</formula>
    </cfRule>
    <cfRule type="cellIs" dxfId="217" priority="174" operator="notEqual">
      <formula>$I$35</formula>
    </cfRule>
  </conditionalFormatting>
  <conditionalFormatting sqref="U41:U42 AA41:AA42 AG41:AG42 AM41:AM42 AS41:AS42 AY41:AY42 BE41:BE42 BK41:BK42 BQ41:BQ42 BW41:BW42 W41:W42 AC41:AC42 AO41:AO42 AU41:AU42 BA41:BA42 BG41:BG42 BM41:BM42 BS41:BS42 BY41:BY42 AI41:AI42">
    <cfRule type="cellIs" dxfId="216" priority="172" operator="notEqual">
      <formula>$I$41</formula>
    </cfRule>
  </conditionalFormatting>
  <conditionalFormatting sqref="U43:U44 AA43:AA44 AG43:AG44 AM43:AM44 AS43:AS44 AY43:AY44 BE43:BE44 BK43:BK44 BQ43:BQ44 BW43:BW44 W43:W44 AC43:AC44 AI43:AI44 AO43:AO44 AU43:AU44 BA43:BA44 BG43:BG44 BM43:BM44 BS43:BS44 BY43:BY44">
    <cfRule type="cellIs" dxfId="215" priority="171" operator="notEqual">
      <formula>$I$43</formula>
    </cfRule>
  </conditionalFormatting>
  <conditionalFormatting sqref="U45 AA45 AG45 AM45 AS45 AY45 BE45 BK45 BQ45 BW45 W45 AC45 AI45 AO45 AU45 BA45 BG45 BM45 BS45 BY45">
    <cfRule type="cellIs" dxfId="214" priority="170" operator="notEqual">
      <formula>$I$45</formula>
    </cfRule>
  </conditionalFormatting>
  <conditionalFormatting sqref="U48 AA48 AG48 AM48 AS48 AY48 BE48 BK48 BQ48 BW48 W48 AC48 AI48 AO48 AU48 BA48 BG48 BM48 BS48 BY48">
    <cfRule type="cellIs" dxfId="213" priority="169" operator="notEqual">
      <formula>$I$48</formula>
    </cfRule>
  </conditionalFormatting>
  <conditionalFormatting sqref="U52 AA52 AG52 AM52 AS52 AY52 BE52 BK52 BQ52 BW52 BY52 AC52 BS52 BM52 AU52 BA52 AO52 AI52 BG52">
    <cfRule type="cellIs" dxfId="212" priority="168" operator="notEqual">
      <formula>$I$52</formula>
    </cfRule>
  </conditionalFormatting>
  <conditionalFormatting sqref="U57 AA57 AG57 AM57 AS57 AY57 BE57 BK57 BQ57 BW57 W57 AC57 AI57 AO57 AU57 BA57 BG57 BM57 BS57 BY57">
    <cfRule type="cellIs" dxfId="211" priority="167" operator="notEqual">
      <formula>$I$57</formula>
    </cfRule>
  </conditionalFormatting>
  <conditionalFormatting sqref="U63 AA63 AG63 AM63 AS63 AY63 BE63 BK63 BQ63 BW63 W63 AC63 AI63 AO63 AU63 BA63 BG63 BM63 BS63 BY63">
    <cfRule type="cellIs" dxfId="210" priority="166" operator="notEqual">
      <formula>$I$63</formula>
    </cfRule>
  </conditionalFormatting>
  <conditionalFormatting sqref="U67:U68 AA67:AA68 AG67:AG68 AM67:AM68 AS67:AS68 AY67:AY68 BE67:BE68 BK67:BK68 BQ67:BQ68 BW67:BW68 W67:W68 AC67:AC68 AI67:AI68 AO67:AO68 AU67:AU68 BG67:BG68 BM67:BM68 BS67:BS68 BY67:BY68 BA67:BA68">
    <cfRule type="cellIs" dxfId="209" priority="165" operator="notEqual">
      <formula>$I$67</formula>
    </cfRule>
  </conditionalFormatting>
  <conditionalFormatting sqref="U70:U71 AA70:AA71 AG70:AG71 AM70:AM71 AS70:AS71 AY70:AY71 BE70:BE71 BK70:BK71 BQ70:BQ71 BW70:BW71 W70:W71 AC70:AC71 AI70:AI71 AO70:AO71 AU70:AU71 BA70:BA71 BG70:BG71 BM70:BM71 BS70:BS71 BY70:BY71">
    <cfRule type="cellIs" dxfId="208" priority="164" operator="notEqual">
      <formula>$I$70</formula>
    </cfRule>
  </conditionalFormatting>
  <conditionalFormatting sqref="U14 AA14 AG14 AM14 AS14 AY14 BE14 BK14 BQ14 BW14 W52 AC52 AI52">
    <cfRule type="cellIs" dxfId="207" priority="163" operator="notEqual">
      <formula>3</formula>
    </cfRule>
  </conditionalFormatting>
  <conditionalFormatting sqref="X4:X75 AD4:AD75 AJ4:AJ75 AV4:AV75 BB4:BB75 BN4:BN75 BZ4:BZ75 BT4:BT75 AP4:AP75 BH4:BH75">
    <cfRule type="cellIs" dxfId="206" priority="161" stopIfTrue="1" operator="lessThanOrEqual">
      <formula>-0.3</formula>
    </cfRule>
    <cfRule type="cellIs" dxfId="205" priority="162" stopIfTrue="1" operator="greaterThanOrEqual">
      <formula>0.3</formula>
    </cfRule>
  </conditionalFormatting>
  <conditionalFormatting sqref="O5:R68">
    <cfRule type="expression" dxfId="204" priority="31">
      <formula>$I5&gt;$M5</formula>
    </cfRule>
  </conditionalFormatting>
  <conditionalFormatting sqref="O70:R73">
    <cfRule type="expression" dxfId="203" priority="30">
      <formula>$I70&gt;$M70</formula>
    </cfRule>
  </conditionalFormatting>
  <conditionalFormatting sqref="O4">
    <cfRule type="expression" dxfId="202" priority="23">
      <formula>$I4&gt;$M4</formula>
    </cfRule>
  </conditionalFormatting>
  <conditionalFormatting sqref="P4:R4 R5:R68 R70:R73">
    <cfRule type="expression" dxfId="201" priority="22">
      <formula>$I4&gt;$M4</formula>
    </cfRule>
  </conditionalFormatting>
  <conditionalFormatting sqref="Q5:Q68 Q70:Q75">
    <cfRule type="expression" dxfId="200" priority="21">
      <formula>$I5&gt;$M5</formula>
    </cfRule>
  </conditionalFormatting>
  <conditionalFormatting sqref="R5:R68 R70:R72">
    <cfRule type="expression" dxfId="199" priority="20">
      <formula>$I5&gt;$M5</formula>
    </cfRule>
  </conditionalFormatting>
  <conditionalFormatting sqref="N76 N30:N73 N4:N28">
    <cfRule type="cellIs" dxfId="198" priority="14" stopIfTrue="1" operator="lessThan">
      <formula>0</formula>
    </cfRule>
    <cfRule type="cellIs" dxfId="197" priority="15" operator="greaterThan">
      <formula>0</formula>
    </cfRule>
  </conditionalFormatting>
  <dataValidations count="5">
    <dataValidation type="list" allowBlank="1" showInputMessage="1" showErrorMessage="1" sqref="BX66 BV66">
      <formula1>$S$66:$T$66</formula1>
    </dataValidation>
    <dataValidation type="list" allowBlank="1" showInputMessage="1" showErrorMessage="1" sqref="B72">
      <formula1>$S$72:$S$72</formula1>
    </dataValidation>
    <dataValidation type="list" allowBlank="1" showInputMessage="1" showErrorMessage="1" sqref="A66:B66">
      <formula1>$S$66:$S$66</formula1>
    </dataValidation>
    <dataValidation type="list" allowBlank="1" showInputMessage="1" showErrorMessage="1" sqref="A34:B34">
      <formula1>$S$34:$S$34</formula1>
    </dataValidation>
    <dataValidation type="list" allowBlank="1" showInputMessage="1" showErrorMessage="1" sqref="A15:B15">
      <formula1>$S$15:$S$15</formula1>
    </dataValidation>
  </dataValidations>
  <hyperlinks>
    <hyperlink ref="D88" location="权重!A1" display="权重!A1"/>
    <hyperlink ref="D89" location="目录!A1" display="目录!A1"/>
  </hyperlinks>
  <pageMargins left="0.7" right="0.7" top="0.75" bottom="0.75" header="0.3" footer="0.3"/>
  <pageSetup paperSize="9" orientation="portrait" horizontalDpi="4294967295" verticalDpi="4294967295"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CA205"/>
  <sheetViews>
    <sheetView workbookViewId="0">
      <pane xSplit="18" ySplit="3" topLeftCell="S4" activePane="bottomRight" state="frozenSplit"/>
      <selection activeCell="C1" sqref="C1"/>
      <selection pane="topRight" activeCell="X1" sqref="X1"/>
      <selection pane="bottomLeft" activeCell="C8" sqref="C8"/>
      <selection pane="bottomRight" activeCell="L16" sqref="L16"/>
    </sheetView>
  </sheetViews>
  <sheetFormatPr defaultColWidth="9" defaultRowHeight="16.5" outlineLevelCol="3"/>
  <cols>
    <col min="1" max="1" width="11" style="441" hidden="1" customWidth="1" outlineLevel="3"/>
    <col min="2" max="2" width="35.25" style="441" hidden="1" customWidth="1" outlineLevel="1"/>
    <col min="3" max="3" width="4.625" style="442" customWidth="1" collapsed="1"/>
    <col min="4" max="4" width="40.5" style="366" customWidth="1"/>
    <col min="5" max="5" width="17.5" style="441" hidden="1" customWidth="1" outlineLevel="1"/>
    <col min="6" max="6" width="7.5" style="418" hidden="1" customWidth="1" outlineLevel="2"/>
    <col min="7" max="7" width="10.5" style="418" hidden="1" customWidth="1" outlineLevel="2"/>
    <col min="8" max="8" width="10.5" style="414" hidden="1" customWidth="1" outlineLevel="1"/>
    <col min="9" max="9" width="6.25" style="441" customWidth="1" collapsed="1"/>
    <col min="10" max="10" width="10.625" style="443" customWidth="1" outlineLevel="1"/>
    <col min="11" max="11" width="8.625" style="443" customWidth="1" outlineLevel="1"/>
    <col min="12" max="12" width="12.125" style="443" customWidth="1" outlineLevel="1"/>
    <col min="13" max="13" width="8.625" style="443" customWidth="1" outlineLevel="1"/>
    <col min="14" max="14" width="7.375" style="441" customWidth="1" outlineLevel="1"/>
    <col min="15" max="15" width="7.5" style="443" customWidth="1" outlineLevel="1"/>
    <col min="16" max="16" width="6.5" style="352" customWidth="1" outlineLevel="1"/>
    <col min="17" max="17" width="7.5" style="352" customWidth="1" outlineLevel="1"/>
    <col min="18" max="18" width="9.25" style="352" customWidth="1"/>
    <col min="19" max="19" width="4.375" style="441" customWidth="1"/>
    <col min="20" max="20" width="11.25" style="366" hidden="1" customWidth="1" outlineLevel="2"/>
    <col min="21" max="21" width="7.75" style="366" hidden="1" customWidth="1" outlineLevel="2"/>
    <col min="22" max="22" width="10" style="366" customWidth="1" collapsed="1"/>
    <col min="23" max="23" width="8.5" style="1245" customWidth="1"/>
    <col min="24" max="24" width="9.5" style="1179" customWidth="1"/>
    <col min="25" max="25" width="4.75" style="367" customWidth="1"/>
    <col min="26" max="26" width="7.875" style="366" hidden="1" customWidth="1" outlineLevel="1"/>
    <col min="27" max="27" width="8.25" style="366" hidden="1" customWidth="1" outlineLevel="1"/>
    <col min="28" max="28" width="8.875" style="366" customWidth="1" collapsed="1"/>
    <col min="29" max="29" width="8.625" style="1245" customWidth="1"/>
    <col min="30" max="30" width="8.625" style="1179" customWidth="1"/>
    <col min="31" max="31" width="4.5" style="367" customWidth="1"/>
    <col min="32" max="32" width="8.875" style="366" hidden="1" customWidth="1" outlineLevel="1"/>
    <col min="33" max="33" width="10.25" style="366" hidden="1" customWidth="1" outlineLevel="1"/>
    <col min="34" max="34" width="8.5" style="366" customWidth="1" collapsed="1"/>
    <col min="35" max="35" width="8.5" style="1245" customWidth="1"/>
    <col min="36" max="36" width="8.625" style="367" customWidth="1"/>
    <col min="37" max="37" width="4.625" style="367" customWidth="1"/>
    <col min="38" max="38" width="10.875" style="366" hidden="1" customWidth="1" outlineLevel="1"/>
    <col min="39" max="39" width="8.625" style="366" hidden="1" customWidth="1" outlineLevel="1"/>
    <col min="40" max="40" width="10" style="366" customWidth="1" collapsed="1"/>
    <col min="41" max="41" width="8.625" style="1245" customWidth="1"/>
    <col min="42" max="42" width="8.625" style="367" customWidth="1"/>
    <col min="43" max="43" width="4.125" style="367" customWidth="1"/>
    <col min="44" max="44" width="8.75" style="366" hidden="1" customWidth="1" outlineLevel="1"/>
    <col min="45" max="45" width="8.625" style="366" hidden="1" customWidth="1" outlineLevel="1"/>
    <col min="46" max="46" width="8.625" style="366" customWidth="1" collapsed="1"/>
    <col min="47" max="47" width="8.625" style="1245" customWidth="1"/>
    <col min="48" max="48" width="8.625" style="367" customWidth="1"/>
    <col min="49" max="49" width="4.625" style="367" customWidth="1"/>
    <col min="50" max="50" width="13" style="366" hidden="1" customWidth="1" outlineLevel="1"/>
    <col min="51" max="51" width="8.625" style="366" hidden="1" customWidth="1" outlineLevel="1"/>
    <col min="52" max="52" width="11.5" style="366" customWidth="1" collapsed="1"/>
    <col min="53" max="53" width="8.625" style="1245" customWidth="1"/>
    <col min="54" max="54" width="8.625" style="367" customWidth="1"/>
    <col min="55" max="55" width="4.875" style="367" customWidth="1"/>
    <col min="56" max="56" width="11.5" style="366" hidden="1" customWidth="1" outlineLevel="1"/>
    <col min="57" max="57" width="8.625" style="366" hidden="1" customWidth="1" outlineLevel="1"/>
    <col min="58" max="58" width="9.125" style="366" customWidth="1" collapsed="1"/>
    <col min="59" max="59" width="8.625" style="1245" customWidth="1"/>
    <col min="60" max="60" width="8.625" style="367" customWidth="1"/>
    <col min="61" max="61" width="4.625" style="367" customWidth="1"/>
    <col min="62" max="62" width="13" style="366" hidden="1" customWidth="1" outlineLevel="1"/>
    <col min="63" max="63" width="8.625" style="366" hidden="1" customWidth="1" outlineLevel="1"/>
    <col min="64" max="64" width="8.5" style="366" customWidth="1" collapsed="1"/>
    <col min="65" max="65" width="8.625" style="1245" customWidth="1"/>
    <col min="66" max="66" width="8.625" style="367" customWidth="1"/>
    <col min="67" max="67" width="4.75" style="367" customWidth="1"/>
    <col min="68" max="68" width="11.5" style="366" hidden="1" customWidth="1" outlineLevel="1"/>
    <col min="69" max="69" width="8.625" style="366" hidden="1" customWidth="1" outlineLevel="1"/>
    <col min="70" max="70" width="8.5" style="366" customWidth="1" collapsed="1"/>
    <col min="71" max="71" width="8.625" style="1245" customWidth="1"/>
    <col min="72" max="72" width="8.625" style="367" customWidth="1"/>
    <col min="73" max="73" width="4.5" style="367" customWidth="1"/>
    <col min="74" max="74" width="9.5" style="366" hidden="1" customWidth="1" outlineLevel="1"/>
    <col min="75" max="75" width="8.625" style="366" hidden="1" customWidth="1" outlineLevel="1"/>
    <col min="76" max="76" width="9.125" style="366" customWidth="1" collapsed="1"/>
    <col min="77" max="77" width="8.625" style="1245" customWidth="1"/>
    <col min="78" max="78" width="8.625" style="367" customWidth="1"/>
    <col min="79" max="79" width="9.625" style="366" customWidth="1"/>
    <col min="80" max="80" width="8.875" style="366" customWidth="1"/>
    <col min="81" max="16384" width="9" style="366"/>
  </cols>
  <sheetData>
    <row r="1" spans="1:79" s="353" customFormat="1">
      <c r="A1" s="363"/>
      <c r="B1" s="364"/>
      <c r="C1" s="340" t="s">
        <v>1170</v>
      </c>
      <c r="D1" s="345"/>
      <c r="E1" s="364"/>
      <c r="F1" s="365"/>
      <c r="G1" s="365"/>
      <c r="H1" s="365"/>
      <c r="I1" s="364"/>
      <c r="J1" s="364"/>
      <c r="K1" s="364"/>
      <c r="L1" s="364" t="s">
        <v>1637</v>
      </c>
      <c r="M1" s="364"/>
      <c r="N1" s="346"/>
      <c r="O1" s="364"/>
      <c r="P1" s="348"/>
      <c r="Q1" s="348"/>
      <c r="R1" s="348"/>
      <c r="S1" s="364"/>
      <c r="W1" s="1235"/>
      <c r="X1" s="26"/>
      <c r="Y1" s="356"/>
      <c r="Z1" s="366"/>
      <c r="AA1" s="366"/>
      <c r="AB1" s="366"/>
      <c r="AC1" s="1245"/>
      <c r="AD1" s="1179"/>
      <c r="AE1" s="367"/>
      <c r="AI1" s="1235"/>
      <c r="AJ1" s="356"/>
      <c r="AK1" s="356"/>
      <c r="AL1" s="366"/>
      <c r="AM1" s="366"/>
      <c r="AN1" s="366"/>
      <c r="AO1" s="1245"/>
      <c r="AP1" s="367"/>
      <c r="AQ1" s="367"/>
      <c r="AU1" s="1235"/>
      <c r="AV1" s="356"/>
      <c r="AW1" s="356"/>
      <c r="AX1" s="366"/>
      <c r="AY1" s="366"/>
      <c r="AZ1" s="366"/>
      <c r="BA1" s="1245"/>
      <c r="BB1" s="367"/>
      <c r="BC1" s="367"/>
      <c r="BG1" s="1235"/>
      <c r="BH1" s="356"/>
      <c r="BI1" s="356"/>
      <c r="BJ1" s="366"/>
      <c r="BK1" s="366"/>
      <c r="BL1" s="366"/>
      <c r="BM1" s="1245"/>
      <c r="BN1" s="367"/>
      <c r="BO1" s="367"/>
      <c r="BS1" s="1235"/>
      <c r="BT1" s="356"/>
      <c r="BU1" s="356"/>
      <c r="BV1" s="366"/>
      <c r="BW1" s="366"/>
      <c r="BX1" s="366"/>
      <c r="BY1" s="1245"/>
      <c r="BZ1" s="367"/>
      <c r="CA1" s="366"/>
    </row>
    <row r="2" spans="1:79" s="353" customFormat="1" ht="16.5" customHeight="1">
      <c r="A2" s="369"/>
      <c r="B2" s="364"/>
      <c r="E2" s="364"/>
      <c r="F2" s="365"/>
      <c r="G2" s="365"/>
      <c r="H2" s="365"/>
      <c r="J2" s="1698" t="s">
        <v>1477</v>
      </c>
      <c r="K2" s="1699"/>
      <c r="L2" s="1699"/>
      <c r="M2" s="1699"/>
      <c r="N2" s="1699"/>
      <c r="O2" s="1699"/>
      <c r="P2" s="347"/>
      <c r="Q2" s="349"/>
      <c r="R2" s="349"/>
      <c r="S2" s="370"/>
      <c r="T2" s="1689" t="s">
        <v>1081</v>
      </c>
      <c r="U2" s="1690"/>
      <c r="V2" s="1690"/>
      <c r="W2" s="1690"/>
      <c r="X2" s="1691"/>
      <c r="Y2" s="371"/>
      <c r="Z2" s="1689" t="s">
        <v>1082</v>
      </c>
      <c r="AA2" s="1690"/>
      <c r="AB2" s="1690"/>
      <c r="AC2" s="1690"/>
      <c r="AD2" s="1691"/>
      <c r="AE2" s="371"/>
      <c r="AF2" s="1689" t="s">
        <v>1083</v>
      </c>
      <c r="AG2" s="1690"/>
      <c r="AH2" s="1690"/>
      <c r="AI2" s="1690"/>
      <c r="AJ2" s="1691"/>
      <c r="AK2" s="371"/>
      <c r="AL2" s="1689" t="s">
        <v>1084</v>
      </c>
      <c r="AM2" s="1690"/>
      <c r="AN2" s="1690"/>
      <c r="AO2" s="1690"/>
      <c r="AP2" s="1691"/>
      <c r="AQ2" s="371"/>
      <c r="AR2" s="1689" t="s">
        <v>1085</v>
      </c>
      <c r="AS2" s="1690"/>
      <c r="AT2" s="1690"/>
      <c r="AU2" s="1690"/>
      <c r="AV2" s="1691"/>
      <c r="AW2" s="371"/>
      <c r="AX2" s="1689" t="s">
        <v>1086</v>
      </c>
      <c r="AY2" s="1690"/>
      <c r="AZ2" s="1690"/>
      <c r="BA2" s="1690"/>
      <c r="BB2" s="1691"/>
      <c r="BC2" s="371"/>
      <c r="BD2" s="1689" t="s">
        <v>1087</v>
      </c>
      <c r="BE2" s="1690"/>
      <c r="BF2" s="1690"/>
      <c r="BG2" s="1690"/>
      <c r="BH2" s="1691"/>
      <c r="BI2" s="371"/>
      <c r="BJ2" s="1689" t="s">
        <v>1088</v>
      </c>
      <c r="BK2" s="1690"/>
      <c r="BL2" s="1690"/>
      <c r="BM2" s="1690"/>
      <c r="BN2" s="1691"/>
      <c r="BO2" s="371"/>
      <c r="BP2" s="1689" t="s">
        <v>1089</v>
      </c>
      <c r="BQ2" s="1690"/>
      <c r="BR2" s="1690"/>
      <c r="BS2" s="1690"/>
      <c r="BT2" s="1691"/>
      <c r="BU2" s="371"/>
      <c r="BV2" s="1689" t="s">
        <v>1090</v>
      </c>
      <c r="BW2" s="1690"/>
      <c r="BX2" s="1690"/>
      <c r="BY2" s="1690"/>
      <c r="BZ2" s="1690"/>
      <c r="CA2" s="366"/>
    </row>
    <row r="3" spans="1:79" s="356" customFormat="1" ht="16.5" customHeight="1">
      <c r="A3" s="372" t="s">
        <v>1093</v>
      </c>
      <c r="B3" s="373" t="s">
        <v>1094</v>
      </c>
      <c r="C3" s="374" t="s">
        <v>1091</v>
      </c>
      <c r="D3" s="371" t="s">
        <v>1092</v>
      </c>
      <c r="E3" s="371" t="s">
        <v>1476</v>
      </c>
      <c r="F3" s="371" t="s">
        <v>1095</v>
      </c>
      <c r="G3" s="371" t="s">
        <v>391</v>
      </c>
      <c r="H3" s="371" t="s">
        <v>646</v>
      </c>
      <c r="I3" s="371" t="s">
        <v>485</v>
      </c>
      <c r="J3" s="341" t="s">
        <v>2177</v>
      </c>
      <c r="K3" s="341" t="s">
        <v>2433</v>
      </c>
      <c r="L3" s="716" t="s">
        <v>2428</v>
      </c>
      <c r="M3" s="341" t="s">
        <v>2430</v>
      </c>
      <c r="N3" s="341" t="s">
        <v>1097</v>
      </c>
      <c r="O3" s="341" t="s">
        <v>462</v>
      </c>
      <c r="P3" s="341" t="s">
        <v>1580</v>
      </c>
      <c r="Q3" s="350" t="s">
        <v>1581</v>
      </c>
      <c r="R3" s="350" t="s">
        <v>2381</v>
      </c>
      <c r="S3" s="376"/>
      <c r="T3" s="341" t="str">
        <f>J3</f>
        <v>Q2</v>
      </c>
      <c r="U3" s="341" t="str">
        <f>K3</f>
        <v>Q2得分</v>
      </c>
      <c r="V3" s="375" t="str">
        <f>L3</f>
        <v>Q3</v>
      </c>
      <c r="W3" s="1236" t="str">
        <f>M3</f>
        <v>Q3得分</v>
      </c>
      <c r="X3" s="1177" t="s">
        <v>1096</v>
      </c>
      <c r="Y3" s="377"/>
      <c r="Z3" s="341" t="str">
        <f>T3</f>
        <v>Q2</v>
      </c>
      <c r="AA3" s="341" t="str">
        <f>U3</f>
        <v>Q2得分</v>
      </c>
      <c r="AB3" s="375" t="str">
        <f>V3</f>
        <v>Q3</v>
      </c>
      <c r="AC3" s="1236" t="str">
        <f>W3</f>
        <v>Q3得分</v>
      </c>
      <c r="AD3" s="1177" t="s">
        <v>1096</v>
      </c>
      <c r="AE3" s="341"/>
      <c r="AF3" s="341" t="str">
        <f>Z3</f>
        <v>Q2</v>
      </c>
      <c r="AG3" s="341" t="str">
        <f>AA3</f>
        <v>Q2得分</v>
      </c>
      <c r="AH3" s="375" t="str">
        <f>AB3</f>
        <v>Q3</v>
      </c>
      <c r="AI3" s="1236" t="str">
        <f>AC3</f>
        <v>Q3得分</v>
      </c>
      <c r="AJ3" s="341" t="s">
        <v>1096</v>
      </c>
      <c r="AK3" s="341"/>
      <c r="AL3" s="341" t="str">
        <f>AF3</f>
        <v>Q2</v>
      </c>
      <c r="AM3" s="341" t="str">
        <f>AG3</f>
        <v>Q2得分</v>
      </c>
      <c r="AN3" s="375" t="str">
        <f>AH3</f>
        <v>Q3</v>
      </c>
      <c r="AO3" s="1236" t="str">
        <f>AI3</f>
        <v>Q3得分</v>
      </c>
      <c r="AP3" s="341" t="s">
        <v>1096</v>
      </c>
      <c r="AQ3" s="341"/>
      <c r="AR3" s="341" t="str">
        <f>AL3</f>
        <v>Q2</v>
      </c>
      <c r="AS3" s="341" t="str">
        <f>AM3</f>
        <v>Q2得分</v>
      </c>
      <c r="AT3" s="375" t="str">
        <f>AN3</f>
        <v>Q3</v>
      </c>
      <c r="AU3" s="1236" t="str">
        <f>AO3</f>
        <v>Q3得分</v>
      </c>
      <c r="AV3" s="341" t="s">
        <v>1472</v>
      </c>
      <c r="AW3" s="341"/>
      <c r="AX3" s="341" t="str">
        <f>AR3</f>
        <v>Q2</v>
      </c>
      <c r="AY3" s="341" t="str">
        <f>AS3</f>
        <v>Q2得分</v>
      </c>
      <c r="AZ3" s="375" t="str">
        <f>AT3</f>
        <v>Q3</v>
      </c>
      <c r="BA3" s="1236" t="str">
        <f>AU3</f>
        <v>Q3得分</v>
      </c>
      <c r="BB3" s="341" t="s">
        <v>1096</v>
      </c>
      <c r="BC3" s="341"/>
      <c r="BD3" s="341" t="str">
        <f>AX3</f>
        <v>Q2</v>
      </c>
      <c r="BE3" s="341" t="str">
        <f>AY3</f>
        <v>Q2得分</v>
      </c>
      <c r="BF3" s="375" t="str">
        <f>AZ3</f>
        <v>Q3</v>
      </c>
      <c r="BG3" s="1236" t="str">
        <f>BA3</f>
        <v>Q3得分</v>
      </c>
      <c r="BH3" s="341" t="s">
        <v>1096</v>
      </c>
      <c r="BI3" s="341"/>
      <c r="BJ3" s="341" t="str">
        <f>BD3</f>
        <v>Q2</v>
      </c>
      <c r="BK3" s="341" t="str">
        <f>BE3</f>
        <v>Q2得分</v>
      </c>
      <c r="BL3" s="375" t="str">
        <f>BF3</f>
        <v>Q3</v>
      </c>
      <c r="BM3" s="1236" t="str">
        <f>BG3</f>
        <v>Q3得分</v>
      </c>
      <c r="BN3" s="341" t="s">
        <v>1096</v>
      </c>
      <c r="BO3" s="341"/>
      <c r="BP3" s="341" t="str">
        <f>BJ3</f>
        <v>Q2</v>
      </c>
      <c r="BQ3" s="341" t="str">
        <f>BK3</f>
        <v>Q2得分</v>
      </c>
      <c r="BR3" s="375" t="str">
        <f>BL3</f>
        <v>Q3</v>
      </c>
      <c r="BS3" s="1236" t="str">
        <f>BM3</f>
        <v>Q3得分</v>
      </c>
      <c r="BT3" s="341" t="s">
        <v>1096</v>
      </c>
      <c r="BU3" s="341"/>
      <c r="BV3" s="341" t="str">
        <f>BP3</f>
        <v>Q2</v>
      </c>
      <c r="BW3" s="341" t="str">
        <f>BQ3</f>
        <v>Q2得分</v>
      </c>
      <c r="BX3" s="375" t="str">
        <f>BR3</f>
        <v>Q3</v>
      </c>
      <c r="BY3" s="1236" t="str">
        <f>BS3</f>
        <v>Q3得分</v>
      </c>
      <c r="BZ3" s="341" t="s">
        <v>1096</v>
      </c>
      <c r="CA3" s="366"/>
    </row>
    <row r="4" spans="1:79" s="356" customFormat="1">
      <c r="A4" s="1677" t="s">
        <v>1171</v>
      </c>
      <c r="B4" s="1680" t="s">
        <v>2401</v>
      </c>
      <c r="C4" s="379">
        <v>1</v>
      </c>
      <c r="D4" s="576" t="s">
        <v>2414</v>
      </c>
      <c r="E4" s="380"/>
      <c r="F4" s="362"/>
      <c r="G4" s="362" t="s">
        <v>396</v>
      </c>
      <c r="H4" s="342" t="s">
        <v>229</v>
      </c>
      <c r="I4" s="381">
        <v>5</v>
      </c>
      <c r="J4" s="1084">
        <f>AVERAGE(BV4,BP4,BJ4,BD4,AX4,AR4,AL4,AF4,Z4,T4)</f>
        <v>0.9</v>
      </c>
      <c r="K4" s="382">
        <f>AVERAGE(BW4,BQ4,BK4,BE4,AY4,AS4,AM4,AG4,AA4,U4)</f>
        <v>4.5</v>
      </c>
      <c r="L4" s="1084">
        <f>AVERAGE(BX4,BR4,BL4,BF4,AZ4,AT4,AN4,AH4,AB4,V4)</f>
        <v>0.9</v>
      </c>
      <c r="M4" s="382">
        <f>AVERAGE(BY4,BS4,BM4,BG4,BA4,AU4,AO4,AI4,AC4,W4)</f>
        <v>4.5</v>
      </c>
      <c r="N4" s="383">
        <f>M4-K4</f>
        <v>0</v>
      </c>
      <c r="O4" s="354">
        <f t="shared" ref="O4:O32" si="0">I4-M4</f>
        <v>0.5</v>
      </c>
      <c r="P4" s="354">
        <f>O4*0.7</f>
        <v>0.35</v>
      </c>
      <c r="Q4" s="354">
        <f>P4/9</f>
        <v>3.888888888888889E-2</v>
      </c>
      <c r="R4" s="354">
        <f>Q4/2</f>
        <v>1.9444444444444445E-2</v>
      </c>
      <c r="S4" s="355"/>
      <c r="T4" s="1205">
        <v>1</v>
      </c>
      <c r="U4" s="360">
        <f>IF(T4&gt;=0.8,5,IF(T4&gt;=0.5,2,0))</f>
        <v>5</v>
      </c>
      <c r="V4" s="1205">
        <f>IF(V6=0,"",V5/V6)</f>
        <v>1</v>
      </c>
      <c r="W4" s="1237">
        <f>IF(V4&gt;=0.8,5,IF(V4&gt;=0.5,2,0))</f>
        <v>5</v>
      </c>
      <c r="X4" s="22">
        <f t="shared" ref="X4:X11" si="1">IF(AND(T4=0,V4&lt;&gt;0),1,IF(AND(T4=0,V4=0),0,V4/T4-1))</f>
        <v>0</v>
      </c>
      <c r="Y4" s="355"/>
      <c r="Z4" s="1205">
        <v>1</v>
      </c>
      <c r="AA4" s="360">
        <f>IF(Z4&gt;=0.8,5,IF(Z4&gt;=0.5,2,0))</f>
        <v>5</v>
      </c>
      <c r="AB4" s="1205">
        <f>IF(AB6=0,"",AB5/AB6)</f>
        <v>1</v>
      </c>
      <c r="AC4" s="1237">
        <f>IF(AB4&gt;=0.8,5,IF(AB4&gt;=0.5,2,0))</f>
        <v>5</v>
      </c>
      <c r="AD4" s="22">
        <f t="shared" ref="AD4:AD11" si="2">IF(AND(Z4=0,AB4&lt;&gt;0),1,IF(AND(Z4=0,AB4=0),0,AB4/Z4-1))</f>
        <v>0</v>
      </c>
      <c r="AE4" s="355"/>
      <c r="AF4" s="342">
        <v>1</v>
      </c>
      <c r="AG4" s="360">
        <f>IF(AF4&gt;=0.8,5,IF(AF4&gt;=0.5,2,0))</f>
        <v>5</v>
      </c>
      <c r="AH4" s="1205">
        <f>IF(AH6=0,"",AH5/AH6)</f>
        <v>1</v>
      </c>
      <c r="AI4" s="1237">
        <f>IF(AH4&gt;=0.8,5,IF(AH4&gt;=0.5,2,0))</f>
        <v>5</v>
      </c>
      <c r="AJ4" s="22">
        <f t="shared" ref="AJ4:AJ11" si="3">IF(AND(AF4=0,AH4&lt;&gt;0),1,IF(AND(AF4=0,AH4=0),0,AH4/AF4-1))</f>
        <v>0</v>
      </c>
      <c r="AK4" s="355"/>
      <c r="AL4" s="1205">
        <v>1</v>
      </c>
      <c r="AM4" s="360">
        <f>IF(AL4&gt;=0.8,5,IF(AL4&gt;=0.5,2,0))</f>
        <v>5</v>
      </c>
      <c r="AN4" s="1205">
        <f>IF(AN6=0,"",AN5/AN6)</f>
        <v>1</v>
      </c>
      <c r="AO4" s="1237">
        <f>IF(AN4&gt;=0.8,5,IF(AN4&gt;=0.5,2,0))</f>
        <v>5</v>
      </c>
      <c r="AP4" s="22">
        <f t="shared" ref="AP4:AP11" si="4">IF(AND(AL4=0,AN4&lt;&gt;0),1,IF(AND(AL4=0,AN4=0),0,AN4/AL4-1))</f>
        <v>0</v>
      </c>
      <c r="AQ4" s="355"/>
      <c r="AR4" s="1205">
        <v>1</v>
      </c>
      <c r="AS4" s="360">
        <f>IF(AR4&gt;=0.8,5,IF(AR4&gt;=0.5,2,0))</f>
        <v>5</v>
      </c>
      <c r="AT4" s="1205">
        <f>IF(AT6=0,"",AT5/AT6)</f>
        <v>1</v>
      </c>
      <c r="AU4" s="1237">
        <f>IF(AT4&gt;=0.8,5,IF(AT4&gt;=0.5,2,0))</f>
        <v>5</v>
      </c>
      <c r="AV4" s="22">
        <f t="shared" ref="AV4:AV11" si="5">IF(AND(AR4=0,AT4&lt;&gt;0),1,IF(AND(AR4=0,AT4=0),0,AT4/AR4-1))</f>
        <v>0</v>
      </c>
      <c r="AW4" s="355"/>
      <c r="AX4" s="1205">
        <v>1</v>
      </c>
      <c r="AY4" s="360">
        <f>IF(AX4&gt;=0.8,5,IF(AX4&gt;=0.5,2,0))</f>
        <v>5</v>
      </c>
      <c r="AZ4" s="1205">
        <f>IF(AZ6=0,"",AZ5/AZ6)</f>
        <v>1</v>
      </c>
      <c r="BA4" s="1237">
        <f>IF(AZ4&gt;=0.8,5,IF(AZ4&gt;=0.5,2,0))</f>
        <v>5</v>
      </c>
      <c r="BB4" s="22">
        <f t="shared" ref="BB4:BB11" si="6">IF(AND(AX4=0,AZ4&lt;&gt;0),1,IF(AND(AX4=0,AZ4=0),0,AZ4/AX4-1))</f>
        <v>0</v>
      </c>
      <c r="BC4" s="355"/>
      <c r="BD4" s="1205">
        <v>0</v>
      </c>
      <c r="BE4" s="360">
        <f>IF(BD4&gt;=0.8,5,IF(BD4&gt;=0.5,2,0))</f>
        <v>0</v>
      </c>
      <c r="BF4" s="1205">
        <f>IF(BF6=0,"",BF5/BF6)</f>
        <v>0</v>
      </c>
      <c r="BG4" s="1237">
        <f>IF(BF4&gt;=0.8,5,IF(BF4&gt;=0.5,2,0))</f>
        <v>0</v>
      </c>
      <c r="BH4" s="22">
        <f t="shared" ref="BH4:BH11" si="7">IF(AND(BD4=0,BF4&lt;&gt;0),1,IF(AND(BD4=0,BF4=0),0,BF4/BD4-1))</f>
        <v>0</v>
      </c>
      <c r="BI4" s="355"/>
      <c r="BJ4" s="1205">
        <v>1</v>
      </c>
      <c r="BK4" s="360">
        <f>IF(BJ4&gt;=0.8,5,IF(BJ4&gt;=0.5,2,0))</f>
        <v>5</v>
      </c>
      <c r="BL4" s="1205">
        <f>IF(BL6=0,"",BL5/BL6)</f>
        <v>1</v>
      </c>
      <c r="BM4" s="1237">
        <f>IF(BL4&gt;=0.8,5,IF(BL4&gt;=0.5,2,0))</f>
        <v>5</v>
      </c>
      <c r="BN4" s="22">
        <f t="shared" ref="BN4:BN11" si="8">IF(AND(BJ4=0,BL4&lt;&gt;0),1,IF(AND(BJ4=0,BL4=0),0,BL4/BJ4-1))</f>
        <v>0</v>
      </c>
      <c r="BO4" s="355"/>
      <c r="BP4" s="1205">
        <v>1</v>
      </c>
      <c r="BQ4" s="360">
        <f>IF(BP4&gt;=0.8,5,IF(BP4&gt;=0.5,2,0))</f>
        <v>5</v>
      </c>
      <c r="BR4" s="1205">
        <f>IF(BR6=0,"",BR5/BR6)</f>
        <v>1</v>
      </c>
      <c r="BS4" s="1237">
        <f>IF(BR4&gt;=0.8,5,IF(BR4&gt;=0.5,2,0))</f>
        <v>5</v>
      </c>
      <c r="BT4" s="22">
        <f t="shared" ref="BT4:BT11" si="9">IF(AND(BP4=0,BR4&lt;&gt;0),1,IF(AND(BP4=0,BR4=0),0,BR4/BP4-1))</f>
        <v>0</v>
      </c>
      <c r="BU4" s="355"/>
      <c r="BV4" s="1205">
        <v>1</v>
      </c>
      <c r="BW4" s="360">
        <f>IF(BV4&gt;=0.8,5,IF(BV4&gt;=0.5,2,0))</f>
        <v>5</v>
      </c>
      <c r="BX4" s="1205">
        <f>IF(BX6=0,"",BX5/BX6)</f>
        <v>1</v>
      </c>
      <c r="BY4" s="1237">
        <f>IF(BX4&gt;=0.8,5,IF(BX4&gt;=0.5,2,0))</f>
        <v>5</v>
      </c>
      <c r="BZ4" s="22">
        <f t="shared" ref="BZ4:BZ11" si="10">IF(AND(BV4=0,BX4&lt;&gt;0),1,IF(AND(BV4=0,BX4=0),0,BX4/BV4-1))</f>
        <v>0</v>
      </c>
      <c r="CA4" s="367"/>
    </row>
    <row r="5" spans="1:79" s="356" customFormat="1">
      <c r="A5" s="1678"/>
      <c r="B5" s="1681"/>
      <c r="C5" s="386">
        <v>1.1000000000000001</v>
      </c>
      <c r="D5" s="387" t="s">
        <v>1676</v>
      </c>
      <c r="E5" s="380" t="s">
        <v>1115</v>
      </c>
      <c r="F5" s="388"/>
      <c r="G5" s="388"/>
      <c r="H5" s="386"/>
      <c r="I5" s="388"/>
      <c r="J5" s="679">
        <f t="shared" ref="J5:J11" si="11">AVERAGE(BV5,BP5,BJ5,BD5,AX5,AR5,AL5,AF5,Z5,T5)</f>
        <v>0.9</v>
      </c>
      <c r="K5" s="389"/>
      <c r="L5" s="679">
        <f t="shared" ref="L5:L11" si="12">AVERAGE(BX5,BR5,BL5,BF5,AZ5,AT5,AN5,AH5,AB5,V5)</f>
        <v>0.9</v>
      </c>
      <c r="M5" s="389"/>
      <c r="N5" s="390">
        <f t="shared" ref="N5:N38" si="13">M5-K5</f>
        <v>0</v>
      </c>
      <c r="O5" s="362">
        <f t="shared" si="0"/>
        <v>0</v>
      </c>
      <c r="P5" s="354">
        <f t="shared" ref="P5:P48" si="14">O5*0.7</f>
        <v>0</v>
      </c>
      <c r="Q5" s="354">
        <f t="shared" ref="Q5:Q47" si="15">P5/9</f>
        <v>0</v>
      </c>
      <c r="R5" s="354">
        <f t="shared" ref="R5:R47" si="16">Q5/2</f>
        <v>0</v>
      </c>
      <c r="S5" s="355"/>
      <c r="T5" s="342">
        <v>1</v>
      </c>
      <c r="U5" s="361"/>
      <c r="V5" s="342">
        <v>1</v>
      </c>
      <c r="W5" s="1238"/>
      <c r="X5" s="22">
        <f t="shared" si="1"/>
        <v>0</v>
      </c>
      <c r="Y5" s="355"/>
      <c r="Z5" s="342">
        <v>1</v>
      </c>
      <c r="AA5" s="361"/>
      <c r="AB5" s="342">
        <v>1</v>
      </c>
      <c r="AC5" s="1238"/>
      <c r="AD5" s="22">
        <f t="shared" si="2"/>
        <v>0</v>
      </c>
      <c r="AE5" s="355"/>
      <c r="AF5" s="342">
        <v>1</v>
      </c>
      <c r="AG5" s="361"/>
      <c r="AH5" s="342">
        <v>1</v>
      </c>
      <c r="AI5" s="1238"/>
      <c r="AJ5" s="22">
        <f t="shared" si="3"/>
        <v>0</v>
      </c>
      <c r="AK5" s="355"/>
      <c r="AL5" s="342">
        <v>1</v>
      </c>
      <c r="AM5" s="361"/>
      <c r="AN5" s="342">
        <v>1</v>
      </c>
      <c r="AO5" s="1238"/>
      <c r="AP5" s="22">
        <f t="shared" si="4"/>
        <v>0</v>
      </c>
      <c r="AQ5" s="355"/>
      <c r="AR5" s="342">
        <v>1</v>
      </c>
      <c r="AS5" s="361"/>
      <c r="AT5" s="342">
        <v>1</v>
      </c>
      <c r="AU5" s="1238"/>
      <c r="AV5" s="22">
        <f t="shared" si="5"/>
        <v>0</v>
      </c>
      <c r="AW5" s="355"/>
      <c r="AX5" s="342">
        <v>1</v>
      </c>
      <c r="AY5" s="361"/>
      <c r="AZ5" s="342">
        <v>1</v>
      </c>
      <c r="BA5" s="1238"/>
      <c r="BB5" s="22">
        <f t="shared" si="6"/>
        <v>0</v>
      </c>
      <c r="BC5" s="355"/>
      <c r="BD5" s="342">
        <v>0</v>
      </c>
      <c r="BE5" s="361"/>
      <c r="BF5" s="342">
        <v>0</v>
      </c>
      <c r="BG5" s="1238"/>
      <c r="BH5" s="22">
        <f t="shared" si="7"/>
        <v>0</v>
      </c>
      <c r="BI5" s="355"/>
      <c r="BJ5" s="342">
        <v>1</v>
      </c>
      <c r="BK5" s="361"/>
      <c r="BL5" s="342">
        <v>1</v>
      </c>
      <c r="BM5" s="1238"/>
      <c r="BN5" s="22">
        <f t="shared" si="8"/>
        <v>0</v>
      </c>
      <c r="BO5" s="355"/>
      <c r="BP5" s="342">
        <v>1</v>
      </c>
      <c r="BQ5" s="361"/>
      <c r="BR5" s="342">
        <v>1</v>
      </c>
      <c r="BS5" s="1238"/>
      <c r="BT5" s="22">
        <f t="shared" si="9"/>
        <v>0</v>
      </c>
      <c r="BU5" s="355"/>
      <c r="BV5" s="342">
        <v>1</v>
      </c>
      <c r="BW5" s="361"/>
      <c r="BX5" s="342">
        <v>1</v>
      </c>
      <c r="BY5" s="1238"/>
      <c r="BZ5" s="22">
        <f t="shared" si="10"/>
        <v>0</v>
      </c>
      <c r="CA5" s="367"/>
    </row>
    <row r="6" spans="1:79" s="356" customFormat="1">
      <c r="A6" s="1679"/>
      <c r="B6" s="1682"/>
      <c r="C6" s="386">
        <v>1.2</v>
      </c>
      <c r="D6" s="387" t="s">
        <v>1675</v>
      </c>
      <c r="E6" s="380" t="s">
        <v>1115</v>
      </c>
      <c r="F6" s="388"/>
      <c r="G6" s="388"/>
      <c r="H6" s="386"/>
      <c r="I6" s="388"/>
      <c r="J6" s="679">
        <f t="shared" si="11"/>
        <v>1</v>
      </c>
      <c r="K6" s="389"/>
      <c r="L6" s="679">
        <f t="shared" si="12"/>
        <v>1</v>
      </c>
      <c r="M6" s="389"/>
      <c r="N6" s="390">
        <f t="shared" si="13"/>
        <v>0</v>
      </c>
      <c r="O6" s="362">
        <f t="shared" si="0"/>
        <v>0</v>
      </c>
      <c r="P6" s="354">
        <f t="shared" si="14"/>
        <v>0</v>
      </c>
      <c r="Q6" s="354">
        <f t="shared" si="15"/>
        <v>0</v>
      </c>
      <c r="R6" s="354">
        <f t="shared" si="16"/>
        <v>0</v>
      </c>
      <c r="S6" s="355"/>
      <c r="T6" s="342">
        <v>1</v>
      </c>
      <c r="U6" s="361"/>
      <c r="V6" s="342">
        <v>1</v>
      </c>
      <c r="W6" s="1238"/>
      <c r="X6" s="22">
        <f t="shared" si="1"/>
        <v>0</v>
      </c>
      <c r="Y6" s="355"/>
      <c r="Z6" s="342">
        <v>1</v>
      </c>
      <c r="AA6" s="361"/>
      <c r="AB6" s="342">
        <v>1</v>
      </c>
      <c r="AC6" s="1238"/>
      <c r="AD6" s="22">
        <f t="shared" si="2"/>
        <v>0</v>
      </c>
      <c r="AE6" s="355"/>
      <c r="AF6" s="342">
        <v>1</v>
      </c>
      <c r="AG6" s="361"/>
      <c r="AH6" s="342">
        <v>1</v>
      </c>
      <c r="AI6" s="1238"/>
      <c r="AJ6" s="22">
        <f t="shared" si="3"/>
        <v>0</v>
      </c>
      <c r="AK6" s="355"/>
      <c r="AL6" s="342">
        <v>1</v>
      </c>
      <c r="AM6" s="361"/>
      <c r="AN6" s="342">
        <v>1</v>
      </c>
      <c r="AO6" s="1238"/>
      <c r="AP6" s="22">
        <f t="shared" si="4"/>
        <v>0</v>
      </c>
      <c r="AQ6" s="355"/>
      <c r="AR6" s="342">
        <v>1</v>
      </c>
      <c r="AS6" s="361"/>
      <c r="AT6" s="342">
        <v>1</v>
      </c>
      <c r="AU6" s="1238"/>
      <c r="AV6" s="22">
        <f t="shared" si="5"/>
        <v>0</v>
      </c>
      <c r="AW6" s="355"/>
      <c r="AX6" s="342">
        <v>1</v>
      </c>
      <c r="AY6" s="361"/>
      <c r="AZ6" s="342">
        <v>1</v>
      </c>
      <c r="BA6" s="1238"/>
      <c r="BB6" s="22">
        <f t="shared" si="6"/>
        <v>0</v>
      </c>
      <c r="BC6" s="355"/>
      <c r="BD6" s="342">
        <v>1</v>
      </c>
      <c r="BE6" s="361"/>
      <c r="BF6" s="342">
        <v>1</v>
      </c>
      <c r="BG6" s="1238"/>
      <c r="BH6" s="22">
        <f t="shared" si="7"/>
        <v>0</v>
      </c>
      <c r="BI6" s="355"/>
      <c r="BJ6" s="342">
        <v>1</v>
      </c>
      <c r="BK6" s="361"/>
      <c r="BL6" s="342">
        <v>1</v>
      </c>
      <c r="BM6" s="1238"/>
      <c r="BN6" s="22">
        <f t="shared" si="8"/>
        <v>0</v>
      </c>
      <c r="BO6" s="355"/>
      <c r="BP6" s="342">
        <v>1</v>
      </c>
      <c r="BQ6" s="361"/>
      <c r="BR6" s="342">
        <v>1</v>
      </c>
      <c r="BS6" s="1238"/>
      <c r="BT6" s="22">
        <f t="shared" si="9"/>
        <v>0</v>
      </c>
      <c r="BU6" s="355"/>
      <c r="BV6" s="342">
        <v>1</v>
      </c>
      <c r="BW6" s="361"/>
      <c r="BX6" s="342">
        <v>1</v>
      </c>
      <c r="BY6" s="1238"/>
      <c r="BZ6" s="22">
        <f t="shared" si="10"/>
        <v>0</v>
      </c>
      <c r="CA6" s="367"/>
    </row>
    <row r="7" spans="1:79" s="356" customFormat="1">
      <c r="A7" s="1677" t="s">
        <v>1172</v>
      </c>
      <c r="B7" s="1680" t="s">
        <v>2402</v>
      </c>
      <c r="C7" s="379">
        <v>2</v>
      </c>
      <c r="D7" s="416" t="s">
        <v>1706</v>
      </c>
      <c r="E7" s="380"/>
      <c r="F7" s="388"/>
      <c r="G7" s="388" t="s">
        <v>1105</v>
      </c>
      <c r="H7" s="386" t="s">
        <v>1168</v>
      </c>
      <c r="I7" s="381">
        <v>3</v>
      </c>
      <c r="J7" s="1084">
        <f t="shared" si="11"/>
        <v>0.25</v>
      </c>
      <c r="K7" s="382">
        <f>AVERAGE(BW7,BQ7,BK7,BE7,AY7,AS7,AM7,AG7,AA7,U7)</f>
        <v>1.5</v>
      </c>
      <c r="L7" s="1084">
        <f t="shared" si="12"/>
        <v>0.13333333333333333</v>
      </c>
      <c r="M7" s="382">
        <f>AVERAGE(BY7,BS7,BM7,BG7,BA7,AU7,AO7,AI7,AC7,W7)</f>
        <v>2.1</v>
      </c>
      <c r="N7" s="383">
        <f t="shared" si="13"/>
        <v>0.60000000000000009</v>
      </c>
      <c r="O7" s="354">
        <f t="shared" si="0"/>
        <v>0.89999999999999991</v>
      </c>
      <c r="P7" s="354">
        <f t="shared" si="14"/>
        <v>0.62999999999999989</v>
      </c>
      <c r="Q7" s="354">
        <f t="shared" si="15"/>
        <v>6.9999999999999993E-2</v>
      </c>
      <c r="R7" s="354">
        <f t="shared" si="16"/>
        <v>3.4999999999999996E-2</v>
      </c>
      <c r="S7" s="355"/>
      <c r="T7" s="1205">
        <v>0</v>
      </c>
      <c r="U7" s="362">
        <f>IF(T7&lt;=0.15,3,IF(T7&lt;=0.3,1.5,0))</f>
        <v>3</v>
      </c>
      <c r="V7" s="1205">
        <f>ROUND(V8,0)/(ROUND(V9,0)+ROUND(V10,0))</f>
        <v>0</v>
      </c>
      <c r="W7" s="1239">
        <f>IF(V7&lt;=0.15,3,IF(V7&lt;=0.3,1.5,0))</f>
        <v>3</v>
      </c>
      <c r="X7" s="22">
        <f t="shared" si="1"/>
        <v>0</v>
      </c>
      <c r="Y7" s="355"/>
      <c r="Z7" s="1205">
        <v>0.33333333333333331</v>
      </c>
      <c r="AA7" s="362">
        <f>IF(Z7&lt;=0.15,3,IF(Z7&lt;=0.3,1.5,0))</f>
        <v>0</v>
      </c>
      <c r="AB7" s="1205">
        <f>ROUND(AB8,0)/(ROUND(AB9,0)+ROUND(AB10,0))</f>
        <v>0</v>
      </c>
      <c r="AC7" s="1239">
        <f>IF(AB7&lt;=0.15,3,IF(AB7&lt;=0.3,1.5,0))</f>
        <v>3</v>
      </c>
      <c r="AD7" s="22">
        <f t="shared" si="2"/>
        <v>-1</v>
      </c>
      <c r="AE7" s="355"/>
      <c r="AF7" s="342">
        <v>0</v>
      </c>
      <c r="AG7" s="362">
        <f>IF(AF7&lt;=0.15,3,IF(AF7&lt;=0.3,1.5,0))</f>
        <v>3</v>
      </c>
      <c r="AH7" s="1205">
        <f>ROUND(AH8,0)/(ROUND(AH9,0)+ROUND(AH10,0))</f>
        <v>0</v>
      </c>
      <c r="AI7" s="1239">
        <f>IF(AH7&lt;=0.15,3,IF(AH7&lt;=0.3,1.5,0))</f>
        <v>3</v>
      </c>
      <c r="AJ7" s="22">
        <f t="shared" si="3"/>
        <v>0</v>
      </c>
      <c r="AK7" s="355"/>
      <c r="AL7" s="1205">
        <v>0</v>
      </c>
      <c r="AM7" s="362">
        <f>IF(AL7&lt;=0.15,3,IF(AL7&lt;=0.3,1.5,0))</f>
        <v>3</v>
      </c>
      <c r="AN7" s="1205">
        <f>ROUND(AN8,0)/(ROUND(AN9,0)+ROUND(AN10,0))</f>
        <v>0</v>
      </c>
      <c r="AO7" s="1239">
        <f>IF(AN7&lt;=0.15,3,IF(AN7&lt;=0.3,1.5,0))</f>
        <v>3</v>
      </c>
      <c r="AP7" s="22">
        <f t="shared" si="4"/>
        <v>0</v>
      </c>
      <c r="AQ7" s="355"/>
      <c r="AR7" s="1205">
        <v>0.66666666666666663</v>
      </c>
      <c r="AS7" s="362">
        <f>IF(AR7&lt;=0.15,3,IF(AR7&lt;=0.3,1.5,0))</f>
        <v>0</v>
      </c>
      <c r="AT7" s="1205">
        <f>ROUND(AT8,0)/(ROUND(AT9,0)+ROUND(AT10,0))</f>
        <v>0.5</v>
      </c>
      <c r="AU7" s="1239">
        <f>IF(AT7&lt;=0.15,3,IF(AT7&lt;=0.3,1.5,0))</f>
        <v>0</v>
      </c>
      <c r="AV7" s="22">
        <f t="shared" si="5"/>
        <v>-0.25</v>
      </c>
      <c r="AW7" s="355"/>
      <c r="AX7" s="1205">
        <v>0.5</v>
      </c>
      <c r="AY7" s="362">
        <f>IF(AX7&lt;=0.15,3,IF(AX7&lt;=0.3,1.5,0))</f>
        <v>0</v>
      </c>
      <c r="AZ7" s="1205">
        <f>ROUND(AZ8,0)/(ROUND(AZ9,0)+ROUND(AZ10,0))</f>
        <v>0.33333333333333331</v>
      </c>
      <c r="BA7" s="1239">
        <f>IF(AZ7&lt;=0.15,3,IF(AZ7&lt;=0.3,1.5,0))</f>
        <v>0</v>
      </c>
      <c r="BB7" s="22">
        <f t="shared" si="6"/>
        <v>-0.33333333333333337</v>
      </c>
      <c r="BC7" s="355"/>
      <c r="BD7" s="1205">
        <v>0.5</v>
      </c>
      <c r="BE7" s="362">
        <f>IF(BD7&lt;=0.15,3,IF(BD7&lt;=0.3,1.5,0))</f>
        <v>0</v>
      </c>
      <c r="BF7" s="1205">
        <f>ROUND(BF8,0)/(ROUND(BF9,0)+ROUND(BF10,0))</f>
        <v>0</v>
      </c>
      <c r="BG7" s="1239">
        <f>IF(BF7&lt;=0.15,3,IF(BF7&lt;=0.3,1.5,0))</f>
        <v>3</v>
      </c>
      <c r="BH7" s="22">
        <f t="shared" si="7"/>
        <v>-1</v>
      </c>
      <c r="BI7" s="355"/>
      <c r="BJ7" s="1205">
        <v>0</v>
      </c>
      <c r="BK7" s="362">
        <f>IF(BJ7&lt;=0.15,3,IF(BJ7&lt;=0.3,1.5,0))</f>
        <v>3</v>
      </c>
      <c r="BL7" s="1205">
        <f>ROUND(BL8,0)/(ROUND(BL9,0)+ROUND(BL10,0))</f>
        <v>0</v>
      </c>
      <c r="BM7" s="1239">
        <f>IF(BL7&lt;=0.15,3,IF(BL7&lt;=0.3,1.5,0))</f>
        <v>3</v>
      </c>
      <c r="BN7" s="22">
        <f t="shared" si="8"/>
        <v>0</v>
      </c>
      <c r="BO7" s="355"/>
      <c r="BP7" s="1205">
        <v>0.5</v>
      </c>
      <c r="BQ7" s="362">
        <f>IF(BP7&lt;=0.15,3,IF(BP7&lt;=0.3,1.5,0))</f>
        <v>0</v>
      </c>
      <c r="BR7" s="1205">
        <f>ROUND(BR8,0)/(ROUND(BR9,0)+ROUND(BR10,0))</f>
        <v>0.5</v>
      </c>
      <c r="BS7" s="1239">
        <f>IF(BR7&lt;=0.15,3,IF(BR7&lt;=0.3,1.5,0))</f>
        <v>0</v>
      </c>
      <c r="BT7" s="22">
        <f t="shared" si="9"/>
        <v>0</v>
      </c>
      <c r="BU7" s="355"/>
      <c r="BV7" s="1205">
        <v>0</v>
      </c>
      <c r="BW7" s="362">
        <f>IF(BV7&lt;=0.15,3,IF(BV7&lt;=0.3,1.5,0))</f>
        <v>3</v>
      </c>
      <c r="BX7" s="1205">
        <f>ROUND(BX8,0)/(ROUND(BX9,0)+ROUND(BX10,0))</f>
        <v>0</v>
      </c>
      <c r="BY7" s="1239">
        <f>IF(BX7&lt;=0.15,3,IF(BX7&lt;=0.3,1.5,0))</f>
        <v>3</v>
      </c>
      <c r="BZ7" s="22">
        <f t="shared" si="10"/>
        <v>0</v>
      </c>
      <c r="CA7" s="367"/>
    </row>
    <row r="8" spans="1:79" s="356" customFormat="1">
      <c r="A8" s="1678"/>
      <c r="B8" s="1681"/>
      <c r="C8" s="386">
        <v>2.1</v>
      </c>
      <c r="D8" s="387" t="s">
        <v>2070</v>
      </c>
      <c r="E8" s="380" t="s">
        <v>1115</v>
      </c>
      <c r="F8" s="388"/>
      <c r="G8" s="388"/>
      <c r="H8" s="386"/>
      <c r="I8" s="388"/>
      <c r="J8" s="679">
        <f t="shared" si="11"/>
        <v>0.6</v>
      </c>
      <c r="K8" s="389"/>
      <c r="L8" s="679">
        <f t="shared" si="12"/>
        <v>0.5</v>
      </c>
      <c r="M8" s="389"/>
      <c r="N8" s="390">
        <f t="shared" si="13"/>
        <v>0</v>
      </c>
      <c r="O8" s="362">
        <f t="shared" si="0"/>
        <v>0</v>
      </c>
      <c r="P8" s="354">
        <f t="shared" si="14"/>
        <v>0</v>
      </c>
      <c r="Q8" s="354">
        <f t="shared" si="15"/>
        <v>0</v>
      </c>
      <c r="R8" s="354">
        <f t="shared" si="16"/>
        <v>0</v>
      </c>
      <c r="S8" s="355"/>
      <c r="T8" s="342">
        <v>0</v>
      </c>
      <c r="U8" s="361"/>
      <c r="V8" s="342">
        <v>0</v>
      </c>
      <c r="W8" s="1238"/>
      <c r="X8" s="22">
        <f t="shared" si="1"/>
        <v>0</v>
      </c>
      <c r="Y8" s="355"/>
      <c r="Z8" s="342">
        <v>1</v>
      </c>
      <c r="AA8" s="361"/>
      <c r="AB8" s="342">
        <v>0</v>
      </c>
      <c r="AC8" s="1238"/>
      <c r="AD8" s="22">
        <f t="shared" si="2"/>
        <v>-1</v>
      </c>
      <c r="AE8" s="355"/>
      <c r="AF8" s="342">
        <v>0</v>
      </c>
      <c r="AG8" s="361"/>
      <c r="AH8" s="342">
        <v>0</v>
      </c>
      <c r="AI8" s="1238"/>
      <c r="AJ8" s="22">
        <f t="shared" si="3"/>
        <v>0</v>
      </c>
      <c r="AK8" s="355"/>
      <c r="AL8" s="342">
        <v>0</v>
      </c>
      <c r="AM8" s="361"/>
      <c r="AN8" s="342">
        <v>0</v>
      </c>
      <c r="AO8" s="1238"/>
      <c r="AP8" s="22">
        <f t="shared" si="4"/>
        <v>0</v>
      </c>
      <c r="AQ8" s="355"/>
      <c r="AR8" s="342">
        <v>2</v>
      </c>
      <c r="AS8" s="361"/>
      <c r="AT8" s="342">
        <v>2</v>
      </c>
      <c r="AU8" s="1238"/>
      <c r="AV8" s="22">
        <f t="shared" si="5"/>
        <v>0</v>
      </c>
      <c r="AW8" s="355"/>
      <c r="AX8" s="342">
        <v>1</v>
      </c>
      <c r="AY8" s="361"/>
      <c r="AZ8" s="342">
        <v>1</v>
      </c>
      <c r="BA8" s="1238"/>
      <c r="BB8" s="22">
        <f t="shared" si="6"/>
        <v>0</v>
      </c>
      <c r="BC8" s="355"/>
      <c r="BD8" s="342">
        <v>1</v>
      </c>
      <c r="BE8" s="361"/>
      <c r="BF8" s="342">
        <v>0</v>
      </c>
      <c r="BG8" s="1238"/>
      <c r="BH8" s="22">
        <f t="shared" si="7"/>
        <v>-1</v>
      </c>
      <c r="BI8" s="355"/>
      <c r="BJ8" s="342">
        <v>0</v>
      </c>
      <c r="BK8" s="361"/>
      <c r="BL8" s="342">
        <v>0</v>
      </c>
      <c r="BM8" s="1238"/>
      <c r="BN8" s="22">
        <f t="shared" si="8"/>
        <v>0</v>
      </c>
      <c r="BO8" s="355"/>
      <c r="BP8" s="342">
        <v>1</v>
      </c>
      <c r="BQ8" s="361"/>
      <c r="BR8" s="342">
        <v>2</v>
      </c>
      <c r="BS8" s="1238"/>
      <c r="BT8" s="22">
        <f t="shared" si="9"/>
        <v>1</v>
      </c>
      <c r="BU8" s="355"/>
      <c r="BV8" s="342">
        <v>0</v>
      </c>
      <c r="BW8" s="361"/>
      <c r="BX8" s="342">
        <v>0</v>
      </c>
      <c r="BY8" s="1238"/>
      <c r="BZ8" s="22">
        <f t="shared" si="10"/>
        <v>0</v>
      </c>
      <c r="CA8" s="367"/>
    </row>
    <row r="9" spans="1:79" s="356" customFormat="1">
      <c r="A9" s="1678"/>
      <c r="B9" s="1681"/>
      <c r="C9" s="386">
        <v>2.2000000000000002</v>
      </c>
      <c r="D9" s="387" t="s">
        <v>2150</v>
      </c>
      <c r="E9" s="380" t="s">
        <v>1115</v>
      </c>
      <c r="F9" s="388"/>
      <c r="G9" s="388"/>
      <c r="H9" s="386"/>
      <c r="I9" s="388"/>
      <c r="J9" s="679">
        <f t="shared" si="11"/>
        <v>1.3</v>
      </c>
      <c r="K9" s="389"/>
      <c r="L9" s="679">
        <f t="shared" si="12"/>
        <v>2.4</v>
      </c>
      <c r="M9" s="389"/>
      <c r="N9" s="390">
        <f t="shared" si="13"/>
        <v>0</v>
      </c>
      <c r="O9" s="362">
        <f t="shared" si="0"/>
        <v>0</v>
      </c>
      <c r="P9" s="354">
        <f t="shared" si="14"/>
        <v>0</v>
      </c>
      <c r="Q9" s="354">
        <f t="shared" si="15"/>
        <v>0</v>
      </c>
      <c r="R9" s="354">
        <f t="shared" si="16"/>
        <v>0</v>
      </c>
      <c r="S9" s="355"/>
      <c r="T9" s="342">
        <v>1</v>
      </c>
      <c r="U9" s="361"/>
      <c r="V9" s="342">
        <v>2</v>
      </c>
      <c r="W9" s="1238"/>
      <c r="X9" s="22">
        <f t="shared" si="1"/>
        <v>1</v>
      </c>
      <c r="Y9" s="355"/>
      <c r="Z9" s="342">
        <v>2</v>
      </c>
      <c r="AA9" s="361"/>
      <c r="AB9" s="342">
        <v>3</v>
      </c>
      <c r="AC9" s="1238"/>
      <c r="AD9" s="22">
        <f t="shared" si="2"/>
        <v>0.5</v>
      </c>
      <c r="AE9" s="355"/>
      <c r="AF9" s="342">
        <v>2</v>
      </c>
      <c r="AG9" s="361"/>
      <c r="AH9" s="342">
        <v>3</v>
      </c>
      <c r="AI9" s="1238"/>
      <c r="AJ9" s="22">
        <f t="shared" si="3"/>
        <v>0.5</v>
      </c>
      <c r="AK9" s="355"/>
      <c r="AL9" s="342">
        <v>1</v>
      </c>
      <c r="AM9" s="361"/>
      <c r="AN9" s="342">
        <v>2</v>
      </c>
      <c r="AO9" s="1238"/>
      <c r="AP9" s="22">
        <f t="shared" si="4"/>
        <v>1</v>
      </c>
      <c r="AQ9" s="355"/>
      <c r="AR9" s="342">
        <v>1</v>
      </c>
      <c r="AS9" s="361"/>
      <c r="AT9" s="342">
        <v>2</v>
      </c>
      <c r="AU9" s="1238"/>
      <c r="AV9" s="22">
        <f t="shared" si="5"/>
        <v>1</v>
      </c>
      <c r="AW9" s="355"/>
      <c r="AX9" s="342">
        <v>1</v>
      </c>
      <c r="AY9" s="361"/>
      <c r="AZ9" s="342">
        <v>2</v>
      </c>
      <c r="BA9" s="1238"/>
      <c r="BB9" s="22">
        <f t="shared" si="6"/>
        <v>1</v>
      </c>
      <c r="BC9" s="355"/>
      <c r="BD9" s="342">
        <v>1</v>
      </c>
      <c r="BE9" s="361"/>
      <c r="BF9" s="342">
        <v>2</v>
      </c>
      <c r="BG9" s="1238"/>
      <c r="BH9" s="22">
        <f t="shared" si="7"/>
        <v>1</v>
      </c>
      <c r="BI9" s="355"/>
      <c r="BJ9" s="342">
        <v>2</v>
      </c>
      <c r="BK9" s="361"/>
      <c r="BL9" s="342">
        <v>4</v>
      </c>
      <c r="BM9" s="1238"/>
      <c r="BN9" s="22">
        <f t="shared" si="8"/>
        <v>1</v>
      </c>
      <c r="BO9" s="355"/>
      <c r="BP9" s="342">
        <v>1</v>
      </c>
      <c r="BQ9" s="361"/>
      <c r="BR9" s="342">
        <v>2</v>
      </c>
      <c r="BS9" s="1238"/>
      <c r="BT9" s="22">
        <f t="shared" si="9"/>
        <v>1</v>
      </c>
      <c r="BU9" s="355"/>
      <c r="BV9" s="342">
        <v>1</v>
      </c>
      <c r="BW9" s="361"/>
      <c r="BX9" s="342">
        <v>2</v>
      </c>
      <c r="BY9" s="1238"/>
      <c r="BZ9" s="22">
        <f t="shared" si="10"/>
        <v>1</v>
      </c>
      <c r="CA9" s="367"/>
    </row>
    <row r="10" spans="1:79" s="356" customFormat="1">
      <c r="A10" s="1679"/>
      <c r="B10" s="1682"/>
      <c r="C10" s="386">
        <v>2.2999999999999998</v>
      </c>
      <c r="D10" s="387" t="s">
        <v>2071</v>
      </c>
      <c r="E10" s="380" t="s">
        <v>1115</v>
      </c>
      <c r="F10" s="388"/>
      <c r="G10" s="388"/>
      <c r="H10" s="386"/>
      <c r="I10" s="388"/>
      <c r="J10" s="679">
        <f t="shared" si="11"/>
        <v>0.7</v>
      </c>
      <c r="K10" s="389"/>
      <c r="L10" s="679">
        <f t="shared" si="12"/>
        <v>0.6</v>
      </c>
      <c r="M10" s="389"/>
      <c r="N10" s="390">
        <f t="shared" si="13"/>
        <v>0</v>
      </c>
      <c r="O10" s="362">
        <f t="shared" si="0"/>
        <v>0</v>
      </c>
      <c r="P10" s="354">
        <f t="shared" si="14"/>
        <v>0</v>
      </c>
      <c r="Q10" s="354">
        <f t="shared" si="15"/>
        <v>0</v>
      </c>
      <c r="R10" s="354">
        <f t="shared" si="16"/>
        <v>0</v>
      </c>
      <c r="S10" s="355"/>
      <c r="T10" s="342">
        <v>0</v>
      </c>
      <c r="U10" s="361"/>
      <c r="V10" s="342">
        <v>0</v>
      </c>
      <c r="W10" s="1238"/>
      <c r="X10" s="22">
        <f t="shared" si="1"/>
        <v>0</v>
      </c>
      <c r="Y10" s="355"/>
      <c r="Z10" s="342">
        <v>1</v>
      </c>
      <c r="AA10" s="361"/>
      <c r="AB10" s="342">
        <v>0</v>
      </c>
      <c r="AC10" s="1238"/>
      <c r="AD10" s="22">
        <f t="shared" si="2"/>
        <v>-1</v>
      </c>
      <c r="AE10" s="355"/>
      <c r="AF10" s="342">
        <v>0</v>
      </c>
      <c r="AG10" s="361"/>
      <c r="AH10" s="342">
        <v>0</v>
      </c>
      <c r="AI10" s="1238"/>
      <c r="AJ10" s="22">
        <f t="shared" si="3"/>
        <v>0</v>
      </c>
      <c r="AK10" s="355"/>
      <c r="AL10" s="342">
        <v>0</v>
      </c>
      <c r="AM10" s="361"/>
      <c r="AN10" s="342">
        <v>0</v>
      </c>
      <c r="AO10" s="1238"/>
      <c r="AP10" s="22">
        <f t="shared" si="4"/>
        <v>0</v>
      </c>
      <c r="AQ10" s="355"/>
      <c r="AR10" s="342">
        <v>2</v>
      </c>
      <c r="AS10" s="361"/>
      <c r="AT10" s="342">
        <v>2</v>
      </c>
      <c r="AU10" s="1238"/>
      <c r="AV10" s="22">
        <f t="shared" si="5"/>
        <v>0</v>
      </c>
      <c r="AW10" s="355"/>
      <c r="AX10" s="342">
        <v>1</v>
      </c>
      <c r="AY10" s="361"/>
      <c r="AZ10" s="342">
        <v>1</v>
      </c>
      <c r="BA10" s="1238"/>
      <c r="BB10" s="22">
        <f t="shared" si="6"/>
        <v>0</v>
      </c>
      <c r="BC10" s="355"/>
      <c r="BD10" s="342">
        <v>1</v>
      </c>
      <c r="BE10" s="361"/>
      <c r="BF10" s="342">
        <v>0</v>
      </c>
      <c r="BG10" s="1238"/>
      <c r="BH10" s="22">
        <f t="shared" si="7"/>
        <v>-1</v>
      </c>
      <c r="BI10" s="355"/>
      <c r="BJ10" s="342">
        <v>1</v>
      </c>
      <c r="BK10" s="361"/>
      <c r="BL10" s="342">
        <v>1</v>
      </c>
      <c r="BM10" s="1238"/>
      <c r="BN10" s="22">
        <f t="shared" si="8"/>
        <v>0</v>
      </c>
      <c r="BO10" s="355"/>
      <c r="BP10" s="342">
        <v>1</v>
      </c>
      <c r="BQ10" s="361"/>
      <c r="BR10" s="342">
        <v>2</v>
      </c>
      <c r="BS10" s="1238"/>
      <c r="BT10" s="22">
        <f t="shared" si="9"/>
        <v>1</v>
      </c>
      <c r="BU10" s="355"/>
      <c r="BV10" s="342">
        <v>0</v>
      </c>
      <c r="BW10" s="361"/>
      <c r="BX10" s="342">
        <v>0</v>
      </c>
      <c r="BY10" s="1238"/>
      <c r="BZ10" s="22">
        <f t="shared" si="10"/>
        <v>0</v>
      </c>
      <c r="CA10" s="367"/>
    </row>
    <row r="11" spans="1:79" s="356" customFormat="1">
      <c r="A11" s="391" t="s">
        <v>1173</v>
      </c>
      <c r="B11" s="391" t="s">
        <v>1174</v>
      </c>
      <c r="C11" s="379">
        <v>3</v>
      </c>
      <c r="D11" s="392" t="s">
        <v>1783</v>
      </c>
      <c r="E11" s="380" t="s">
        <v>1115</v>
      </c>
      <c r="F11" s="388"/>
      <c r="G11" s="388" t="s">
        <v>1105</v>
      </c>
      <c r="H11" s="386" t="s">
        <v>1168</v>
      </c>
      <c r="I11" s="381">
        <v>3</v>
      </c>
      <c r="J11" s="679">
        <f t="shared" si="11"/>
        <v>11</v>
      </c>
      <c r="K11" s="389">
        <f>AVERAGE(BW11,BQ11,BK11,BE11,AY11,AS11,AM11,AG11,AA11,U11)</f>
        <v>3</v>
      </c>
      <c r="L11" s="679">
        <f t="shared" si="12"/>
        <v>11</v>
      </c>
      <c r="M11" s="389">
        <f>AVERAGE(BY11,BS11,BM11,BG11,BA11,AU11,AO11,AI11,AC11,W11)</f>
        <v>3</v>
      </c>
      <c r="N11" s="390">
        <f t="shared" si="13"/>
        <v>0</v>
      </c>
      <c r="O11" s="362">
        <f t="shared" si="0"/>
        <v>0</v>
      </c>
      <c r="P11" s="354">
        <f t="shared" si="14"/>
        <v>0</v>
      </c>
      <c r="Q11" s="354">
        <f t="shared" si="15"/>
        <v>0</v>
      </c>
      <c r="R11" s="354">
        <f t="shared" si="16"/>
        <v>0</v>
      </c>
      <c r="S11" s="355"/>
      <c r="T11" s="342">
        <v>11</v>
      </c>
      <c r="U11" s="362">
        <f>IF(T11&gt;=3,3,IF(T11&gt;0,1.5,0))</f>
        <v>3</v>
      </c>
      <c r="V11" s="342">
        <v>11</v>
      </c>
      <c r="W11" s="1239">
        <f>IF(V11&gt;=3,3,IF(V11&gt;0,1.5,0))</f>
        <v>3</v>
      </c>
      <c r="X11" s="22">
        <f t="shared" si="1"/>
        <v>0</v>
      </c>
      <c r="Y11" s="355"/>
      <c r="Z11" s="342">
        <v>11</v>
      </c>
      <c r="AA11" s="362">
        <f>IF(Z11&gt;=3,3,IF(Z11&gt;0,1.5,0))</f>
        <v>3</v>
      </c>
      <c r="AB11" s="342">
        <v>11</v>
      </c>
      <c r="AC11" s="1239">
        <f>IF(AB11&gt;=3,3,IF(AB11&gt;0,1.5,0))</f>
        <v>3</v>
      </c>
      <c r="AD11" s="22">
        <f t="shared" si="2"/>
        <v>0</v>
      </c>
      <c r="AE11" s="355"/>
      <c r="AF11" s="342">
        <v>11</v>
      </c>
      <c r="AG11" s="362">
        <f>IF(AF11&gt;=3,3,IF(AF11&gt;0,1.5,0))</f>
        <v>3</v>
      </c>
      <c r="AH11" s="342">
        <v>11</v>
      </c>
      <c r="AI11" s="1239">
        <f>IF(AH11&gt;=3,3,IF(AH11&gt;0,1.5,0))</f>
        <v>3</v>
      </c>
      <c r="AJ11" s="22">
        <f t="shared" si="3"/>
        <v>0</v>
      </c>
      <c r="AK11" s="355"/>
      <c r="AL11" s="342">
        <v>11</v>
      </c>
      <c r="AM11" s="362">
        <f>IF(AL11&gt;=3,3,IF(AL11&gt;0,1.5,0))</f>
        <v>3</v>
      </c>
      <c r="AN11" s="342">
        <v>11</v>
      </c>
      <c r="AO11" s="1239">
        <f>IF(AN11&gt;=3,3,IF(AN11&gt;0,1.5,0))</f>
        <v>3</v>
      </c>
      <c r="AP11" s="22">
        <f t="shared" si="4"/>
        <v>0</v>
      </c>
      <c r="AQ11" s="355"/>
      <c r="AR11" s="342">
        <v>11</v>
      </c>
      <c r="AS11" s="362">
        <f>IF(AR11&gt;=3,3,IF(AR11&gt;0,1.5,0))</f>
        <v>3</v>
      </c>
      <c r="AT11" s="342">
        <v>11</v>
      </c>
      <c r="AU11" s="1239">
        <f>IF(AT11&gt;=3,3,IF(AT11&gt;0,1.5,0))</f>
        <v>3</v>
      </c>
      <c r="AV11" s="22">
        <f t="shared" si="5"/>
        <v>0</v>
      </c>
      <c r="AW11" s="355"/>
      <c r="AX11" s="342">
        <v>11</v>
      </c>
      <c r="AY11" s="362">
        <f>IF(AX11&gt;=3,3,IF(AX11&gt;0,1.5,0))</f>
        <v>3</v>
      </c>
      <c r="AZ11" s="342">
        <v>11</v>
      </c>
      <c r="BA11" s="1239">
        <f>IF(AZ11&gt;=3,3,IF(AZ11&gt;0,1.5,0))</f>
        <v>3</v>
      </c>
      <c r="BB11" s="22">
        <f t="shared" si="6"/>
        <v>0</v>
      </c>
      <c r="BC11" s="355"/>
      <c r="BD11" s="342">
        <v>11</v>
      </c>
      <c r="BE11" s="362">
        <f>IF(BD11&gt;=3,3,IF(BD11&gt;0,1.5,0))</f>
        <v>3</v>
      </c>
      <c r="BF11" s="342">
        <v>11</v>
      </c>
      <c r="BG11" s="1239">
        <f>IF(BF11&gt;=3,3,IF(BF11&gt;0,1.5,0))</f>
        <v>3</v>
      </c>
      <c r="BH11" s="22">
        <f t="shared" si="7"/>
        <v>0</v>
      </c>
      <c r="BI11" s="355"/>
      <c r="BJ11" s="342">
        <v>11</v>
      </c>
      <c r="BK11" s="362">
        <f>IF(BJ11&gt;=3,3,IF(BJ11&gt;0,1.5,0))</f>
        <v>3</v>
      </c>
      <c r="BL11" s="342">
        <v>11</v>
      </c>
      <c r="BM11" s="1239">
        <f>IF(BL11&gt;=3,3,IF(BL11&gt;0,1.5,0))</f>
        <v>3</v>
      </c>
      <c r="BN11" s="22">
        <f t="shared" si="8"/>
        <v>0</v>
      </c>
      <c r="BO11" s="355"/>
      <c r="BP11" s="342">
        <v>11</v>
      </c>
      <c r="BQ11" s="362">
        <f>IF(BP11&gt;=3,3,IF(BP11&gt;0,1.5,0))</f>
        <v>3</v>
      </c>
      <c r="BR11" s="342">
        <v>11</v>
      </c>
      <c r="BS11" s="1239">
        <f>IF(BR11&gt;=3,3,IF(BR11&gt;0,1.5,0))</f>
        <v>3</v>
      </c>
      <c r="BT11" s="22">
        <f t="shared" si="9"/>
        <v>0</v>
      </c>
      <c r="BU11" s="355"/>
      <c r="BV11" s="342">
        <v>11</v>
      </c>
      <c r="BW11" s="362">
        <f>IF(BV11&gt;=3,3,IF(BV11&gt;0,1.5,0))</f>
        <v>3</v>
      </c>
      <c r="BX11" s="342">
        <v>11</v>
      </c>
      <c r="BY11" s="1239">
        <f>IF(BX11&gt;=3,3,IF(BX11&gt;0,1.5,0))</f>
        <v>3</v>
      </c>
      <c r="BZ11" s="22">
        <f t="shared" si="10"/>
        <v>0</v>
      </c>
      <c r="CA11" s="367"/>
    </row>
    <row r="12" spans="1:79" s="356" customFormat="1">
      <c r="A12" s="393" t="s">
        <v>1175</v>
      </c>
      <c r="B12" s="393" t="s">
        <v>1176</v>
      </c>
      <c r="C12" s="379">
        <v>4</v>
      </c>
      <c r="D12" s="392" t="s">
        <v>117</v>
      </c>
      <c r="E12" s="380" t="s">
        <v>449</v>
      </c>
      <c r="F12" s="388"/>
      <c r="G12" s="388" t="s">
        <v>396</v>
      </c>
      <c r="H12" s="386" t="s">
        <v>1168</v>
      </c>
      <c r="I12" s="381">
        <v>4</v>
      </c>
      <c r="J12" s="1287" t="s">
        <v>1177</v>
      </c>
      <c r="K12" s="389">
        <f>AVERAGE(BW12,BQ12,BK12,BE12,AY12,AS12,AM12,AG12,AA12,U12)</f>
        <v>4</v>
      </c>
      <c r="L12" s="1287" t="s">
        <v>1177</v>
      </c>
      <c r="M12" s="389">
        <f>AVERAGE(BY12,BS12,BM12,BG12,BA12,AU12,AO12,AI12,AC12,W12)</f>
        <v>4</v>
      </c>
      <c r="N12" s="390">
        <f t="shared" si="13"/>
        <v>0</v>
      </c>
      <c r="O12" s="362">
        <f t="shared" si="0"/>
        <v>0</v>
      </c>
      <c r="P12" s="354">
        <f t="shared" si="14"/>
        <v>0</v>
      </c>
      <c r="Q12" s="354">
        <f t="shared" si="15"/>
        <v>0</v>
      </c>
      <c r="R12" s="354">
        <f t="shared" si="16"/>
        <v>0</v>
      </c>
      <c r="S12" s="355"/>
      <c r="T12" s="342" t="s">
        <v>1177</v>
      </c>
      <c r="U12" s="362">
        <v>4</v>
      </c>
      <c r="V12" s="342" t="s">
        <v>1177</v>
      </c>
      <c r="W12" s="1239">
        <v>4</v>
      </c>
      <c r="X12" s="22">
        <f>IF((V12=T12)=TRUE,0,1)</f>
        <v>0</v>
      </c>
      <c r="Y12" s="355"/>
      <c r="Z12" s="342" t="s">
        <v>1177</v>
      </c>
      <c r="AA12" s="362">
        <v>4</v>
      </c>
      <c r="AB12" s="342" t="s">
        <v>1177</v>
      </c>
      <c r="AC12" s="1239">
        <v>4</v>
      </c>
      <c r="AD12" s="22">
        <f>IF((AB12=Z12)=TRUE,0,1)</f>
        <v>0</v>
      </c>
      <c r="AE12" s="355"/>
      <c r="AF12" s="342" t="s">
        <v>1177</v>
      </c>
      <c r="AG12" s="362">
        <v>4</v>
      </c>
      <c r="AH12" s="342" t="s">
        <v>1177</v>
      </c>
      <c r="AI12" s="1239">
        <v>4</v>
      </c>
      <c r="AJ12" s="22">
        <f>IF((AH12=AF12)=TRUE,0,1)</f>
        <v>0</v>
      </c>
      <c r="AK12" s="355"/>
      <c r="AL12" s="342" t="s">
        <v>1177</v>
      </c>
      <c r="AM12" s="362">
        <v>4</v>
      </c>
      <c r="AN12" s="342" t="s">
        <v>1177</v>
      </c>
      <c r="AO12" s="1239">
        <v>4</v>
      </c>
      <c r="AP12" s="22">
        <f>IF((AN12=AL12)=TRUE,0,1)</f>
        <v>0</v>
      </c>
      <c r="AQ12" s="355"/>
      <c r="AR12" s="342" t="s">
        <v>1177</v>
      </c>
      <c r="AS12" s="362">
        <v>4</v>
      </c>
      <c r="AT12" s="342" t="s">
        <v>1177</v>
      </c>
      <c r="AU12" s="1239">
        <v>4</v>
      </c>
      <c r="AV12" s="22">
        <f>IF((AT12=AR12)=TRUE,0,1)</f>
        <v>0</v>
      </c>
      <c r="AW12" s="355"/>
      <c r="AX12" s="342" t="s">
        <v>1177</v>
      </c>
      <c r="AY12" s="362">
        <v>4</v>
      </c>
      <c r="AZ12" s="342" t="s">
        <v>1177</v>
      </c>
      <c r="BA12" s="1239">
        <v>4</v>
      </c>
      <c r="BB12" s="22">
        <f>IF((AZ12=AX12)=TRUE,0,1)</f>
        <v>0</v>
      </c>
      <c r="BC12" s="355"/>
      <c r="BD12" s="342" t="s">
        <v>1177</v>
      </c>
      <c r="BE12" s="362">
        <v>4</v>
      </c>
      <c r="BF12" s="342" t="s">
        <v>1177</v>
      </c>
      <c r="BG12" s="1239">
        <v>4</v>
      </c>
      <c r="BH12" s="22">
        <f>IF((BF12=BD12)=TRUE,0,1)</f>
        <v>0</v>
      </c>
      <c r="BI12" s="355"/>
      <c r="BJ12" s="342" t="s">
        <v>1177</v>
      </c>
      <c r="BK12" s="362">
        <v>4</v>
      </c>
      <c r="BL12" s="342" t="s">
        <v>1177</v>
      </c>
      <c r="BM12" s="1239">
        <v>4</v>
      </c>
      <c r="BN12" s="22">
        <f>IF((BL12=BJ12)=TRUE,0,1)</f>
        <v>0</v>
      </c>
      <c r="BO12" s="355"/>
      <c r="BP12" s="342" t="s">
        <v>1177</v>
      </c>
      <c r="BQ12" s="362">
        <v>4</v>
      </c>
      <c r="BR12" s="342" t="s">
        <v>1177</v>
      </c>
      <c r="BS12" s="1239">
        <v>4</v>
      </c>
      <c r="BT12" s="22">
        <f>IF((BR12=BP12)=TRUE,0,1)</f>
        <v>0</v>
      </c>
      <c r="BU12" s="355"/>
      <c r="BV12" s="342" t="s">
        <v>1177</v>
      </c>
      <c r="BW12" s="362">
        <v>4</v>
      </c>
      <c r="BX12" s="342" t="s">
        <v>1177</v>
      </c>
      <c r="BY12" s="1239">
        <v>4</v>
      </c>
      <c r="BZ12" s="22">
        <f>IF((BX12=BV12)=TRUE,0,1)</f>
        <v>0</v>
      </c>
      <c r="CA12" s="367"/>
    </row>
    <row r="13" spans="1:79" s="356" customFormat="1">
      <c r="A13" s="1677" t="s">
        <v>1179</v>
      </c>
      <c r="B13" s="1680" t="s">
        <v>1180</v>
      </c>
      <c r="C13" s="379">
        <v>5</v>
      </c>
      <c r="D13" s="392" t="s">
        <v>1178</v>
      </c>
      <c r="E13" s="380"/>
      <c r="F13" s="388"/>
      <c r="G13" s="388" t="s">
        <v>1150</v>
      </c>
      <c r="H13" s="386" t="s">
        <v>1168</v>
      </c>
      <c r="I13" s="381">
        <v>6</v>
      </c>
      <c r="J13" s="679">
        <f t="shared" ref="J13:J35" si="17">AVERAGE(BV13,BP13,BJ13,BD13,AX13,AR13,AL13,AF13,Z13,T13)</f>
        <v>0.1791650602775941</v>
      </c>
      <c r="K13" s="389">
        <f>AVERAGE(BW13,BQ13,BK13,BE13,AY13,AS13,AM13,AG13,AA13,U13)</f>
        <v>6</v>
      </c>
      <c r="L13" s="679">
        <f t="shared" ref="L13:L35" si="18">AVERAGE(BX13,BR13,BL13,BF13,AZ13,AT13,AN13,AH13,AB13,V13)</f>
        <v>0.14092463171884381</v>
      </c>
      <c r="M13" s="389">
        <f>AVERAGE(BY13,BS13,BM13,BG13,BA13,AU13,AO13,AI13,AC13,W13)</f>
        <v>6</v>
      </c>
      <c r="N13" s="390">
        <f t="shared" si="13"/>
        <v>0</v>
      </c>
      <c r="O13" s="362">
        <f t="shared" si="0"/>
        <v>0</v>
      </c>
      <c r="P13" s="354">
        <f t="shared" si="14"/>
        <v>0</v>
      </c>
      <c r="Q13" s="354">
        <f t="shared" si="15"/>
        <v>0</v>
      </c>
      <c r="R13" s="354">
        <f t="shared" si="16"/>
        <v>0</v>
      </c>
      <c r="S13" s="355"/>
      <c r="T13" s="1206">
        <v>0.13043478260869565</v>
      </c>
      <c r="U13" s="360">
        <f>IF(T13&lt;=10,6,IF(T13&lt;=15,2,0))</f>
        <v>6</v>
      </c>
      <c r="V13" s="1206">
        <f>ROUND(V14,0)/ROUND(V15,0)</f>
        <v>0.10344827586206896</v>
      </c>
      <c r="W13" s="1237">
        <f>IF(V13&lt;=10,6,IF(V13&lt;=15,2,0))</f>
        <v>6</v>
      </c>
      <c r="X13" s="22">
        <f t="shared" ref="X13:X35" si="19">IF(AND(T13=0,V13&lt;&gt;0),1,IF(AND(T13=0,V13=0),0,V13/T13-1))</f>
        <v>-0.2068965517241379</v>
      </c>
      <c r="Y13" s="355"/>
      <c r="Z13" s="1206">
        <v>0.12982456140350876</v>
      </c>
      <c r="AA13" s="360">
        <f>IF(Z13&lt;=10,6,IF(Z13&lt;=15,2,0))</f>
        <v>6</v>
      </c>
      <c r="AB13" s="1206">
        <f>ROUND(AB14,0)/ROUND(AB15,0)</f>
        <v>0.16338028169014085</v>
      </c>
      <c r="AC13" s="1237">
        <f>IF(AB13&lt;=10,6,IF(AB13&lt;=15,2,0))</f>
        <v>6</v>
      </c>
      <c r="AD13" s="22">
        <f t="shared" ref="AD13:AD35" si="20">IF(AND(Z13=0,AB13&lt;&gt;0),1,IF(AND(Z13=0,AB13=0),0,AB13/Z13-1))</f>
        <v>0.25846973734297696</v>
      </c>
      <c r="AE13" s="355"/>
      <c r="AF13" s="342">
        <v>0.12753036437246965</v>
      </c>
      <c r="AG13" s="360">
        <f>IF(AF13&lt;=10,6,IF(AF13&lt;=15,2,0))</f>
        <v>6</v>
      </c>
      <c r="AH13" s="1206">
        <f>ROUND(AH14,0)/ROUND(AH15,0)</f>
        <v>0.13286713286713286</v>
      </c>
      <c r="AI13" s="1237">
        <f>IF(AH13&lt;=10,6,IF(AH13&lt;=15,2,0))</f>
        <v>6</v>
      </c>
      <c r="AJ13" s="22">
        <f t="shared" ref="AJ13:AJ35" si="21">IF(AND(AF13=0,AH13&lt;&gt;0),1,IF(AND(AF13=0,AH13=0),0,AH13/AF13-1))</f>
        <v>4.1847041847041799E-2</v>
      </c>
      <c r="AK13" s="355"/>
      <c r="AL13" s="1206">
        <v>0.11290322580645161</v>
      </c>
      <c r="AM13" s="360">
        <f>IF(AL13&lt;=10,6,IF(AL13&lt;=15,2,0))</f>
        <v>6</v>
      </c>
      <c r="AN13" s="1206">
        <f>ROUND(AN14,0)/ROUND(AN15,0)</f>
        <v>0.10169491525423729</v>
      </c>
      <c r="AO13" s="1237">
        <f>IF(AN13&lt;=10,6,IF(AN13&lt;=15,2,0))</f>
        <v>6</v>
      </c>
      <c r="AP13" s="22">
        <f t="shared" ref="AP13:AP35" si="22">IF(AND(AL13=0,AN13&lt;&gt;0),1,IF(AND(AL13=0,AN13=0),0,AN13/AL13-1))</f>
        <v>-9.9273607748183945E-2</v>
      </c>
      <c r="AQ13" s="355"/>
      <c r="AR13" s="1206">
        <v>0.17770034843205576</v>
      </c>
      <c r="AS13" s="360">
        <f>IF(AR13&lt;=10,6,IF(AR13&lt;=15,2,0))</f>
        <v>6</v>
      </c>
      <c r="AT13" s="1206">
        <f>ROUND(AT14,0)/ROUND(AT15,0)</f>
        <v>0.13603473227206947</v>
      </c>
      <c r="AU13" s="1237">
        <f>IF(AT13&lt;=10,6,IF(AT13&lt;=15,2,0))</f>
        <v>6</v>
      </c>
      <c r="AV13" s="22">
        <f t="shared" ref="AV13:AV35" si="23">IF(AND(AR13=0,AT13&lt;&gt;0),1,IF(AND(AR13=0,AT13=0),0,AT13/AR13-1))</f>
        <v>-0.23447121250815817</v>
      </c>
      <c r="AW13" s="355"/>
      <c r="AX13" s="1206">
        <v>0.11719745222929936</v>
      </c>
      <c r="AY13" s="360">
        <f>IF(AX13&lt;=10,6,IF(AX13&lt;=15,2,0))</f>
        <v>6</v>
      </c>
      <c r="AZ13" s="1206">
        <f>ROUND(AZ14,0)/ROUND(AZ15,0)</f>
        <v>0.13829787234042554</v>
      </c>
      <c r="BA13" s="1237">
        <f>IF(AZ13&lt;=10,6,IF(AZ13&lt;=15,2,0))</f>
        <v>6</v>
      </c>
      <c r="BB13" s="22">
        <f t="shared" ref="BB13:BB35" si="24">IF(AND(AX13=0,AZ13&lt;&gt;0),1,IF(AND(AX13=0,AZ13=0),0,AZ13/AX13-1))</f>
        <v>0.18004162812210911</v>
      </c>
      <c r="BC13" s="355"/>
      <c r="BD13" s="1206">
        <v>0.11940298507462686</v>
      </c>
      <c r="BE13" s="360">
        <f>IF(BD13&lt;=10,6,IF(BD13&lt;=15,2,0))</f>
        <v>6</v>
      </c>
      <c r="BF13" s="1206">
        <f>ROUND(BF14,0)/ROUND(BF15,0)</f>
        <v>0.16867469879518071</v>
      </c>
      <c r="BG13" s="1237">
        <f>IF(BF13&lt;=10,6,IF(BF13&lt;=15,2,0))</f>
        <v>6</v>
      </c>
      <c r="BH13" s="22">
        <f t="shared" ref="BH13:BH35" si="25">IF(AND(BD13=0,BF13&lt;&gt;0),1,IF(AND(BD13=0,BF13=0),0,BF13/BD13-1))</f>
        <v>0.41265060240963858</v>
      </c>
      <c r="BI13" s="355"/>
      <c r="BJ13" s="1206">
        <v>0.13716108452950559</v>
      </c>
      <c r="BK13" s="360">
        <f>IF(BJ13&lt;=10,6,IF(BJ13&lt;=15,2,0))</f>
        <v>6</v>
      </c>
      <c r="BL13" s="1206">
        <f>ROUND(BL14,0)/ROUND(BL15,0)</f>
        <v>0.1476293103448276</v>
      </c>
      <c r="BM13" s="1237">
        <f>IF(BL13&lt;=10,6,IF(BL13&lt;=15,2,0))</f>
        <v>6</v>
      </c>
      <c r="BN13" s="22">
        <f t="shared" ref="BN13:BN35" si="26">IF(AND(BJ13=0,BL13&lt;&gt;0),1,IF(AND(BJ13=0,BL13=0),0,BL13/BJ13-1))</f>
        <v>7.6320669607056857E-2</v>
      </c>
      <c r="BO13" s="355"/>
      <c r="BP13" s="1206">
        <v>0.42857142857142855</v>
      </c>
      <c r="BQ13" s="360">
        <f>IF(BP13&lt;=10,6,IF(BP13&lt;=15,2,0))</f>
        <v>6</v>
      </c>
      <c r="BR13" s="1206">
        <f>ROUND(BR14,0)/ROUND(BR15,0)</f>
        <v>0.16393442622950818</v>
      </c>
      <c r="BS13" s="1237">
        <f>IF(BR13&lt;=10,6,IF(BR13&lt;=15,2,0))</f>
        <v>6</v>
      </c>
      <c r="BT13" s="22">
        <f t="shared" ref="BT13:BT35" si="27">IF(AND(BP13=0,BR13&lt;&gt;0),1,IF(AND(BP13=0,BR13=0),0,BR13/BP13-1))</f>
        <v>-0.61748633879781423</v>
      </c>
      <c r="BU13" s="355"/>
      <c r="BV13" s="1206">
        <v>0.31092436974789917</v>
      </c>
      <c r="BW13" s="360">
        <f>IF(BV13&lt;=10,6,IF(BV13&lt;=15,2,0))</f>
        <v>6</v>
      </c>
      <c r="BX13" s="1206">
        <f>ROUND(BX14,0)/ROUND(BX15,0)</f>
        <v>0.15328467153284672</v>
      </c>
      <c r="BY13" s="1237">
        <f>IF(BX13&lt;=10,6,IF(BX13&lt;=15,2,0))</f>
        <v>6</v>
      </c>
      <c r="BZ13" s="22">
        <f t="shared" ref="BZ13:BZ35" si="28">IF(AND(BV13=0,BX13&lt;&gt;0),1,IF(AND(BV13=0,BX13=0),0,BX13/BV13-1))</f>
        <v>-0.50700335371868221</v>
      </c>
      <c r="CA13" s="367"/>
    </row>
    <row r="14" spans="1:79" s="356" customFormat="1">
      <c r="A14" s="1678"/>
      <c r="B14" s="1681"/>
      <c r="C14" s="386">
        <v>5.0999999999999996</v>
      </c>
      <c r="D14" s="387" t="s">
        <v>2135</v>
      </c>
      <c r="E14" s="380" t="s">
        <v>1115</v>
      </c>
      <c r="F14" s="394" t="s">
        <v>1181</v>
      </c>
      <c r="G14" s="388"/>
      <c r="H14" s="386"/>
      <c r="I14" s="388"/>
      <c r="J14" s="679">
        <f t="shared" si="17"/>
        <v>46.083999999999996</v>
      </c>
      <c r="K14" s="389"/>
      <c r="L14" s="679">
        <f t="shared" si="18"/>
        <v>53.618000000000009</v>
      </c>
      <c r="M14" s="389"/>
      <c r="N14" s="390">
        <f t="shared" si="13"/>
        <v>0</v>
      </c>
      <c r="O14" s="362">
        <f t="shared" si="0"/>
        <v>0</v>
      </c>
      <c r="P14" s="354">
        <f t="shared" si="14"/>
        <v>0</v>
      </c>
      <c r="Q14" s="354">
        <f t="shared" si="15"/>
        <v>0</v>
      </c>
      <c r="R14" s="354">
        <f t="shared" si="16"/>
        <v>0</v>
      </c>
      <c r="S14" s="355"/>
      <c r="T14" s="342">
        <v>3.31</v>
      </c>
      <c r="U14" s="361"/>
      <c r="V14" s="342">
        <v>3.19</v>
      </c>
      <c r="W14" s="1238"/>
      <c r="X14" s="22">
        <f t="shared" si="19"/>
        <v>-3.6253776435045348E-2</v>
      </c>
      <c r="Y14" s="355"/>
      <c r="Z14" s="342">
        <v>37.49</v>
      </c>
      <c r="AA14" s="361"/>
      <c r="AB14" s="342">
        <v>58.37</v>
      </c>
      <c r="AC14" s="1238"/>
      <c r="AD14" s="22">
        <f t="shared" si="20"/>
        <v>0.55694851960522795</v>
      </c>
      <c r="AE14" s="355"/>
      <c r="AF14" s="342">
        <v>63.32</v>
      </c>
      <c r="AG14" s="361"/>
      <c r="AH14" s="342">
        <v>76.09</v>
      </c>
      <c r="AI14" s="1238"/>
      <c r="AJ14" s="22">
        <f t="shared" si="21"/>
        <v>0.20167403663929262</v>
      </c>
      <c r="AK14" s="355"/>
      <c r="AL14" s="342">
        <v>6.8</v>
      </c>
      <c r="AM14" s="361"/>
      <c r="AN14" s="342">
        <v>6.19</v>
      </c>
      <c r="AO14" s="1238"/>
      <c r="AP14" s="22">
        <f t="shared" si="22"/>
        <v>-8.970588235294108E-2</v>
      </c>
      <c r="AQ14" s="355"/>
      <c r="AR14" s="342">
        <v>102.4</v>
      </c>
      <c r="AS14" s="361"/>
      <c r="AT14" s="342">
        <v>94.34</v>
      </c>
      <c r="AU14" s="1238"/>
      <c r="AV14" s="22">
        <f t="shared" si="23"/>
        <v>-7.8710937500000022E-2</v>
      </c>
      <c r="AW14" s="355"/>
      <c r="AX14" s="342">
        <v>92.27</v>
      </c>
      <c r="AY14" s="361"/>
      <c r="AZ14" s="342">
        <v>116.62</v>
      </c>
      <c r="BA14" s="1238"/>
      <c r="BB14" s="22">
        <f t="shared" si="24"/>
        <v>0.26389942559878632</v>
      </c>
      <c r="BC14" s="355"/>
      <c r="BD14" s="342">
        <v>7.73</v>
      </c>
      <c r="BE14" s="361"/>
      <c r="BF14" s="342">
        <v>13.64</v>
      </c>
      <c r="BG14" s="1238"/>
      <c r="BH14" s="22">
        <f t="shared" si="25"/>
        <v>0.76455368693402326</v>
      </c>
      <c r="BI14" s="355"/>
      <c r="BJ14" s="342">
        <v>85.82</v>
      </c>
      <c r="BK14" s="361"/>
      <c r="BL14" s="342">
        <v>136.59</v>
      </c>
      <c r="BM14" s="1238"/>
      <c r="BN14" s="22">
        <f t="shared" si="26"/>
        <v>0.5915870426474017</v>
      </c>
      <c r="BO14" s="355"/>
      <c r="BP14" s="342">
        <v>24.42</v>
      </c>
      <c r="BQ14" s="361"/>
      <c r="BR14" s="342">
        <v>10.15</v>
      </c>
      <c r="BS14" s="1238"/>
      <c r="BT14" s="22">
        <f t="shared" si="27"/>
        <v>-0.58435708435708444</v>
      </c>
      <c r="BU14" s="355"/>
      <c r="BV14" s="342">
        <v>37.28</v>
      </c>
      <c r="BW14" s="361"/>
      <c r="BX14" s="342">
        <v>21</v>
      </c>
      <c r="BY14" s="1238"/>
      <c r="BZ14" s="22">
        <f t="shared" si="28"/>
        <v>-0.43669527896995708</v>
      </c>
      <c r="CA14" s="367"/>
    </row>
    <row r="15" spans="1:79" s="356" customFormat="1">
      <c r="A15" s="1679"/>
      <c r="B15" s="1682"/>
      <c r="C15" s="342">
        <v>5.2</v>
      </c>
      <c r="D15" s="387" t="s">
        <v>2136</v>
      </c>
      <c r="E15" s="380" t="s">
        <v>1115</v>
      </c>
      <c r="F15" s="394" t="s">
        <v>1181</v>
      </c>
      <c r="G15" s="388"/>
      <c r="H15" s="386"/>
      <c r="I15" s="388"/>
      <c r="J15" s="679">
        <f t="shared" si="17"/>
        <v>309.2</v>
      </c>
      <c r="K15" s="389"/>
      <c r="L15" s="679">
        <f t="shared" si="18"/>
        <v>376.1</v>
      </c>
      <c r="M15" s="389"/>
      <c r="N15" s="390">
        <f t="shared" si="13"/>
        <v>0</v>
      </c>
      <c r="O15" s="362">
        <f t="shared" si="0"/>
        <v>0</v>
      </c>
      <c r="P15" s="354">
        <f t="shared" si="14"/>
        <v>0</v>
      </c>
      <c r="Q15" s="354">
        <f t="shared" si="15"/>
        <v>0</v>
      </c>
      <c r="R15" s="354">
        <f t="shared" si="16"/>
        <v>0</v>
      </c>
      <c r="S15" s="355"/>
      <c r="T15" s="342">
        <v>23</v>
      </c>
      <c r="U15" s="361"/>
      <c r="V15" s="342">
        <v>29</v>
      </c>
      <c r="W15" s="1238"/>
      <c r="X15" s="22">
        <f t="shared" si="19"/>
        <v>0.26086956521739135</v>
      </c>
      <c r="Y15" s="355"/>
      <c r="Z15" s="342">
        <v>285</v>
      </c>
      <c r="AA15" s="361"/>
      <c r="AB15" s="342">
        <v>355</v>
      </c>
      <c r="AC15" s="1238"/>
      <c r="AD15" s="22">
        <f t="shared" si="20"/>
        <v>0.2456140350877194</v>
      </c>
      <c r="AE15" s="355"/>
      <c r="AF15" s="342">
        <v>494</v>
      </c>
      <c r="AG15" s="361"/>
      <c r="AH15" s="342">
        <v>572</v>
      </c>
      <c r="AI15" s="1238"/>
      <c r="AJ15" s="22">
        <f t="shared" si="21"/>
        <v>0.15789473684210531</v>
      </c>
      <c r="AK15" s="355"/>
      <c r="AL15" s="342">
        <v>62</v>
      </c>
      <c r="AM15" s="361"/>
      <c r="AN15" s="342">
        <v>59</v>
      </c>
      <c r="AO15" s="1238"/>
      <c r="AP15" s="22">
        <f t="shared" si="22"/>
        <v>-4.8387096774193505E-2</v>
      </c>
      <c r="AQ15" s="355"/>
      <c r="AR15" s="342">
        <v>574</v>
      </c>
      <c r="AS15" s="361"/>
      <c r="AT15" s="342">
        <v>691</v>
      </c>
      <c r="AU15" s="1238"/>
      <c r="AV15" s="22">
        <f t="shared" si="23"/>
        <v>0.20383275261324041</v>
      </c>
      <c r="AW15" s="355"/>
      <c r="AX15" s="342">
        <v>785</v>
      </c>
      <c r="AY15" s="361"/>
      <c r="AZ15" s="342">
        <v>846</v>
      </c>
      <c r="BA15" s="1238"/>
      <c r="BB15" s="22">
        <f t="shared" si="24"/>
        <v>7.7707006369426734E-2</v>
      </c>
      <c r="BC15" s="355"/>
      <c r="BD15" s="342">
        <v>67</v>
      </c>
      <c r="BE15" s="361"/>
      <c r="BF15" s="342">
        <v>83</v>
      </c>
      <c r="BG15" s="1238"/>
      <c r="BH15" s="22">
        <f t="shared" si="25"/>
        <v>0.23880597014925375</v>
      </c>
      <c r="BI15" s="355"/>
      <c r="BJ15" s="342">
        <v>627</v>
      </c>
      <c r="BK15" s="361"/>
      <c r="BL15" s="342">
        <v>928</v>
      </c>
      <c r="BM15" s="1238"/>
      <c r="BN15" s="22">
        <f t="shared" si="26"/>
        <v>0.48006379585326964</v>
      </c>
      <c r="BO15" s="355"/>
      <c r="BP15" s="342">
        <v>56</v>
      </c>
      <c r="BQ15" s="361"/>
      <c r="BR15" s="342">
        <v>61</v>
      </c>
      <c r="BS15" s="1238"/>
      <c r="BT15" s="22">
        <f t="shared" si="27"/>
        <v>8.9285714285714191E-2</v>
      </c>
      <c r="BU15" s="355"/>
      <c r="BV15" s="342">
        <v>119</v>
      </c>
      <c r="BW15" s="361"/>
      <c r="BX15" s="342">
        <v>137</v>
      </c>
      <c r="BY15" s="1238"/>
      <c r="BZ15" s="22">
        <f t="shared" si="28"/>
        <v>0.15126050420168058</v>
      </c>
      <c r="CA15" s="367"/>
    </row>
    <row r="16" spans="1:79" s="356" customFormat="1" ht="14.25">
      <c r="A16" s="1677" t="s">
        <v>1182</v>
      </c>
      <c r="B16" s="1680" t="s">
        <v>1183</v>
      </c>
      <c r="C16" s="343">
        <v>6</v>
      </c>
      <c r="D16" s="1323" t="s">
        <v>1677</v>
      </c>
      <c r="E16" s="395"/>
      <c r="F16" s="388"/>
      <c r="G16" s="388" t="s">
        <v>1150</v>
      </c>
      <c r="H16" s="396" t="s">
        <v>1165</v>
      </c>
      <c r="I16" s="1705">
        <v>8</v>
      </c>
      <c r="J16" s="679">
        <f t="shared" si="17"/>
        <v>0.26665104232116221</v>
      </c>
      <c r="K16" s="1686">
        <v>0</v>
      </c>
      <c r="L16" s="679">
        <f>AVERAGE(BX16,BR16,BL16,BF16,AZ16,AT16,AN16,AH16,AB16,V16)</f>
        <v>0.3029301066981866</v>
      </c>
      <c r="M16" s="1686">
        <v>0</v>
      </c>
      <c r="N16" s="390">
        <f t="shared" si="13"/>
        <v>0</v>
      </c>
      <c r="O16" s="1711">
        <f t="shared" si="0"/>
        <v>8</v>
      </c>
      <c r="P16" s="1711">
        <f t="shared" si="14"/>
        <v>5.6</v>
      </c>
      <c r="Q16" s="1711">
        <f t="shared" si="15"/>
        <v>0.62222222222222223</v>
      </c>
      <c r="R16" s="1711">
        <f t="shared" si="16"/>
        <v>0.31111111111111112</v>
      </c>
      <c r="S16" s="355"/>
      <c r="T16" s="1206">
        <v>0.52173913043478259</v>
      </c>
      <c r="U16" s="342" t="s">
        <v>1184</v>
      </c>
      <c r="V16" s="1206">
        <f>IF(V18=0,"",V17/V18)</f>
        <v>0.62068965517241381</v>
      </c>
      <c r="W16" s="1672" t="s">
        <v>1184</v>
      </c>
      <c r="X16" s="22">
        <f t="shared" si="19"/>
        <v>0.18965517241379315</v>
      </c>
      <c r="Y16" s="355"/>
      <c r="Z16" s="1206">
        <v>0.28222996515679444</v>
      </c>
      <c r="AA16" s="342" t="s">
        <v>1185</v>
      </c>
      <c r="AB16" s="1206">
        <f>IF(AB18=0,"",AB17/AB18)</f>
        <v>0.3295774647887324</v>
      </c>
      <c r="AC16" s="1672" t="s">
        <v>1185</v>
      </c>
      <c r="AD16" s="22">
        <f t="shared" si="20"/>
        <v>0.16776212832550863</v>
      </c>
      <c r="AE16" s="355"/>
      <c r="AF16" s="342">
        <v>0.21572580645161291</v>
      </c>
      <c r="AG16" s="342" t="s">
        <v>1185</v>
      </c>
      <c r="AH16" s="1206">
        <f>IF(AH18=0,"",AH17/AH18)</f>
        <v>0.31064572425828968</v>
      </c>
      <c r="AI16" s="1672" t="s">
        <v>1185</v>
      </c>
      <c r="AJ16" s="22">
        <f t="shared" si="21"/>
        <v>0.44000260964590354</v>
      </c>
      <c r="AK16" s="355"/>
      <c r="AL16" s="1206">
        <v>0.27419354838709675</v>
      </c>
      <c r="AM16" s="342" t="s">
        <v>1185</v>
      </c>
      <c r="AN16" s="1206">
        <f>IF(AN18=0,"",AN17/AN18)</f>
        <v>8.4745762711864403E-2</v>
      </c>
      <c r="AO16" s="1672" t="s">
        <v>1185</v>
      </c>
      <c r="AP16" s="22">
        <f t="shared" si="22"/>
        <v>-0.69092721834496507</v>
      </c>
      <c r="AQ16" s="355"/>
      <c r="AR16" s="1206">
        <v>0.1951219512195122</v>
      </c>
      <c r="AS16" s="342" t="s">
        <v>1185</v>
      </c>
      <c r="AT16" s="1206">
        <f>IF(AT18=0,"",AT17/AT18)</f>
        <v>0.29667149059334297</v>
      </c>
      <c r="AU16" s="1672" t="s">
        <v>1185</v>
      </c>
      <c r="AV16" s="22">
        <f t="shared" si="23"/>
        <v>0.52044138929088257</v>
      </c>
      <c r="AW16" s="355"/>
      <c r="AX16" s="1206">
        <v>0.21392405063291139</v>
      </c>
      <c r="AY16" s="342" t="s">
        <v>1185</v>
      </c>
      <c r="AZ16" s="1206">
        <f>IF(AZ18=0,"",AZ17/AZ18)</f>
        <v>0.27272727272727271</v>
      </c>
      <c r="BA16" s="1672" t="s">
        <v>1185</v>
      </c>
      <c r="BB16" s="22">
        <f t="shared" si="24"/>
        <v>0.27487896718665938</v>
      </c>
      <c r="BC16" s="355"/>
      <c r="BD16" s="1206">
        <v>0.6029411764705882</v>
      </c>
      <c r="BE16" s="342" t="s">
        <v>1185</v>
      </c>
      <c r="BF16" s="1206">
        <f>IF(BF18=0,"",BF17/BF18)</f>
        <v>0.40476190476190477</v>
      </c>
      <c r="BG16" s="1672" t="s">
        <v>1185</v>
      </c>
      <c r="BH16" s="22">
        <f t="shared" si="25"/>
        <v>-0.32868757259001158</v>
      </c>
      <c r="BI16" s="355"/>
      <c r="BJ16" s="1206">
        <v>0.15580286168521462</v>
      </c>
      <c r="BK16" s="342" t="s">
        <v>1185</v>
      </c>
      <c r="BL16" s="1206">
        <f>IF(BL18=0,"",BL17/BL18)</f>
        <v>0.2465166130760986</v>
      </c>
      <c r="BM16" s="1672" t="s">
        <v>1185</v>
      </c>
      <c r="BN16" s="22">
        <f t="shared" si="26"/>
        <v>0.58223417984557169</v>
      </c>
      <c r="BO16" s="355"/>
      <c r="BP16" s="1206">
        <v>5.3571428571428568E-2</v>
      </c>
      <c r="BQ16" s="342" t="s">
        <v>1185</v>
      </c>
      <c r="BR16" s="1206">
        <f>IF(BR18=0,"",BR17/BR18)</f>
        <v>0.29508196721311475</v>
      </c>
      <c r="BS16" s="1672" t="s">
        <v>1185</v>
      </c>
      <c r="BT16" s="22">
        <f t="shared" si="27"/>
        <v>4.5081967213114753</v>
      </c>
      <c r="BU16" s="355"/>
      <c r="BV16" s="1206">
        <v>0.15126050420168066</v>
      </c>
      <c r="BW16" s="342" t="s">
        <v>1185</v>
      </c>
      <c r="BX16" s="1206">
        <f>IF(BX18=0,"",BX17/BX18)</f>
        <v>0.16788321167883211</v>
      </c>
      <c r="BY16" s="1672" t="s">
        <v>1185</v>
      </c>
      <c r="BZ16" s="22">
        <f t="shared" si="28"/>
        <v>0.10989456609894566</v>
      </c>
      <c r="CA16" s="367"/>
    </row>
    <row r="17" spans="1:79" s="356" customFormat="1">
      <c r="A17" s="1678"/>
      <c r="B17" s="1681"/>
      <c r="C17" s="342">
        <v>6.1</v>
      </c>
      <c r="D17" s="387" t="s">
        <v>2137</v>
      </c>
      <c r="E17" s="380" t="s">
        <v>1115</v>
      </c>
      <c r="F17" s="394" t="s">
        <v>1181</v>
      </c>
      <c r="G17" s="388"/>
      <c r="H17" s="397"/>
      <c r="I17" s="1706"/>
      <c r="J17" s="679">
        <f t="shared" si="17"/>
        <v>65.8</v>
      </c>
      <c r="K17" s="1687"/>
      <c r="L17" s="679">
        <f t="shared" si="18"/>
        <v>105.9</v>
      </c>
      <c r="M17" s="1687"/>
      <c r="N17" s="390">
        <f t="shared" si="13"/>
        <v>0</v>
      </c>
      <c r="O17" s="1712"/>
      <c r="P17" s="1712"/>
      <c r="Q17" s="1712"/>
      <c r="R17" s="1712"/>
      <c r="S17" s="355"/>
      <c r="T17" s="342">
        <v>12</v>
      </c>
      <c r="U17" s="361"/>
      <c r="V17" s="342">
        <v>18</v>
      </c>
      <c r="W17" s="1673"/>
      <c r="X17" s="22">
        <f t="shared" si="19"/>
        <v>0.5</v>
      </c>
      <c r="Y17" s="355"/>
      <c r="Z17" s="342">
        <v>81</v>
      </c>
      <c r="AA17" s="361"/>
      <c r="AB17" s="342">
        <v>117</v>
      </c>
      <c r="AC17" s="1673"/>
      <c r="AD17" s="22">
        <f t="shared" si="20"/>
        <v>0.44444444444444442</v>
      </c>
      <c r="AE17" s="355"/>
      <c r="AF17" s="342">
        <v>107</v>
      </c>
      <c r="AG17" s="361"/>
      <c r="AH17" s="342">
        <v>178</v>
      </c>
      <c r="AI17" s="1673"/>
      <c r="AJ17" s="22">
        <f t="shared" si="21"/>
        <v>0.66355140186915884</v>
      </c>
      <c r="AK17" s="355"/>
      <c r="AL17" s="342">
        <v>17</v>
      </c>
      <c r="AM17" s="361"/>
      <c r="AN17" s="342">
        <v>5</v>
      </c>
      <c r="AO17" s="1673"/>
      <c r="AP17" s="22">
        <f t="shared" si="22"/>
        <v>-0.70588235294117641</v>
      </c>
      <c r="AQ17" s="355"/>
      <c r="AR17" s="342">
        <v>112</v>
      </c>
      <c r="AS17" s="361"/>
      <c r="AT17" s="342">
        <v>205</v>
      </c>
      <c r="AU17" s="1673"/>
      <c r="AV17" s="22">
        <f t="shared" si="23"/>
        <v>0.83035714285714279</v>
      </c>
      <c r="AW17" s="355"/>
      <c r="AX17" s="342">
        <v>169</v>
      </c>
      <c r="AY17" s="361"/>
      <c r="AZ17" s="342">
        <v>231</v>
      </c>
      <c r="BA17" s="1673"/>
      <c r="BB17" s="22">
        <f t="shared" si="24"/>
        <v>0.36686390532544388</v>
      </c>
      <c r="BC17" s="355"/>
      <c r="BD17" s="342">
        <v>41</v>
      </c>
      <c r="BE17" s="361"/>
      <c r="BF17" s="342">
        <v>34</v>
      </c>
      <c r="BG17" s="1673"/>
      <c r="BH17" s="22">
        <f t="shared" si="25"/>
        <v>-0.17073170731707321</v>
      </c>
      <c r="BI17" s="355"/>
      <c r="BJ17" s="342">
        <v>98</v>
      </c>
      <c r="BK17" s="361"/>
      <c r="BL17" s="342">
        <v>230</v>
      </c>
      <c r="BM17" s="1673"/>
      <c r="BN17" s="22">
        <f t="shared" si="26"/>
        <v>1.3469387755102042</v>
      </c>
      <c r="BO17" s="355"/>
      <c r="BP17" s="342">
        <v>3</v>
      </c>
      <c r="BQ17" s="361"/>
      <c r="BR17" s="342">
        <v>18</v>
      </c>
      <c r="BS17" s="1673"/>
      <c r="BT17" s="22">
        <f t="shared" si="27"/>
        <v>5</v>
      </c>
      <c r="BU17" s="355"/>
      <c r="BV17" s="342">
        <v>18</v>
      </c>
      <c r="BW17" s="361"/>
      <c r="BX17" s="342">
        <v>23</v>
      </c>
      <c r="BY17" s="1673"/>
      <c r="BZ17" s="22">
        <f t="shared" si="28"/>
        <v>0.27777777777777768</v>
      </c>
      <c r="CA17" s="367"/>
    </row>
    <row r="18" spans="1:79" s="356" customFormat="1">
      <c r="A18" s="1679"/>
      <c r="B18" s="1682"/>
      <c r="C18" s="342">
        <v>6.2</v>
      </c>
      <c r="D18" s="387" t="s">
        <v>2138</v>
      </c>
      <c r="E18" s="380" t="s">
        <v>1115</v>
      </c>
      <c r="F18" s="394" t="s">
        <v>1181</v>
      </c>
      <c r="G18" s="388"/>
      <c r="H18" s="397"/>
      <c r="I18" s="1707"/>
      <c r="J18" s="679">
        <f t="shared" si="17"/>
        <v>310.39999999999998</v>
      </c>
      <c r="K18" s="1688"/>
      <c r="L18" s="679">
        <f t="shared" si="18"/>
        <v>376.9</v>
      </c>
      <c r="M18" s="1688"/>
      <c r="N18" s="390">
        <f t="shared" si="13"/>
        <v>0</v>
      </c>
      <c r="O18" s="1713"/>
      <c r="P18" s="1713"/>
      <c r="Q18" s="1713"/>
      <c r="R18" s="1713"/>
      <c r="S18" s="355"/>
      <c r="T18" s="342">
        <v>23</v>
      </c>
      <c r="U18" s="361"/>
      <c r="V18" s="342">
        <v>29</v>
      </c>
      <c r="W18" s="1674"/>
      <c r="X18" s="22">
        <f t="shared" si="19"/>
        <v>0.26086956521739135</v>
      </c>
      <c r="Y18" s="355"/>
      <c r="Z18" s="342">
        <v>287</v>
      </c>
      <c r="AA18" s="361"/>
      <c r="AB18" s="342">
        <v>355</v>
      </c>
      <c r="AC18" s="1674"/>
      <c r="AD18" s="22">
        <f t="shared" si="20"/>
        <v>0.23693379790940772</v>
      </c>
      <c r="AE18" s="355"/>
      <c r="AF18" s="342">
        <v>496</v>
      </c>
      <c r="AG18" s="361"/>
      <c r="AH18" s="342">
        <v>573</v>
      </c>
      <c r="AI18" s="1674"/>
      <c r="AJ18" s="22">
        <f t="shared" si="21"/>
        <v>0.155241935483871</v>
      </c>
      <c r="AK18" s="355"/>
      <c r="AL18" s="342">
        <v>62</v>
      </c>
      <c r="AM18" s="361"/>
      <c r="AN18" s="342">
        <v>59</v>
      </c>
      <c r="AO18" s="1674"/>
      <c r="AP18" s="22">
        <f t="shared" si="22"/>
        <v>-4.8387096774193505E-2</v>
      </c>
      <c r="AQ18" s="355"/>
      <c r="AR18" s="342">
        <v>574</v>
      </c>
      <c r="AS18" s="361"/>
      <c r="AT18" s="342">
        <v>691</v>
      </c>
      <c r="AU18" s="1674"/>
      <c r="AV18" s="22">
        <f t="shared" si="23"/>
        <v>0.20383275261324041</v>
      </c>
      <c r="AW18" s="355"/>
      <c r="AX18" s="342">
        <v>790</v>
      </c>
      <c r="AY18" s="361"/>
      <c r="AZ18" s="342">
        <v>847</v>
      </c>
      <c r="BA18" s="1674"/>
      <c r="BB18" s="22">
        <f t="shared" si="24"/>
        <v>7.2151898734177156E-2</v>
      </c>
      <c r="BC18" s="355"/>
      <c r="BD18" s="342">
        <v>68</v>
      </c>
      <c r="BE18" s="361"/>
      <c r="BF18" s="342">
        <v>84</v>
      </c>
      <c r="BG18" s="1674"/>
      <c r="BH18" s="22">
        <f t="shared" si="25"/>
        <v>0.23529411764705888</v>
      </c>
      <c r="BI18" s="355"/>
      <c r="BJ18" s="342">
        <v>629</v>
      </c>
      <c r="BK18" s="361"/>
      <c r="BL18" s="342">
        <v>933</v>
      </c>
      <c r="BM18" s="1674"/>
      <c r="BN18" s="22">
        <f t="shared" si="26"/>
        <v>0.48330683624801263</v>
      </c>
      <c r="BO18" s="355"/>
      <c r="BP18" s="342">
        <v>56</v>
      </c>
      <c r="BQ18" s="361"/>
      <c r="BR18" s="342">
        <v>61</v>
      </c>
      <c r="BS18" s="1674"/>
      <c r="BT18" s="22">
        <f t="shared" si="27"/>
        <v>8.9285714285714191E-2</v>
      </c>
      <c r="BU18" s="355"/>
      <c r="BV18" s="342">
        <v>119</v>
      </c>
      <c r="BW18" s="361"/>
      <c r="BX18" s="342">
        <v>137</v>
      </c>
      <c r="BY18" s="1674"/>
      <c r="BZ18" s="22">
        <f t="shared" si="28"/>
        <v>0.15126050420168058</v>
      </c>
      <c r="CA18" s="367"/>
    </row>
    <row r="19" spans="1:79" s="356" customFormat="1">
      <c r="A19" s="1677" t="s">
        <v>1187</v>
      </c>
      <c r="B19" s="1680" t="s">
        <v>1188</v>
      </c>
      <c r="C19" s="343">
        <v>7</v>
      </c>
      <c r="D19" s="392" t="s">
        <v>1186</v>
      </c>
      <c r="E19" s="380"/>
      <c r="F19" s="388"/>
      <c r="G19" s="388" t="s">
        <v>1150</v>
      </c>
      <c r="H19" s="386" t="s">
        <v>1168</v>
      </c>
      <c r="I19" s="381">
        <v>6</v>
      </c>
      <c r="J19" s="1084">
        <f t="shared" si="17"/>
        <v>1</v>
      </c>
      <c r="K19" s="389">
        <f>AVERAGE(BW19,BQ19,BK19,BE19,AY19,AS19,AM19,AG19,AA19,U19)</f>
        <v>6</v>
      </c>
      <c r="L19" s="1084">
        <f t="shared" si="18"/>
        <v>1</v>
      </c>
      <c r="M19" s="389">
        <f>AVERAGE(BY19,BS19,BM19,BG19,BA19,AU19,AO19,AI19,AC19,W19)</f>
        <v>6</v>
      </c>
      <c r="N19" s="390">
        <f t="shared" si="13"/>
        <v>0</v>
      </c>
      <c r="O19" s="362">
        <f t="shared" si="0"/>
        <v>0</v>
      </c>
      <c r="P19" s="354">
        <f t="shared" si="14"/>
        <v>0</v>
      </c>
      <c r="Q19" s="354">
        <f t="shared" si="15"/>
        <v>0</v>
      </c>
      <c r="R19" s="354">
        <f t="shared" si="16"/>
        <v>0</v>
      </c>
      <c r="S19" s="355"/>
      <c r="T19" s="1205">
        <v>1</v>
      </c>
      <c r="U19" s="362">
        <f>IF(T19&gt;=0.95,6,IF(T19&gt;0.9,2,0))</f>
        <v>6</v>
      </c>
      <c r="V19" s="1205">
        <f>V20/V21</f>
        <v>1</v>
      </c>
      <c r="W19" s="1239">
        <f>IF(V19&gt;=0.95,6,IF(V19&gt;0.9,2,0))</f>
        <v>6</v>
      </c>
      <c r="X19" s="22">
        <f t="shared" si="19"/>
        <v>0</v>
      </c>
      <c r="Y19" s="355"/>
      <c r="Z19" s="1205">
        <v>1</v>
      </c>
      <c r="AA19" s="362">
        <f>IF(Z19&gt;=0.95,6,IF(Z19&gt;0.9,2,0))</f>
        <v>6</v>
      </c>
      <c r="AB19" s="1205">
        <f>AB20/AB21</f>
        <v>1</v>
      </c>
      <c r="AC19" s="1239">
        <f>IF(AB19&gt;=0.95,6,IF(AB19&gt;0.9,2,0))</f>
        <v>6</v>
      </c>
      <c r="AD19" s="22">
        <f t="shared" si="20"/>
        <v>0</v>
      </c>
      <c r="AE19" s="355"/>
      <c r="AF19" s="342">
        <v>1</v>
      </c>
      <c r="AG19" s="362">
        <f>IF(AF19&gt;=0.95,6,IF(AF19&gt;0.9,2,0))</f>
        <v>6</v>
      </c>
      <c r="AH19" s="1205">
        <f>AH20/AH21</f>
        <v>1</v>
      </c>
      <c r="AI19" s="1239">
        <f>IF(AH19&gt;=0.95,6,IF(AH19&gt;0.9,2,0))</f>
        <v>6</v>
      </c>
      <c r="AJ19" s="22">
        <f t="shared" si="21"/>
        <v>0</v>
      </c>
      <c r="AK19" s="355"/>
      <c r="AL19" s="1205">
        <v>1</v>
      </c>
      <c r="AM19" s="362">
        <f>IF(AL19&gt;=0.95,6,IF(AL19&gt;0.9,2,0))</f>
        <v>6</v>
      </c>
      <c r="AN19" s="1205">
        <f>AN20/AN21</f>
        <v>1</v>
      </c>
      <c r="AO19" s="1239">
        <f>IF(AN19&gt;=0.95,6,IF(AN19&gt;0.9,2,0))</f>
        <v>6</v>
      </c>
      <c r="AP19" s="22">
        <f t="shared" si="22"/>
        <v>0</v>
      </c>
      <c r="AQ19" s="355"/>
      <c r="AR19" s="1205">
        <v>1</v>
      </c>
      <c r="AS19" s="362">
        <f>IF(AR19&gt;=0.95,6,IF(AR19&gt;0.9,2,0))</f>
        <v>6</v>
      </c>
      <c r="AT19" s="1205">
        <f>AT20/AT21</f>
        <v>1</v>
      </c>
      <c r="AU19" s="1239">
        <f>IF(AT19&gt;=0.95,6,IF(AT19&gt;0.9,2,0))</f>
        <v>6</v>
      </c>
      <c r="AV19" s="22">
        <f t="shared" si="23"/>
        <v>0</v>
      </c>
      <c r="AW19" s="355"/>
      <c r="AX19" s="1205">
        <v>1</v>
      </c>
      <c r="AY19" s="362">
        <f>IF(AX19&gt;=0.95,6,IF(AX19&gt;0.9,2,0))</f>
        <v>6</v>
      </c>
      <c r="AZ19" s="1205">
        <f>AZ20/AZ21</f>
        <v>1</v>
      </c>
      <c r="BA19" s="1239">
        <f>IF(AZ19&gt;=0.95,6,IF(AZ19&gt;0.9,2,0))</f>
        <v>6</v>
      </c>
      <c r="BB19" s="22">
        <f t="shared" si="24"/>
        <v>0</v>
      </c>
      <c r="BC19" s="355"/>
      <c r="BD19" s="1205">
        <v>1</v>
      </c>
      <c r="BE19" s="362">
        <f>IF(BD19&gt;=0.95,6,IF(BD19&gt;0.9,2,0))</f>
        <v>6</v>
      </c>
      <c r="BF19" s="1205">
        <f>BF20/BF21</f>
        <v>1</v>
      </c>
      <c r="BG19" s="1239">
        <f>IF(BF19&gt;=0.95,6,IF(BF19&gt;0.9,2,0))</f>
        <v>6</v>
      </c>
      <c r="BH19" s="22">
        <f t="shared" si="25"/>
        <v>0</v>
      </c>
      <c r="BI19" s="355"/>
      <c r="BJ19" s="1205">
        <v>1</v>
      </c>
      <c r="BK19" s="362">
        <f>IF(BJ19&gt;=0.95,6,IF(BJ19&gt;0.9,2,0))</f>
        <v>6</v>
      </c>
      <c r="BL19" s="1205">
        <f>BL20/BL21</f>
        <v>1</v>
      </c>
      <c r="BM19" s="1239">
        <f>IF(BL19&gt;=0.95,6,IF(BL19&gt;0.9,2,0))</f>
        <v>6</v>
      </c>
      <c r="BN19" s="22">
        <f t="shared" si="26"/>
        <v>0</v>
      </c>
      <c r="BO19" s="355"/>
      <c r="BP19" s="1205">
        <v>1</v>
      </c>
      <c r="BQ19" s="362">
        <f>IF(BP19&gt;=0.95,6,IF(BP19&gt;0.9,2,0))</f>
        <v>6</v>
      </c>
      <c r="BR19" s="1205">
        <f>BR20/BR21</f>
        <v>1</v>
      </c>
      <c r="BS19" s="1239">
        <f>IF(BR19&gt;=0.95,6,IF(BR19&gt;0.9,2,0))</f>
        <v>6</v>
      </c>
      <c r="BT19" s="22">
        <f t="shared" si="27"/>
        <v>0</v>
      </c>
      <c r="BU19" s="355"/>
      <c r="BV19" s="1205">
        <v>1</v>
      </c>
      <c r="BW19" s="362">
        <f>IF(BV19&gt;=0.95,6,IF(BV19&gt;0.9,2,0))</f>
        <v>6</v>
      </c>
      <c r="BX19" s="1205">
        <f>BX20/BX21</f>
        <v>1</v>
      </c>
      <c r="BY19" s="1239">
        <f>IF(BX19&gt;=0.95,6,IF(BX19&gt;0.9,2,0))</f>
        <v>6</v>
      </c>
      <c r="BZ19" s="22">
        <f t="shared" si="28"/>
        <v>0</v>
      </c>
      <c r="CA19" s="367"/>
    </row>
    <row r="20" spans="1:79" s="356" customFormat="1">
      <c r="A20" s="1678"/>
      <c r="B20" s="1681"/>
      <c r="C20" s="342">
        <v>7.1</v>
      </c>
      <c r="D20" s="387" t="s">
        <v>2139</v>
      </c>
      <c r="E20" s="380" t="s">
        <v>1115</v>
      </c>
      <c r="F20" s="394" t="s">
        <v>1181</v>
      </c>
      <c r="G20" s="388"/>
      <c r="H20" s="386"/>
      <c r="I20" s="388"/>
      <c r="J20" s="1287">
        <f t="shared" si="17"/>
        <v>309.2</v>
      </c>
      <c r="K20" s="389"/>
      <c r="L20" s="1287">
        <f t="shared" si="18"/>
        <v>376.1</v>
      </c>
      <c r="M20" s="389"/>
      <c r="N20" s="390">
        <f t="shared" si="13"/>
        <v>0</v>
      </c>
      <c r="O20" s="362">
        <f t="shared" si="0"/>
        <v>0</v>
      </c>
      <c r="P20" s="354">
        <f t="shared" si="14"/>
        <v>0</v>
      </c>
      <c r="Q20" s="354">
        <f t="shared" si="15"/>
        <v>0</v>
      </c>
      <c r="R20" s="354">
        <f t="shared" si="16"/>
        <v>0</v>
      </c>
      <c r="S20" s="355"/>
      <c r="T20" s="342">
        <v>23</v>
      </c>
      <c r="U20" s="361"/>
      <c r="V20" s="342">
        <v>29</v>
      </c>
      <c r="W20" s="1238"/>
      <c r="X20" s="22">
        <f t="shared" si="19"/>
        <v>0.26086956521739135</v>
      </c>
      <c r="Y20" s="355"/>
      <c r="Z20" s="342">
        <v>285</v>
      </c>
      <c r="AA20" s="361"/>
      <c r="AB20" s="342">
        <v>355</v>
      </c>
      <c r="AC20" s="1238"/>
      <c r="AD20" s="22">
        <f t="shared" si="20"/>
        <v>0.2456140350877194</v>
      </c>
      <c r="AE20" s="355"/>
      <c r="AF20" s="342">
        <v>494</v>
      </c>
      <c r="AG20" s="361"/>
      <c r="AH20" s="342">
        <v>572</v>
      </c>
      <c r="AI20" s="1238"/>
      <c r="AJ20" s="22">
        <f t="shared" si="21"/>
        <v>0.15789473684210531</v>
      </c>
      <c r="AK20" s="355"/>
      <c r="AL20" s="342">
        <v>62</v>
      </c>
      <c r="AM20" s="361"/>
      <c r="AN20" s="342">
        <v>59</v>
      </c>
      <c r="AO20" s="1238"/>
      <c r="AP20" s="22">
        <f t="shared" si="22"/>
        <v>-4.8387096774193505E-2</v>
      </c>
      <c r="AQ20" s="355"/>
      <c r="AR20" s="342">
        <v>574</v>
      </c>
      <c r="AS20" s="361"/>
      <c r="AT20" s="342">
        <v>691</v>
      </c>
      <c r="AU20" s="1238"/>
      <c r="AV20" s="22">
        <f t="shared" si="23"/>
        <v>0.20383275261324041</v>
      </c>
      <c r="AW20" s="355"/>
      <c r="AX20" s="342">
        <v>785</v>
      </c>
      <c r="AY20" s="361"/>
      <c r="AZ20" s="342">
        <v>846</v>
      </c>
      <c r="BA20" s="1238"/>
      <c r="BB20" s="22">
        <f t="shared" si="24"/>
        <v>7.7707006369426734E-2</v>
      </c>
      <c r="BC20" s="355"/>
      <c r="BD20" s="342">
        <v>67</v>
      </c>
      <c r="BE20" s="361"/>
      <c r="BF20" s="342">
        <v>83</v>
      </c>
      <c r="BG20" s="1238"/>
      <c r="BH20" s="22">
        <f t="shared" si="25"/>
        <v>0.23880597014925375</v>
      </c>
      <c r="BI20" s="355"/>
      <c r="BJ20" s="342">
        <v>627</v>
      </c>
      <c r="BK20" s="361"/>
      <c r="BL20" s="342">
        <v>928</v>
      </c>
      <c r="BM20" s="1238"/>
      <c r="BN20" s="22">
        <f t="shared" si="26"/>
        <v>0.48006379585326964</v>
      </c>
      <c r="BO20" s="355"/>
      <c r="BP20" s="342">
        <v>56</v>
      </c>
      <c r="BQ20" s="361"/>
      <c r="BR20" s="342">
        <v>61</v>
      </c>
      <c r="BS20" s="1238"/>
      <c r="BT20" s="22">
        <f t="shared" si="27"/>
        <v>8.9285714285714191E-2</v>
      </c>
      <c r="BU20" s="355"/>
      <c r="BV20" s="342">
        <v>119</v>
      </c>
      <c r="BW20" s="361"/>
      <c r="BX20" s="342">
        <v>137</v>
      </c>
      <c r="BY20" s="1238"/>
      <c r="BZ20" s="22">
        <f t="shared" si="28"/>
        <v>0.15126050420168058</v>
      </c>
      <c r="CA20" s="367"/>
    </row>
    <row r="21" spans="1:79" s="356" customFormat="1">
      <c r="A21" s="1679"/>
      <c r="B21" s="1682"/>
      <c r="C21" s="342">
        <v>7.2</v>
      </c>
      <c r="D21" s="387" t="s">
        <v>2140</v>
      </c>
      <c r="E21" s="380" t="s">
        <v>1115</v>
      </c>
      <c r="F21" s="394" t="s">
        <v>1181</v>
      </c>
      <c r="G21" s="388"/>
      <c r="H21" s="386"/>
      <c r="I21" s="388"/>
      <c r="J21" s="1287">
        <f t="shared" si="17"/>
        <v>309.2</v>
      </c>
      <c r="K21" s="389"/>
      <c r="L21" s="1287">
        <f t="shared" si="18"/>
        <v>376.1</v>
      </c>
      <c r="M21" s="389"/>
      <c r="N21" s="390">
        <f t="shared" si="13"/>
        <v>0</v>
      </c>
      <c r="O21" s="362">
        <f t="shared" si="0"/>
        <v>0</v>
      </c>
      <c r="P21" s="354">
        <f t="shared" si="14"/>
        <v>0</v>
      </c>
      <c r="Q21" s="354">
        <f t="shared" si="15"/>
        <v>0</v>
      </c>
      <c r="R21" s="354">
        <f t="shared" si="16"/>
        <v>0</v>
      </c>
      <c r="S21" s="355"/>
      <c r="T21" s="342">
        <v>23</v>
      </c>
      <c r="U21" s="361"/>
      <c r="V21" s="342">
        <v>29</v>
      </c>
      <c r="W21" s="1238"/>
      <c r="X21" s="22">
        <f t="shared" si="19"/>
        <v>0.26086956521739135</v>
      </c>
      <c r="Y21" s="355"/>
      <c r="Z21" s="342">
        <v>285</v>
      </c>
      <c r="AA21" s="361"/>
      <c r="AB21" s="342">
        <v>355</v>
      </c>
      <c r="AC21" s="1238"/>
      <c r="AD21" s="22">
        <f t="shared" si="20"/>
        <v>0.2456140350877194</v>
      </c>
      <c r="AE21" s="355"/>
      <c r="AF21" s="342">
        <v>494</v>
      </c>
      <c r="AG21" s="361"/>
      <c r="AH21" s="342">
        <v>572</v>
      </c>
      <c r="AI21" s="1238"/>
      <c r="AJ21" s="22">
        <f t="shared" si="21"/>
        <v>0.15789473684210531</v>
      </c>
      <c r="AK21" s="355"/>
      <c r="AL21" s="342">
        <v>62</v>
      </c>
      <c r="AM21" s="361"/>
      <c r="AN21" s="342">
        <v>59</v>
      </c>
      <c r="AO21" s="1238"/>
      <c r="AP21" s="22">
        <f t="shared" si="22"/>
        <v>-4.8387096774193505E-2</v>
      </c>
      <c r="AQ21" s="355"/>
      <c r="AR21" s="342">
        <v>574</v>
      </c>
      <c r="AS21" s="361"/>
      <c r="AT21" s="342">
        <v>691</v>
      </c>
      <c r="AU21" s="1238"/>
      <c r="AV21" s="22">
        <f t="shared" si="23"/>
        <v>0.20383275261324041</v>
      </c>
      <c r="AW21" s="355"/>
      <c r="AX21" s="342">
        <v>785</v>
      </c>
      <c r="AY21" s="361"/>
      <c r="AZ21" s="342">
        <v>846</v>
      </c>
      <c r="BA21" s="1238"/>
      <c r="BB21" s="22">
        <f t="shared" si="24"/>
        <v>7.7707006369426734E-2</v>
      </c>
      <c r="BC21" s="355"/>
      <c r="BD21" s="342">
        <v>67</v>
      </c>
      <c r="BE21" s="361"/>
      <c r="BF21" s="342">
        <v>83</v>
      </c>
      <c r="BG21" s="1238"/>
      <c r="BH21" s="22">
        <f t="shared" si="25"/>
        <v>0.23880597014925375</v>
      </c>
      <c r="BI21" s="355"/>
      <c r="BJ21" s="342">
        <v>627</v>
      </c>
      <c r="BK21" s="361"/>
      <c r="BL21" s="342">
        <v>928</v>
      </c>
      <c r="BM21" s="1238"/>
      <c r="BN21" s="22">
        <f t="shared" si="26"/>
        <v>0.48006379585326964</v>
      </c>
      <c r="BO21" s="355"/>
      <c r="BP21" s="342">
        <v>56</v>
      </c>
      <c r="BQ21" s="361"/>
      <c r="BR21" s="342">
        <v>61</v>
      </c>
      <c r="BS21" s="1238"/>
      <c r="BT21" s="22">
        <f t="shared" si="27"/>
        <v>8.9285714285714191E-2</v>
      </c>
      <c r="BU21" s="355"/>
      <c r="BV21" s="342">
        <v>119</v>
      </c>
      <c r="BW21" s="361"/>
      <c r="BX21" s="342">
        <v>137</v>
      </c>
      <c r="BY21" s="1238"/>
      <c r="BZ21" s="22">
        <f t="shared" si="28"/>
        <v>0.15126050420168058</v>
      </c>
      <c r="CA21" s="367"/>
    </row>
    <row r="22" spans="1:79" s="356" customFormat="1">
      <c r="A22" s="1677" t="s">
        <v>1189</v>
      </c>
      <c r="B22" s="1680" t="s">
        <v>1716</v>
      </c>
      <c r="C22" s="343">
        <v>8</v>
      </c>
      <c r="D22" s="677" t="s">
        <v>1715</v>
      </c>
      <c r="E22" s="380"/>
      <c r="F22" s="388"/>
      <c r="G22" s="388" t="s">
        <v>1150</v>
      </c>
      <c r="H22" s="386" t="s">
        <v>1168</v>
      </c>
      <c r="I22" s="381">
        <v>4</v>
      </c>
      <c r="J22" s="1084">
        <f t="shared" si="17"/>
        <v>1.6330966529606041E-3</v>
      </c>
      <c r="K22" s="389">
        <f>AVERAGE(BW22,BQ22,BK22,BE22,AY22,AS22,AM22,AG22,AA22,U22)</f>
        <v>4</v>
      </c>
      <c r="L22" s="1084">
        <f t="shared" si="18"/>
        <v>2.1622228708029177E-3</v>
      </c>
      <c r="M22" s="389">
        <f>AVERAGE(BY22,BS22,BM22,BG22,BA22,AU22,AO22,AI22,AC22,W22)</f>
        <v>4</v>
      </c>
      <c r="N22" s="390">
        <f t="shared" si="13"/>
        <v>0</v>
      </c>
      <c r="O22" s="362">
        <f t="shared" si="0"/>
        <v>0</v>
      </c>
      <c r="P22" s="354">
        <f t="shared" si="14"/>
        <v>0</v>
      </c>
      <c r="Q22" s="354">
        <f t="shared" si="15"/>
        <v>0</v>
      </c>
      <c r="R22" s="354">
        <f t="shared" si="16"/>
        <v>0</v>
      </c>
      <c r="S22" s="355"/>
      <c r="T22" s="1205">
        <v>6.9601599054977336E-5</v>
      </c>
      <c r="U22" s="360">
        <f>IF(T22&lt;=0.2,4,0)</f>
        <v>4</v>
      </c>
      <c r="V22" s="1205">
        <f>V23/V24</f>
        <v>0</v>
      </c>
      <c r="W22" s="1237">
        <f>IF(V22&lt;=0.2,4,0)</f>
        <v>4</v>
      </c>
      <c r="X22" s="22">
        <f t="shared" si="19"/>
        <v>-1</v>
      </c>
      <c r="Y22" s="355"/>
      <c r="Z22" s="1205">
        <v>5.3603998657526198E-3</v>
      </c>
      <c r="AA22" s="360">
        <f>IF(Z22&lt;=0.2,4,0)</f>
        <v>4</v>
      </c>
      <c r="AB22" s="1205">
        <f>AB23/AB24</f>
        <v>5.0229169947718791E-3</v>
      </c>
      <c r="AC22" s="1237">
        <f>IF(AB22&lt;=0.2,4,0)</f>
        <v>4</v>
      </c>
      <c r="AD22" s="22">
        <f t="shared" si="20"/>
        <v>-6.2958525377352026E-2</v>
      </c>
      <c r="AE22" s="355"/>
      <c r="AF22" s="342">
        <v>2.21869355447229E-3</v>
      </c>
      <c r="AG22" s="360">
        <f>IF(AF22&lt;=0.2,4,0)</f>
        <v>4</v>
      </c>
      <c r="AH22" s="1205">
        <f>AH23/AH24</f>
        <v>2.624094599292207E-3</v>
      </c>
      <c r="AI22" s="1237">
        <f>IF(AH22&lt;=0.2,4,0)</f>
        <v>4</v>
      </c>
      <c r="AJ22" s="22">
        <f t="shared" si="21"/>
        <v>0.18272061231833359</v>
      </c>
      <c r="AK22" s="355"/>
      <c r="AL22" s="1205">
        <v>1.0721978091993681E-3</v>
      </c>
      <c r="AM22" s="360">
        <f>IF(AL22&lt;=0.2,4,0)</f>
        <v>4</v>
      </c>
      <c r="AN22" s="1205">
        <f>AN23/AN24</f>
        <v>1.4647515390982622E-3</v>
      </c>
      <c r="AO22" s="1237">
        <f>IF(AN22&lt;=0.2,4,0)</f>
        <v>4</v>
      </c>
      <c r="AP22" s="22">
        <f t="shared" si="22"/>
        <v>0.36612062301453685</v>
      </c>
      <c r="AQ22" s="355"/>
      <c r="AR22" s="1205">
        <v>9.3217936007353121E-4</v>
      </c>
      <c r="AS22" s="360">
        <f>IF(AR22&lt;=0.2,4,0)</f>
        <v>4</v>
      </c>
      <c r="AT22" s="1205">
        <f>AT23/AT24</f>
        <v>1.2991001644003981E-3</v>
      </c>
      <c r="AU22" s="1237">
        <f>IF(AT22&lt;=0.2,4,0)</f>
        <v>4</v>
      </c>
      <c r="AV22" s="22">
        <f t="shared" si="23"/>
        <v>0.39361610012253845</v>
      </c>
      <c r="AW22" s="355"/>
      <c r="AX22" s="1205">
        <v>1.4209813531919516E-3</v>
      </c>
      <c r="AY22" s="360">
        <f>IF(AX22&lt;=0.2,4,0)</f>
        <v>4</v>
      </c>
      <c r="AZ22" s="1205">
        <f>AZ23/AZ24</f>
        <v>2.7691590574941559E-3</v>
      </c>
      <c r="BA22" s="1237">
        <f>IF(AZ22&lt;=0.2,4,0)</f>
        <v>4</v>
      </c>
      <c r="BB22" s="22">
        <f t="shared" si="24"/>
        <v>0.94876523275537128</v>
      </c>
      <c r="BC22" s="355"/>
      <c r="BD22" s="1205">
        <v>9.2951945702291025E-4</v>
      </c>
      <c r="BE22" s="360">
        <f>IF(BD22&lt;=0.2,4,0)</f>
        <v>4</v>
      </c>
      <c r="BF22" s="1205">
        <f>BF23/BF24</f>
        <v>3.3066651161736561E-3</v>
      </c>
      <c r="BG22" s="1237">
        <f>IF(BF22&lt;=0.2,4,0)</f>
        <v>4</v>
      </c>
      <c r="BH22" s="22">
        <f t="shared" si="25"/>
        <v>2.5573920386393323</v>
      </c>
      <c r="BI22" s="355"/>
      <c r="BJ22" s="1205">
        <v>3.1350307086646626E-3</v>
      </c>
      <c r="BK22" s="360">
        <f>IF(BJ22&lt;=0.2,4,0)</f>
        <v>4</v>
      </c>
      <c r="BL22" s="1205">
        <f>BL23/BL24</f>
        <v>4.0473749421404658E-3</v>
      </c>
      <c r="BM22" s="1237">
        <f>IF(BL22&lt;=0.2,4,0)</f>
        <v>4</v>
      </c>
      <c r="BN22" s="22">
        <f t="shared" si="26"/>
        <v>0.29101604362414935</v>
      </c>
      <c r="BO22" s="355"/>
      <c r="BP22" s="1205">
        <v>0</v>
      </c>
      <c r="BQ22" s="360">
        <f>IF(BP22&lt;=0.2,4,0)</f>
        <v>4</v>
      </c>
      <c r="BR22" s="1205">
        <f>BR23/BR24</f>
        <v>4.3890519075071721E-4</v>
      </c>
      <c r="BS22" s="1237">
        <f>IF(BR22&lt;=0.2,4,0)</f>
        <v>4</v>
      </c>
      <c r="BT22" s="22">
        <f t="shared" si="27"/>
        <v>1</v>
      </c>
      <c r="BU22" s="355"/>
      <c r="BV22" s="1205">
        <v>1.1923628221737323E-3</v>
      </c>
      <c r="BW22" s="360">
        <f>IF(BV22&lt;=0.2,4,0)</f>
        <v>4</v>
      </c>
      <c r="BX22" s="1205">
        <f>BX23/BX24</f>
        <v>6.4926110390743522E-4</v>
      </c>
      <c r="BY22" s="1237">
        <f>IF(BX22&lt;=0.2,4,0)</f>
        <v>4</v>
      </c>
      <c r="BZ22" s="22">
        <f t="shared" si="28"/>
        <v>-0.45548360630382423</v>
      </c>
      <c r="CA22" s="367"/>
    </row>
    <row r="23" spans="1:79" s="356" customFormat="1">
      <c r="A23" s="1678"/>
      <c r="B23" s="1681"/>
      <c r="C23" s="342">
        <v>8.1</v>
      </c>
      <c r="D23" s="387" t="s">
        <v>2158</v>
      </c>
      <c r="E23" s="380" t="s">
        <v>1115</v>
      </c>
      <c r="F23" s="394" t="s">
        <v>1181</v>
      </c>
      <c r="G23" s="388"/>
      <c r="H23" s="386"/>
      <c r="I23" s="388"/>
      <c r="J23" s="1287">
        <f t="shared" si="17"/>
        <v>7911.4719999999998</v>
      </c>
      <c r="K23" s="389"/>
      <c r="L23" s="1287">
        <f t="shared" si="18"/>
        <v>16165.520999999999</v>
      </c>
      <c r="M23" s="389"/>
      <c r="N23" s="390">
        <f t="shared" si="13"/>
        <v>0</v>
      </c>
      <c r="O23" s="362">
        <f t="shared" si="0"/>
        <v>0</v>
      </c>
      <c r="P23" s="354">
        <f t="shared" si="14"/>
        <v>0</v>
      </c>
      <c r="Q23" s="354">
        <f t="shared" si="15"/>
        <v>0</v>
      </c>
      <c r="R23" s="354">
        <f t="shared" si="16"/>
        <v>0</v>
      </c>
      <c r="S23" s="355"/>
      <c r="T23" s="342">
        <v>150</v>
      </c>
      <c r="U23" s="361"/>
      <c r="V23" s="342">
        <v>0</v>
      </c>
      <c r="W23" s="1238"/>
      <c r="X23" s="22">
        <f t="shared" si="19"/>
        <v>-1</v>
      </c>
      <c r="Y23" s="355"/>
      <c r="Z23" s="342">
        <v>24495.01</v>
      </c>
      <c r="AA23" s="361"/>
      <c r="AB23" s="342">
        <v>24421.46</v>
      </c>
      <c r="AC23" s="1238"/>
      <c r="AD23" s="22">
        <f t="shared" si="20"/>
        <v>-3.0026523769535185E-3</v>
      </c>
      <c r="AE23" s="355"/>
      <c r="AF23" s="342">
        <v>14127.69</v>
      </c>
      <c r="AG23" s="361"/>
      <c r="AH23" s="342">
        <v>37406.39</v>
      </c>
      <c r="AI23" s="1238"/>
      <c r="AJ23" s="22">
        <f t="shared" si="21"/>
        <v>1.647735758641363</v>
      </c>
      <c r="AK23" s="355"/>
      <c r="AL23" s="342">
        <v>1614.5</v>
      </c>
      <c r="AM23" s="361"/>
      <c r="AN23" s="342">
        <v>1424.28</v>
      </c>
      <c r="AO23" s="1238"/>
      <c r="AP23" s="22">
        <f t="shared" si="22"/>
        <v>-0.11781975843914527</v>
      </c>
      <c r="AQ23" s="355"/>
      <c r="AR23" s="342">
        <v>4416.78</v>
      </c>
      <c r="AS23" s="361"/>
      <c r="AT23" s="342">
        <v>12017.73</v>
      </c>
      <c r="AU23" s="1238"/>
      <c r="AV23" s="22">
        <f t="shared" si="23"/>
        <v>1.7209256517191256</v>
      </c>
      <c r="AW23" s="355"/>
      <c r="AX23" s="342">
        <v>11503.02</v>
      </c>
      <c r="AY23" s="398"/>
      <c r="AZ23" s="342">
        <v>25158.42</v>
      </c>
      <c r="BA23" s="1243"/>
      <c r="BB23" s="22">
        <f t="shared" si="24"/>
        <v>1.1871143404079971</v>
      </c>
      <c r="BC23" s="355"/>
      <c r="BD23" s="342">
        <v>816.36</v>
      </c>
      <c r="BE23" s="361"/>
      <c r="BF23" s="342">
        <v>9149.3700000000008</v>
      </c>
      <c r="BG23" s="1238"/>
      <c r="BH23" s="22">
        <f t="shared" si="25"/>
        <v>10.20751874173159</v>
      </c>
      <c r="BI23" s="355"/>
      <c r="BJ23" s="342">
        <v>20658.759999999998</v>
      </c>
      <c r="BK23" s="361"/>
      <c r="BL23" s="342">
        <v>50793.53</v>
      </c>
      <c r="BM23" s="1238"/>
      <c r="BN23" s="22">
        <f t="shared" si="26"/>
        <v>1.4586920996226298</v>
      </c>
      <c r="BO23" s="355"/>
      <c r="BP23" s="342">
        <v>0</v>
      </c>
      <c r="BQ23" s="361"/>
      <c r="BR23" s="342">
        <v>366.26</v>
      </c>
      <c r="BS23" s="1238"/>
      <c r="BT23" s="22">
        <f t="shared" si="27"/>
        <v>1</v>
      </c>
      <c r="BU23" s="355"/>
      <c r="BV23" s="342">
        <v>1332.6</v>
      </c>
      <c r="BW23" s="361"/>
      <c r="BX23" s="342">
        <v>917.77</v>
      </c>
      <c r="BY23" s="1238"/>
      <c r="BZ23" s="22">
        <f t="shared" si="28"/>
        <v>-0.31129371154134766</v>
      </c>
      <c r="CA23" s="367"/>
    </row>
    <row r="24" spans="1:79" s="356" customFormat="1">
      <c r="A24" s="1679"/>
      <c r="B24" s="1682"/>
      <c r="C24" s="342">
        <v>8.1999999999999993</v>
      </c>
      <c r="D24" s="387" t="s">
        <v>2159</v>
      </c>
      <c r="E24" s="380" t="s">
        <v>1115</v>
      </c>
      <c r="F24" s="394" t="s">
        <v>1181</v>
      </c>
      <c r="G24" s="388"/>
      <c r="H24" s="386"/>
      <c r="I24" s="388"/>
      <c r="J24" s="679">
        <f t="shared" si="17"/>
        <v>3666308.7509999997</v>
      </c>
      <c r="K24" s="389"/>
      <c r="L24" s="679">
        <f t="shared" si="18"/>
        <v>5791326.8729999997</v>
      </c>
      <c r="M24" s="389"/>
      <c r="N24" s="390">
        <f t="shared" si="13"/>
        <v>0</v>
      </c>
      <c r="O24" s="362">
        <f t="shared" si="0"/>
        <v>0</v>
      </c>
      <c r="P24" s="354">
        <f t="shared" si="14"/>
        <v>0</v>
      </c>
      <c r="Q24" s="354">
        <f t="shared" si="15"/>
        <v>0</v>
      </c>
      <c r="R24" s="354">
        <f t="shared" si="16"/>
        <v>0</v>
      </c>
      <c r="S24" s="355"/>
      <c r="T24" s="342">
        <v>2155122.9</v>
      </c>
      <c r="U24" s="361"/>
      <c r="V24" s="342">
        <v>1923149.6</v>
      </c>
      <c r="W24" s="1238"/>
      <c r="X24" s="22">
        <f>IF(AND(T24=0,V24&lt;&gt;0),1,IF(AND(T24=0,V24=0),0,V24/T24-1))</f>
        <v>-0.10763808412039977</v>
      </c>
      <c r="Y24" s="355"/>
      <c r="Z24" s="342">
        <v>4569623.6500000004</v>
      </c>
      <c r="AA24" s="361"/>
      <c r="AB24" s="342">
        <v>4862007.4800000004</v>
      </c>
      <c r="AC24" s="1238"/>
      <c r="AD24" s="22">
        <f t="shared" si="20"/>
        <v>6.398422548430216E-2</v>
      </c>
      <c r="AE24" s="355"/>
      <c r="AF24" s="342">
        <v>6367571.5700000003</v>
      </c>
      <c r="AG24" s="361"/>
      <c r="AH24" s="342">
        <v>14254970.08</v>
      </c>
      <c r="AI24" s="1238"/>
      <c r="AJ24" s="22">
        <f t="shared" si="21"/>
        <v>1.238682349038756</v>
      </c>
      <c r="AK24" s="355"/>
      <c r="AL24" s="342">
        <v>1505785.58</v>
      </c>
      <c r="AM24" s="361"/>
      <c r="AN24" s="342">
        <v>972369.69</v>
      </c>
      <c r="AO24" s="1238"/>
      <c r="AP24" s="22">
        <f t="shared" si="22"/>
        <v>-0.3542442543512736</v>
      </c>
      <c r="AQ24" s="355"/>
      <c r="AR24" s="342">
        <v>4738122.5</v>
      </c>
      <c r="AS24" s="361"/>
      <c r="AT24" s="342">
        <v>9250810.9299999997</v>
      </c>
      <c r="AU24" s="1238"/>
      <c r="AV24" s="22">
        <f t="shared" si="23"/>
        <v>0.95242122380753136</v>
      </c>
      <c r="AW24" s="355"/>
      <c r="AX24" s="342">
        <v>8095123.8200000003</v>
      </c>
      <c r="AY24" s="361"/>
      <c r="AZ24" s="342">
        <v>9085220.2699999996</v>
      </c>
      <c r="BA24" s="1238"/>
      <c r="BB24" s="22">
        <f t="shared" si="24"/>
        <v>0.12230775859831122</v>
      </c>
      <c r="BC24" s="355"/>
      <c r="BD24" s="342">
        <v>878260.26</v>
      </c>
      <c r="BE24" s="361"/>
      <c r="BF24" s="342">
        <v>2766947.87</v>
      </c>
      <c r="BG24" s="1238"/>
      <c r="BH24" s="22">
        <f t="shared" si="25"/>
        <v>2.1504873851402544</v>
      </c>
      <c r="BI24" s="355"/>
      <c r="BJ24" s="342">
        <v>6589651.5599999996</v>
      </c>
      <c r="BK24" s="361"/>
      <c r="BL24" s="342">
        <v>12549746.619999999</v>
      </c>
      <c r="BM24" s="1238"/>
      <c r="BN24" s="22">
        <f t="shared" si="26"/>
        <v>0.90446285448209651</v>
      </c>
      <c r="BO24" s="355"/>
      <c r="BP24" s="342">
        <v>646212.82999999996</v>
      </c>
      <c r="BQ24" s="361"/>
      <c r="BR24" s="342">
        <v>834485.46</v>
      </c>
      <c r="BS24" s="1238"/>
      <c r="BT24" s="22">
        <f t="shared" si="27"/>
        <v>0.29134771279610772</v>
      </c>
      <c r="BU24" s="355"/>
      <c r="BV24" s="342">
        <v>1117612.8400000001</v>
      </c>
      <c r="BW24" s="361"/>
      <c r="BX24" s="342">
        <v>1413560.73</v>
      </c>
      <c r="BY24" s="1238"/>
      <c r="BZ24" s="22">
        <f t="shared" si="28"/>
        <v>0.2648035879759576</v>
      </c>
      <c r="CA24" s="367"/>
    </row>
    <row r="25" spans="1:79" s="356" customFormat="1">
      <c r="A25" s="1692" t="s">
        <v>1191</v>
      </c>
      <c r="B25" s="1695" t="s">
        <v>1986</v>
      </c>
      <c r="C25" s="379">
        <v>9</v>
      </c>
      <c r="D25" s="392" t="s">
        <v>2151</v>
      </c>
      <c r="E25" s="380" t="s">
        <v>1115</v>
      </c>
      <c r="F25" s="384" t="s">
        <v>1123</v>
      </c>
      <c r="G25" s="388" t="s">
        <v>1150</v>
      </c>
      <c r="H25" s="1683" t="s">
        <v>1168</v>
      </c>
      <c r="I25" s="1685">
        <v>4</v>
      </c>
      <c r="J25" s="679">
        <f t="shared" si="17"/>
        <v>0</v>
      </c>
      <c r="K25" s="1686">
        <f>AVERAGE(BW25,BQ25,BK25,BE25,AY25,AS25,AM25,AG25,AA25,U25)</f>
        <v>4</v>
      </c>
      <c r="L25" s="679">
        <f t="shared" si="18"/>
        <v>0</v>
      </c>
      <c r="M25" s="1686">
        <f>AVERAGE(BY25,BS25,BM25,BG25,BA25,AU25,AO25,AI25,AC25,W25)</f>
        <v>4</v>
      </c>
      <c r="N25" s="390">
        <f t="shared" si="13"/>
        <v>0</v>
      </c>
      <c r="O25" s="362">
        <f t="shared" si="0"/>
        <v>0</v>
      </c>
      <c r="P25" s="354">
        <f t="shared" si="14"/>
        <v>0</v>
      </c>
      <c r="Q25" s="354">
        <f t="shared" si="15"/>
        <v>0</v>
      </c>
      <c r="R25" s="354">
        <f t="shared" si="16"/>
        <v>0</v>
      </c>
      <c r="S25" s="355"/>
      <c r="T25" s="342">
        <v>0</v>
      </c>
      <c r="U25" s="1675">
        <f>4-SUM(T25:T28)</f>
        <v>4</v>
      </c>
      <c r="V25" s="342">
        <v>0</v>
      </c>
      <c r="W25" s="1676">
        <f>4-SUM(V25:V28)</f>
        <v>4</v>
      </c>
      <c r="X25" s="22">
        <f t="shared" si="19"/>
        <v>0</v>
      </c>
      <c r="Y25" s="355"/>
      <c r="Z25" s="342">
        <v>0</v>
      </c>
      <c r="AA25" s="1675">
        <f>4-SUM(Z25:Z28)</f>
        <v>4</v>
      </c>
      <c r="AB25" s="342">
        <v>0</v>
      </c>
      <c r="AC25" s="1676">
        <f>4-SUM(AB25:AB28)</f>
        <v>4</v>
      </c>
      <c r="AD25" s="22">
        <f t="shared" si="20"/>
        <v>0</v>
      </c>
      <c r="AE25" s="355"/>
      <c r="AF25" s="342">
        <v>0</v>
      </c>
      <c r="AG25" s="1675">
        <f>4-SUM(AF25:AF28)</f>
        <v>4</v>
      </c>
      <c r="AH25" s="342">
        <v>0</v>
      </c>
      <c r="AI25" s="1676">
        <f>4-SUM(AH25:AH28)</f>
        <v>4</v>
      </c>
      <c r="AJ25" s="22">
        <f t="shared" si="21"/>
        <v>0</v>
      </c>
      <c r="AK25" s="355"/>
      <c r="AL25" s="342">
        <v>0</v>
      </c>
      <c r="AM25" s="1675">
        <f>4-SUM(AL25:AL28)</f>
        <v>4</v>
      </c>
      <c r="AN25" s="342">
        <v>0</v>
      </c>
      <c r="AO25" s="1676">
        <f>4-SUM(AN25:AN28)</f>
        <v>4</v>
      </c>
      <c r="AP25" s="22">
        <f t="shared" si="22"/>
        <v>0</v>
      </c>
      <c r="AQ25" s="355"/>
      <c r="AR25" s="342">
        <v>0</v>
      </c>
      <c r="AS25" s="1675">
        <f>4-SUM(AR25:AR28)</f>
        <v>4</v>
      </c>
      <c r="AT25" s="342">
        <v>0</v>
      </c>
      <c r="AU25" s="1676">
        <f>4-SUM(AT25:AT28)</f>
        <v>4</v>
      </c>
      <c r="AV25" s="22">
        <f t="shared" si="23"/>
        <v>0</v>
      </c>
      <c r="AW25" s="355"/>
      <c r="AX25" s="342">
        <v>0</v>
      </c>
      <c r="AY25" s="1675">
        <f>4-SUM(AX25:AX28)</f>
        <v>4</v>
      </c>
      <c r="AZ25" s="342">
        <v>0</v>
      </c>
      <c r="BA25" s="1676">
        <f>4-SUM(AZ25:AZ28)</f>
        <v>4</v>
      </c>
      <c r="BB25" s="22">
        <f t="shared" si="24"/>
        <v>0</v>
      </c>
      <c r="BC25" s="355"/>
      <c r="BD25" s="342">
        <v>0</v>
      </c>
      <c r="BE25" s="1675">
        <f>4-SUM(BD25:BD28)</f>
        <v>4</v>
      </c>
      <c r="BF25" s="342">
        <v>0</v>
      </c>
      <c r="BG25" s="1676">
        <f>4-SUM(BF25:BF28)</f>
        <v>4</v>
      </c>
      <c r="BH25" s="22">
        <f t="shared" si="25"/>
        <v>0</v>
      </c>
      <c r="BI25" s="355"/>
      <c r="BJ25" s="342">
        <v>0</v>
      </c>
      <c r="BK25" s="1675">
        <f>4-SUM(BJ25:BJ28)</f>
        <v>4</v>
      </c>
      <c r="BL25" s="342">
        <v>0</v>
      </c>
      <c r="BM25" s="1676">
        <f>4-SUM(BL25:BL28)</f>
        <v>4</v>
      </c>
      <c r="BN25" s="22">
        <f t="shared" si="26"/>
        <v>0</v>
      </c>
      <c r="BO25" s="355"/>
      <c r="BP25" s="342">
        <v>0</v>
      </c>
      <c r="BQ25" s="1675">
        <f>4-SUM(BP25:BP28)</f>
        <v>4</v>
      </c>
      <c r="BR25" s="342">
        <v>0</v>
      </c>
      <c r="BS25" s="1676">
        <f>4-SUM(BR25:BR28)</f>
        <v>4</v>
      </c>
      <c r="BT25" s="22">
        <f t="shared" si="27"/>
        <v>0</v>
      </c>
      <c r="BU25" s="355"/>
      <c r="BV25" s="342">
        <v>0</v>
      </c>
      <c r="BW25" s="1675">
        <f>4-SUM(BV25:BV28)</f>
        <v>4</v>
      </c>
      <c r="BX25" s="342">
        <v>0</v>
      </c>
      <c r="BY25" s="1676">
        <f>4-SUM(BX25:BX28)</f>
        <v>4</v>
      </c>
      <c r="BZ25" s="22">
        <f t="shared" si="28"/>
        <v>0</v>
      </c>
      <c r="CA25" s="367"/>
    </row>
    <row r="26" spans="1:79" s="356" customFormat="1">
      <c r="A26" s="1693"/>
      <c r="B26" s="1696"/>
      <c r="C26" s="379">
        <v>10</v>
      </c>
      <c r="D26" s="392" t="s">
        <v>1994</v>
      </c>
      <c r="E26" s="380" t="s">
        <v>1115</v>
      </c>
      <c r="F26" s="384" t="s">
        <v>1123</v>
      </c>
      <c r="G26" s="388" t="s">
        <v>1150</v>
      </c>
      <c r="H26" s="1683"/>
      <c r="I26" s="1685"/>
      <c r="J26" s="679">
        <f t="shared" si="17"/>
        <v>0</v>
      </c>
      <c r="K26" s="1687"/>
      <c r="L26" s="679">
        <f t="shared" si="18"/>
        <v>0</v>
      </c>
      <c r="M26" s="1687"/>
      <c r="N26" s="390">
        <f t="shared" si="13"/>
        <v>0</v>
      </c>
      <c r="O26" s="362">
        <f t="shared" si="0"/>
        <v>0</v>
      </c>
      <c r="P26" s="354">
        <f t="shared" si="14"/>
        <v>0</v>
      </c>
      <c r="Q26" s="354">
        <f t="shared" si="15"/>
        <v>0</v>
      </c>
      <c r="R26" s="354">
        <f t="shared" si="16"/>
        <v>0</v>
      </c>
      <c r="S26" s="355"/>
      <c r="T26" s="342">
        <v>0</v>
      </c>
      <c r="U26" s="1675"/>
      <c r="V26" s="342">
        <v>0</v>
      </c>
      <c r="W26" s="1676"/>
      <c r="X26" s="22">
        <f t="shared" si="19"/>
        <v>0</v>
      </c>
      <c r="Y26" s="355"/>
      <c r="Z26" s="342">
        <v>0</v>
      </c>
      <c r="AA26" s="1675"/>
      <c r="AB26" s="342">
        <v>0</v>
      </c>
      <c r="AC26" s="1676"/>
      <c r="AD26" s="22">
        <f t="shared" si="20"/>
        <v>0</v>
      </c>
      <c r="AE26" s="355"/>
      <c r="AF26" s="342">
        <v>0</v>
      </c>
      <c r="AG26" s="1675"/>
      <c r="AH26" s="342">
        <v>0</v>
      </c>
      <c r="AI26" s="1676"/>
      <c r="AJ26" s="22">
        <f t="shared" si="21"/>
        <v>0</v>
      </c>
      <c r="AK26" s="355"/>
      <c r="AL26" s="342">
        <v>0</v>
      </c>
      <c r="AM26" s="1675"/>
      <c r="AN26" s="342">
        <v>0</v>
      </c>
      <c r="AO26" s="1676"/>
      <c r="AP26" s="22">
        <f t="shared" si="22"/>
        <v>0</v>
      </c>
      <c r="AQ26" s="355"/>
      <c r="AR26" s="342">
        <v>0</v>
      </c>
      <c r="AS26" s="1675"/>
      <c r="AT26" s="342">
        <v>0</v>
      </c>
      <c r="AU26" s="1676"/>
      <c r="AV26" s="22">
        <f t="shared" si="23"/>
        <v>0</v>
      </c>
      <c r="AW26" s="355"/>
      <c r="AX26" s="342">
        <v>0</v>
      </c>
      <c r="AY26" s="1675"/>
      <c r="AZ26" s="342">
        <v>0</v>
      </c>
      <c r="BA26" s="1676"/>
      <c r="BB26" s="22">
        <f t="shared" si="24"/>
        <v>0</v>
      </c>
      <c r="BC26" s="355"/>
      <c r="BD26" s="342">
        <v>0</v>
      </c>
      <c r="BE26" s="1675"/>
      <c r="BF26" s="342">
        <v>0</v>
      </c>
      <c r="BG26" s="1676"/>
      <c r="BH26" s="22">
        <f t="shared" si="25"/>
        <v>0</v>
      </c>
      <c r="BI26" s="355"/>
      <c r="BJ26" s="342">
        <v>0</v>
      </c>
      <c r="BK26" s="1675"/>
      <c r="BL26" s="342">
        <v>0</v>
      </c>
      <c r="BM26" s="1676"/>
      <c r="BN26" s="22">
        <f t="shared" si="26"/>
        <v>0</v>
      </c>
      <c r="BO26" s="355"/>
      <c r="BP26" s="342">
        <v>0</v>
      </c>
      <c r="BQ26" s="1675"/>
      <c r="BR26" s="342">
        <v>0</v>
      </c>
      <c r="BS26" s="1676"/>
      <c r="BT26" s="22">
        <f t="shared" si="27"/>
        <v>0</v>
      </c>
      <c r="BU26" s="355"/>
      <c r="BV26" s="342">
        <v>0</v>
      </c>
      <c r="BW26" s="1675"/>
      <c r="BX26" s="342">
        <v>0</v>
      </c>
      <c r="BY26" s="1676"/>
      <c r="BZ26" s="22">
        <f t="shared" si="28"/>
        <v>0</v>
      </c>
      <c r="CA26" s="367"/>
    </row>
    <row r="27" spans="1:79" s="356" customFormat="1">
      <c r="A27" s="1693"/>
      <c r="B27" s="1696"/>
      <c r="C27" s="379">
        <v>11</v>
      </c>
      <c r="D27" s="392" t="s">
        <v>2152</v>
      </c>
      <c r="E27" s="380" t="s">
        <v>1115</v>
      </c>
      <c r="F27" s="384" t="s">
        <v>1123</v>
      </c>
      <c r="G27" s="388" t="s">
        <v>1150</v>
      </c>
      <c r="H27" s="1683"/>
      <c r="I27" s="1685"/>
      <c r="J27" s="679">
        <f t="shared" si="17"/>
        <v>0</v>
      </c>
      <c r="K27" s="1687"/>
      <c r="L27" s="679">
        <f t="shared" si="18"/>
        <v>0</v>
      </c>
      <c r="M27" s="1687"/>
      <c r="N27" s="390">
        <f t="shared" si="13"/>
        <v>0</v>
      </c>
      <c r="O27" s="362">
        <f t="shared" si="0"/>
        <v>0</v>
      </c>
      <c r="P27" s="354">
        <f t="shared" si="14"/>
        <v>0</v>
      </c>
      <c r="Q27" s="354">
        <f t="shared" si="15"/>
        <v>0</v>
      </c>
      <c r="R27" s="354">
        <f t="shared" si="16"/>
        <v>0</v>
      </c>
      <c r="S27" s="355"/>
      <c r="T27" s="342">
        <v>0</v>
      </c>
      <c r="U27" s="1675"/>
      <c r="V27" s="342">
        <v>0</v>
      </c>
      <c r="W27" s="1676"/>
      <c r="X27" s="22">
        <f t="shared" si="19"/>
        <v>0</v>
      </c>
      <c r="Y27" s="355"/>
      <c r="Z27" s="342">
        <v>0</v>
      </c>
      <c r="AA27" s="1675"/>
      <c r="AB27" s="342">
        <v>0</v>
      </c>
      <c r="AC27" s="1676"/>
      <c r="AD27" s="22">
        <f t="shared" si="20"/>
        <v>0</v>
      </c>
      <c r="AE27" s="355"/>
      <c r="AF27" s="342">
        <v>0</v>
      </c>
      <c r="AG27" s="1675"/>
      <c r="AH27" s="342">
        <v>0</v>
      </c>
      <c r="AI27" s="1676"/>
      <c r="AJ27" s="22">
        <f t="shared" si="21"/>
        <v>0</v>
      </c>
      <c r="AK27" s="355"/>
      <c r="AL27" s="342">
        <v>0</v>
      </c>
      <c r="AM27" s="1675"/>
      <c r="AN27" s="342">
        <v>0</v>
      </c>
      <c r="AO27" s="1676"/>
      <c r="AP27" s="22">
        <f t="shared" si="22"/>
        <v>0</v>
      </c>
      <c r="AQ27" s="355"/>
      <c r="AR27" s="342">
        <v>0</v>
      </c>
      <c r="AS27" s="1675"/>
      <c r="AT27" s="342">
        <v>0</v>
      </c>
      <c r="AU27" s="1676"/>
      <c r="AV27" s="22">
        <f t="shared" si="23"/>
        <v>0</v>
      </c>
      <c r="AW27" s="355"/>
      <c r="AX27" s="342">
        <v>0</v>
      </c>
      <c r="AY27" s="1675"/>
      <c r="AZ27" s="342">
        <v>0</v>
      </c>
      <c r="BA27" s="1676"/>
      <c r="BB27" s="22">
        <f t="shared" si="24"/>
        <v>0</v>
      </c>
      <c r="BC27" s="355"/>
      <c r="BD27" s="342">
        <v>0</v>
      </c>
      <c r="BE27" s="1675"/>
      <c r="BF27" s="342">
        <v>0</v>
      </c>
      <c r="BG27" s="1676"/>
      <c r="BH27" s="22">
        <f t="shared" si="25"/>
        <v>0</v>
      </c>
      <c r="BI27" s="355"/>
      <c r="BJ27" s="342">
        <v>0</v>
      </c>
      <c r="BK27" s="1675"/>
      <c r="BL27" s="342">
        <v>0</v>
      </c>
      <c r="BM27" s="1676"/>
      <c r="BN27" s="22">
        <f t="shared" si="26"/>
        <v>0</v>
      </c>
      <c r="BO27" s="355"/>
      <c r="BP27" s="342">
        <v>0</v>
      </c>
      <c r="BQ27" s="1675"/>
      <c r="BR27" s="342">
        <v>0</v>
      </c>
      <c r="BS27" s="1676"/>
      <c r="BT27" s="22">
        <f t="shared" si="27"/>
        <v>0</v>
      </c>
      <c r="BU27" s="355"/>
      <c r="BV27" s="342">
        <v>0</v>
      </c>
      <c r="BW27" s="1675"/>
      <c r="BX27" s="342">
        <v>0</v>
      </c>
      <c r="BY27" s="1676"/>
      <c r="BZ27" s="22">
        <f t="shared" si="28"/>
        <v>0</v>
      </c>
      <c r="CA27" s="367"/>
    </row>
    <row r="28" spans="1:79" s="356" customFormat="1">
      <c r="A28" s="1694"/>
      <c r="B28" s="1697"/>
      <c r="C28" s="379">
        <v>12</v>
      </c>
      <c r="D28" s="392" t="s">
        <v>2153</v>
      </c>
      <c r="E28" s="380" t="s">
        <v>1115</v>
      </c>
      <c r="F28" s="384" t="s">
        <v>1123</v>
      </c>
      <c r="G28" s="388" t="s">
        <v>1150</v>
      </c>
      <c r="H28" s="1683"/>
      <c r="I28" s="1685"/>
      <c r="J28" s="679">
        <f t="shared" si="17"/>
        <v>0</v>
      </c>
      <c r="K28" s="1688"/>
      <c r="L28" s="679">
        <f t="shared" si="18"/>
        <v>0</v>
      </c>
      <c r="M28" s="1688"/>
      <c r="N28" s="390">
        <f t="shared" si="13"/>
        <v>0</v>
      </c>
      <c r="O28" s="362">
        <f t="shared" si="0"/>
        <v>0</v>
      </c>
      <c r="P28" s="354">
        <f t="shared" si="14"/>
        <v>0</v>
      </c>
      <c r="Q28" s="354">
        <f t="shared" si="15"/>
        <v>0</v>
      </c>
      <c r="R28" s="354">
        <f t="shared" si="16"/>
        <v>0</v>
      </c>
      <c r="S28" s="355"/>
      <c r="T28" s="342">
        <v>0</v>
      </c>
      <c r="U28" s="1675"/>
      <c r="V28" s="342">
        <v>0</v>
      </c>
      <c r="W28" s="1676"/>
      <c r="X28" s="22">
        <f t="shared" si="19"/>
        <v>0</v>
      </c>
      <c r="Y28" s="355"/>
      <c r="Z28" s="342">
        <v>0</v>
      </c>
      <c r="AA28" s="1675"/>
      <c r="AB28" s="342">
        <v>0</v>
      </c>
      <c r="AC28" s="1676"/>
      <c r="AD28" s="22">
        <f t="shared" si="20"/>
        <v>0</v>
      </c>
      <c r="AE28" s="355"/>
      <c r="AF28" s="342">
        <v>0</v>
      </c>
      <c r="AG28" s="1675"/>
      <c r="AH28" s="342">
        <v>0</v>
      </c>
      <c r="AI28" s="1676"/>
      <c r="AJ28" s="22">
        <f t="shared" si="21"/>
        <v>0</v>
      </c>
      <c r="AK28" s="355"/>
      <c r="AL28" s="342">
        <v>0</v>
      </c>
      <c r="AM28" s="1675"/>
      <c r="AN28" s="342">
        <v>0</v>
      </c>
      <c r="AO28" s="1676"/>
      <c r="AP28" s="22">
        <f t="shared" si="22"/>
        <v>0</v>
      </c>
      <c r="AQ28" s="355"/>
      <c r="AR28" s="342">
        <v>0</v>
      </c>
      <c r="AS28" s="1675"/>
      <c r="AT28" s="342">
        <v>0</v>
      </c>
      <c r="AU28" s="1676"/>
      <c r="AV28" s="22">
        <f t="shared" si="23"/>
        <v>0</v>
      </c>
      <c r="AW28" s="355"/>
      <c r="AX28" s="342">
        <v>0</v>
      </c>
      <c r="AY28" s="1675"/>
      <c r="AZ28" s="342">
        <v>0</v>
      </c>
      <c r="BA28" s="1676"/>
      <c r="BB28" s="22">
        <f t="shared" si="24"/>
        <v>0</v>
      </c>
      <c r="BC28" s="355"/>
      <c r="BD28" s="342">
        <v>0</v>
      </c>
      <c r="BE28" s="1675"/>
      <c r="BF28" s="342">
        <v>0</v>
      </c>
      <c r="BG28" s="1676"/>
      <c r="BH28" s="22">
        <f t="shared" si="25"/>
        <v>0</v>
      </c>
      <c r="BI28" s="355"/>
      <c r="BJ28" s="342">
        <v>0</v>
      </c>
      <c r="BK28" s="1675"/>
      <c r="BL28" s="342">
        <v>0</v>
      </c>
      <c r="BM28" s="1676"/>
      <c r="BN28" s="22">
        <f t="shared" si="26"/>
        <v>0</v>
      </c>
      <c r="BO28" s="355"/>
      <c r="BP28" s="342">
        <v>0</v>
      </c>
      <c r="BQ28" s="1675"/>
      <c r="BR28" s="342">
        <v>0</v>
      </c>
      <c r="BS28" s="1676"/>
      <c r="BT28" s="22">
        <f t="shared" si="27"/>
        <v>0</v>
      </c>
      <c r="BU28" s="355"/>
      <c r="BV28" s="342">
        <v>0</v>
      </c>
      <c r="BW28" s="1675"/>
      <c r="BX28" s="342">
        <v>0</v>
      </c>
      <c r="BY28" s="1676"/>
      <c r="BZ28" s="22">
        <f t="shared" si="28"/>
        <v>0</v>
      </c>
      <c r="CA28" s="367"/>
    </row>
    <row r="29" spans="1:79" s="356" customFormat="1" ht="14.25" customHeight="1">
      <c r="A29" s="1677" t="s">
        <v>1455</v>
      </c>
      <c r="B29" s="1680" t="s">
        <v>1195</v>
      </c>
      <c r="C29" s="379">
        <v>13</v>
      </c>
      <c r="D29" s="1204" t="s">
        <v>1463</v>
      </c>
      <c r="E29" s="380" t="s">
        <v>1115</v>
      </c>
      <c r="F29" s="384" t="s">
        <v>1123</v>
      </c>
      <c r="G29" s="388" t="s">
        <v>1105</v>
      </c>
      <c r="H29" s="1700" t="s">
        <v>1168</v>
      </c>
      <c r="I29" s="1685">
        <v>20</v>
      </c>
      <c r="J29" s="679">
        <f t="shared" si="17"/>
        <v>0</v>
      </c>
      <c r="K29" s="1686">
        <f>AVERAGE(BW29,BQ29,BK29,BE29,AY29,AS29,AM29,AG29,AA29,U29)</f>
        <v>20</v>
      </c>
      <c r="L29" s="679">
        <f t="shared" si="18"/>
        <v>0</v>
      </c>
      <c r="M29" s="1686">
        <f>AVERAGE(BY29,BS29,BM29,BG29,BA29,AU29,AO29,AI29,AC29,W29)</f>
        <v>20</v>
      </c>
      <c r="N29" s="390">
        <f t="shared" si="13"/>
        <v>0</v>
      </c>
      <c r="O29" s="362">
        <f t="shared" si="0"/>
        <v>0</v>
      </c>
      <c r="P29" s="354">
        <f t="shared" si="14"/>
        <v>0</v>
      </c>
      <c r="Q29" s="354">
        <f t="shared" si="15"/>
        <v>0</v>
      </c>
      <c r="R29" s="354">
        <f t="shared" si="16"/>
        <v>0</v>
      </c>
      <c r="S29" s="355"/>
      <c r="T29" s="342">
        <v>0</v>
      </c>
      <c r="U29" s="1675">
        <f>20-T29*0.5-T30*3</f>
        <v>20</v>
      </c>
      <c r="V29" s="342">
        <v>0</v>
      </c>
      <c r="W29" s="1676">
        <f>20-V29*0.5-V30*3</f>
        <v>20</v>
      </c>
      <c r="X29" s="22">
        <f t="shared" si="19"/>
        <v>0</v>
      </c>
      <c r="Y29" s="355"/>
      <c r="Z29" s="342">
        <v>0</v>
      </c>
      <c r="AA29" s="1675">
        <f>20-Z29*0.5-Z30*3</f>
        <v>20</v>
      </c>
      <c r="AB29" s="342">
        <v>0</v>
      </c>
      <c r="AC29" s="1676">
        <f>20-AB29*0.5-AB30*3</f>
        <v>20</v>
      </c>
      <c r="AD29" s="22">
        <f t="shared" si="20"/>
        <v>0</v>
      </c>
      <c r="AE29" s="355"/>
      <c r="AF29" s="342">
        <v>0</v>
      </c>
      <c r="AG29" s="1675">
        <f>20-AF29*0.5-AF30*3</f>
        <v>20</v>
      </c>
      <c r="AH29" s="342">
        <v>0</v>
      </c>
      <c r="AI29" s="1676">
        <f>20-AH29*0.5-AH30*3</f>
        <v>20</v>
      </c>
      <c r="AJ29" s="22">
        <f t="shared" si="21"/>
        <v>0</v>
      </c>
      <c r="AK29" s="355"/>
      <c r="AL29" s="342">
        <v>0</v>
      </c>
      <c r="AM29" s="1675">
        <f>20-AL29*0.5-AL30*3</f>
        <v>20</v>
      </c>
      <c r="AN29" s="342">
        <v>0</v>
      </c>
      <c r="AO29" s="1676">
        <f>20-AN29*0.5-AN30*3</f>
        <v>20</v>
      </c>
      <c r="AP29" s="22">
        <f t="shared" si="22"/>
        <v>0</v>
      </c>
      <c r="AQ29" s="355"/>
      <c r="AR29" s="342">
        <v>0</v>
      </c>
      <c r="AS29" s="1675">
        <f>20-AR29*0.5-AR30*3</f>
        <v>20</v>
      </c>
      <c r="AT29" s="342">
        <v>0</v>
      </c>
      <c r="AU29" s="1676">
        <f>20-AT29*0.5-AT30*3</f>
        <v>20</v>
      </c>
      <c r="AV29" s="22">
        <f t="shared" si="23"/>
        <v>0</v>
      </c>
      <c r="AW29" s="355"/>
      <c r="AX29" s="342">
        <v>0</v>
      </c>
      <c r="AY29" s="1675">
        <f>20-AX29*0.5-AX30*3</f>
        <v>20</v>
      </c>
      <c r="AZ29" s="342">
        <v>0</v>
      </c>
      <c r="BA29" s="1676">
        <f>20-AZ29*0.5-AZ30*3</f>
        <v>20</v>
      </c>
      <c r="BB29" s="22">
        <f t="shared" si="24"/>
        <v>0</v>
      </c>
      <c r="BC29" s="355"/>
      <c r="BD29" s="342">
        <v>0</v>
      </c>
      <c r="BE29" s="1675">
        <f>20-BD29*0.5-BD30*3</f>
        <v>20</v>
      </c>
      <c r="BF29" s="342">
        <v>0</v>
      </c>
      <c r="BG29" s="1676">
        <f>20-BF29*0.5-BF30*3</f>
        <v>20</v>
      </c>
      <c r="BH29" s="22">
        <f t="shared" si="25"/>
        <v>0</v>
      </c>
      <c r="BI29" s="355"/>
      <c r="BJ29" s="342">
        <v>0</v>
      </c>
      <c r="BK29" s="1675">
        <f>20-BJ29*0.5-BJ30*3</f>
        <v>20</v>
      </c>
      <c r="BL29" s="342">
        <v>0</v>
      </c>
      <c r="BM29" s="1676">
        <f>20-BL29*0.5-BL30*3</f>
        <v>20</v>
      </c>
      <c r="BN29" s="22">
        <f t="shared" si="26"/>
        <v>0</v>
      </c>
      <c r="BO29" s="355"/>
      <c r="BP29" s="342">
        <v>0</v>
      </c>
      <c r="BQ29" s="1675">
        <f>20-BP29*0.5-BP30*3</f>
        <v>20</v>
      </c>
      <c r="BR29" s="342">
        <v>0</v>
      </c>
      <c r="BS29" s="1676">
        <f>20-BR29*0.5-BR30*3</f>
        <v>20</v>
      </c>
      <c r="BT29" s="22">
        <f t="shared" si="27"/>
        <v>0</v>
      </c>
      <c r="BU29" s="355"/>
      <c r="BV29" s="342">
        <v>0</v>
      </c>
      <c r="BW29" s="1675">
        <f>20-BV29*0.5-BV30*3</f>
        <v>20</v>
      </c>
      <c r="BX29" s="342">
        <v>0</v>
      </c>
      <c r="BY29" s="1676">
        <f>20-BX29*0.5-BX30*3</f>
        <v>20</v>
      </c>
      <c r="BZ29" s="22">
        <f t="shared" si="28"/>
        <v>0</v>
      </c>
      <c r="CA29" s="367"/>
    </row>
    <row r="30" spans="1:79" s="356" customFormat="1">
      <c r="A30" s="1679"/>
      <c r="B30" s="1682"/>
      <c r="C30" s="379">
        <v>14</v>
      </c>
      <c r="D30" s="392" t="s">
        <v>2154</v>
      </c>
      <c r="E30" s="380" t="s">
        <v>1115</v>
      </c>
      <c r="F30" s="384" t="s">
        <v>1123</v>
      </c>
      <c r="G30" s="388" t="s">
        <v>1105</v>
      </c>
      <c r="H30" s="1701"/>
      <c r="I30" s="1685"/>
      <c r="J30" s="679">
        <f t="shared" si="17"/>
        <v>0</v>
      </c>
      <c r="K30" s="1688"/>
      <c r="L30" s="679">
        <f t="shared" si="18"/>
        <v>0</v>
      </c>
      <c r="M30" s="1688"/>
      <c r="N30" s="390">
        <f t="shared" si="13"/>
        <v>0</v>
      </c>
      <c r="O30" s="362">
        <f t="shared" si="0"/>
        <v>0</v>
      </c>
      <c r="P30" s="354">
        <f t="shared" si="14"/>
        <v>0</v>
      </c>
      <c r="Q30" s="354">
        <f t="shared" si="15"/>
        <v>0</v>
      </c>
      <c r="R30" s="354">
        <f t="shared" si="16"/>
        <v>0</v>
      </c>
      <c r="S30" s="355"/>
      <c r="T30" s="342">
        <v>0</v>
      </c>
      <c r="U30" s="1675"/>
      <c r="V30" s="342">
        <v>0</v>
      </c>
      <c r="W30" s="1676"/>
      <c r="X30" s="22">
        <f t="shared" si="19"/>
        <v>0</v>
      </c>
      <c r="Y30" s="355"/>
      <c r="Z30" s="342">
        <v>0</v>
      </c>
      <c r="AA30" s="1675"/>
      <c r="AB30" s="342">
        <v>0</v>
      </c>
      <c r="AC30" s="1676"/>
      <c r="AD30" s="22">
        <f t="shared" si="20"/>
        <v>0</v>
      </c>
      <c r="AE30" s="355"/>
      <c r="AF30" s="342">
        <v>0</v>
      </c>
      <c r="AG30" s="1675"/>
      <c r="AH30" s="342">
        <v>0</v>
      </c>
      <c r="AI30" s="1676"/>
      <c r="AJ30" s="22">
        <f t="shared" si="21"/>
        <v>0</v>
      </c>
      <c r="AK30" s="355"/>
      <c r="AL30" s="342">
        <v>0</v>
      </c>
      <c r="AM30" s="1675"/>
      <c r="AN30" s="342">
        <v>0</v>
      </c>
      <c r="AO30" s="1676"/>
      <c r="AP30" s="22">
        <f t="shared" si="22"/>
        <v>0</v>
      </c>
      <c r="AQ30" s="355"/>
      <c r="AR30" s="342">
        <v>0</v>
      </c>
      <c r="AS30" s="1675"/>
      <c r="AT30" s="342">
        <v>0</v>
      </c>
      <c r="AU30" s="1676"/>
      <c r="AV30" s="22">
        <f t="shared" si="23"/>
        <v>0</v>
      </c>
      <c r="AW30" s="355"/>
      <c r="AX30" s="342">
        <v>0</v>
      </c>
      <c r="AY30" s="1675"/>
      <c r="AZ30" s="342">
        <v>0</v>
      </c>
      <c r="BA30" s="1676"/>
      <c r="BB30" s="22">
        <f t="shared" si="24"/>
        <v>0</v>
      </c>
      <c r="BC30" s="355"/>
      <c r="BD30" s="342">
        <v>0</v>
      </c>
      <c r="BE30" s="1675"/>
      <c r="BF30" s="342">
        <v>0</v>
      </c>
      <c r="BG30" s="1676"/>
      <c r="BH30" s="22">
        <f t="shared" si="25"/>
        <v>0</v>
      </c>
      <c r="BI30" s="355"/>
      <c r="BJ30" s="342">
        <v>0</v>
      </c>
      <c r="BK30" s="1675"/>
      <c r="BL30" s="342">
        <v>0</v>
      </c>
      <c r="BM30" s="1676"/>
      <c r="BN30" s="22">
        <f t="shared" si="26"/>
        <v>0</v>
      </c>
      <c r="BO30" s="355"/>
      <c r="BP30" s="342">
        <v>0</v>
      </c>
      <c r="BQ30" s="1675"/>
      <c r="BR30" s="342">
        <v>0</v>
      </c>
      <c r="BS30" s="1676"/>
      <c r="BT30" s="22">
        <f t="shared" si="27"/>
        <v>0</v>
      </c>
      <c r="BU30" s="355"/>
      <c r="BV30" s="342">
        <v>0</v>
      </c>
      <c r="BW30" s="1675"/>
      <c r="BX30" s="342">
        <v>0</v>
      </c>
      <c r="BY30" s="1676"/>
      <c r="BZ30" s="22">
        <f t="shared" si="28"/>
        <v>0</v>
      </c>
      <c r="CA30" s="367"/>
    </row>
    <row r="31" spans="1:79" s="356" customFormat="1">
      <c r="A31" s="1677" t="s">
        <v>1197</v>
      </c>
      <c r="B31" s="1680" t="s">
        <v>1198</v>
      </c>
      <c r="C31" s="379">
        <v>15</v>
      </c>
      <c r="D31" s="392" t="s">
        <v>1464</v>
      </c>
      <c r="E31" s="380" t="s">
        <v>1115</v>
      </c>
      <c r="F31" s="384" t="s">
        <v>1123</v>
      </c>
      <c r="G31" s="388" t="s">
        <v>1105</v>
      </c>
      <c r="H31" s="1683" t="s">
        <v>1168</v>
      </c>
      <c r="I31" s="1685">
        <v>12</v>
      </c>
      <c r="J31" s="679">
        <f t="shared" si="17"/>
        <v>0</v>
      </c>
      <c r="K31" s="1686">
        <f>AVERAGE(BW31,BQ31,BK31,BE31,AY31,AS31,AM31,AG31,AA31,U31)</f>
        <v>12</v>
      </c>
      <c r="L31" s="679">
        <f t="shared" si="18"/>
        <v>0</v>
      </c>
      <c r="M31" s="1686">
        <f>AVERAGE(BY31,BS31,BM31,BG31,BA31,AU31,AO31,AI31,AC31,W31)</f>
        <v>12</v>
      </c>
      <c r="N31" s="390">
        <f t="shared" si="13"/>
        <v>0</v>
      </c>
      <c r="O31" s="362">
        <f t="shared" si="0"/>
        <v>0</v>
      </c>
      <c r="P31" s="354">
        <f t="shared" si="14"/>
        <v>0</v>
      </c>
      <c r="Q31" s="354">
        <f t="shared" si="15"/>
        <v>0</v>
      </c>
      <c r="R31" s="354">
        <f t="shared" si="16"/>
        <v>0</v>
      </c>
      <c r="S31" s="355"/>
      <c r="T31" s="342">
        <v>0</v>
      </c>
      <c r="U31" s="1675">
        <f>12-T31*3-T32</f>
        <v>12</v>
      </c>
      <c r="V31" s="342">
        <v>0</v>
      </c>
      <c r="W31" s="1676">
        <f>12-V31*3-V32</f>
        <v>12</v>
      </c>
      <c r="X31" s="22">
        <f t="shared" si="19"/>
        <v>0</v>
      </c>
      <c r="Y31" s="355"/>
      <c r="Z31" s="342">
        <v>0</v>
      </c>
      <c r="AA31" s="1675">
        <f>12-Z31*3-Z32</f>
        <v>12</v>
      </c>
      <c r="AB31" s="342">
        <v>0</v>
      </c>
      <c r="AC31" s="1676">
        <f>12-AB31*3-AB32</f>
        <v>12</v>
      </c>
      <c r="AD31" s="22">
        <f t="shared" si="20"/>
        <v>0</v>
      </c>
      <c r="AE31" s="355"/>
      <c r="AF31" s="342">
        <v>0</v>
      </c>
      <c r="AG31" s="1675">
        <f>12-AF31*3-AF32</f>
        <v>12</v>
      </c>
      <c r="AH31" s="342">
        <v>0</v>
      </c>
      <c r="AI31" s="1676">
        <f>12-AH31*3-AH32</f>
        <v>12</v>
      </c>
      <c r="AJ31" s="22">
        <f t="shared" si="21"/>
        <v>0</v>
      </c>
      <c r="AK31" s="355"/>
      <c r="AL31" s="342">
        <v>0</v>
      </c>
      <c r="AM31" s="1675">
        <f>12-AL31*3-AL32</f>
        <v>12</v>
      </c>
      <c r="AN31" s="342">
        <v>0</v>
      </c>
      <c r="AO31" s="1676">
        <f>12-AN31*3-AN32</f>
        <v>12</v>
      </c>
      <c r="AP31" s="22">
        <f t="shared" si="22"/>
        <v>0</v>
      </c>
      <c r="AQ31" s="355"/>
      <c r="AR31" s="342">
        <v>0</v>
      </c>
      <c r="AS31" s="1675">
        <f>12-AR31*3-AR32</f>
        <v>12</v>
      </c>
      <c r="AT31" s="342">
        <v>0</v>
      </c>
      <c r="AU31" s="1676">
        <f>12-AT31*3-AT32</f>
        <v>12</v>
      </c>
      <c r="AV31" s="22">
        <f t="shared" si="23"/>
        <v>0</v>
      </c>
      <c r="AW31" s="355"/>
      <c r="AX31" s="342">
        <v>0</v>
      </c>
      <c r="AY31" s="1675">
        <f>12-AX31*3-AX32</f>
        <v>12</v>
      </c>
      <c r="AZ31" s="342">
        <v>0</v>
      </c>
      <c r="BA31" s="1676">
        <f>12-AZ31*3-AZ32</f>
        <v>12</v>
      </c>
      <c r="BB31" s="22">
        <f t="shared" si="24"/>
        <v>0</v>
      </c>
      <c r="BC31" s="355"/>
      <c r="BD31" s="342">
        <v>0</v>
      </c>
      <c r="BE31" s="1675">
        <f>12-BD31*3-BD32</f>
        <v>12</v>
      </c>
      <c r="BF31" s="342">
        <v>0</v>
      </c>
      <c r="BG31" s="1676">
        <f>12-BF31*3-BF32</f>
        <v>12</v>
      </c>
      <c r="BH31" s="22">
        <f t="shared" si="25"/>
        <v>0</v>
      </c>
      <c r="BI31" s="355"/>
      <c r="BJ31" s="342">
        <v>0</v>
      </c>
      <c r="BK31" s="1675">
        <f>12-BJ31*3-BJ32</f>
        <v>12</v>
      </c>
      <c r="BL31" s="342">
        <v>0</v>
      </c>
      <c r="BM31" s="1676">
        <f>12-BL31*3-BL32</f>
        <v>12</v>
      </c>
      <c r="BN31" s="22">
        <f t="shared" si="26"/>
        <v>0</v>
      </c>
      <c r="BO31" s="355"/>
      <c r="BP31" s="342">
        <v>0</v>
      </c>
      <c r="BQ31" s="1675">
        <f>12-BP31*3-BP32</f>
        <v>12</v>
      </c>
      <c r="BR31" s="342">
        <v>0</v>
      </c>
      <c r="BS31" s="1676">
        <f>12-BR31*3-BR32</f>
        <v>12</v>
      </c>
      <c r="BT31" s="22">
        <f t="shared" si="27"/>
        <v>0</v>
      </c>
      <c r="BU31" s="355"/>
      <c r="BV31" s="342">
        <v>0</v>
      </c>
      <c r="BW31" s="1675">
        <f>12-BV31*3-BV32</f>
        <v>12</v>
      </c>
      <c r="BX31" s="342">
        <v>0</v>
      </c>
      <c r="BY31" s="1676">
        <f>12-BX31*3-BX32</f>
        <v>12</v>
      </c>
      <c r="BZ31" s="22">
        <f t="shared" si="28"/>
        <v>0</v>
      </c>
      <c r="CA31" s="367"/>
    </row>
    <row r="32" spans="1:79" s="356" customFormat="1">
      <c r="A32" s="1679"/>
      <c r="B32" s="1682"/>
      <c r="C32" s="379">
        <v>16</v>
      </c>
      <c r="D32" s="392" t="s">
        <v>2155</v>
      </c>
      <c r="E32" s="380" t="s">
        <v>1115</v>
      </c>
      <c r="F32" s="384" t="s">
        <v>1123</v>
      </c>
      <c r="G32" s="388" t="s">
        <v>1105</v>
      </c>
      <c r="H32" s="1683"/>
      <c r="I32" s="1685"/>
      <c r="J32" s="679">
        <f t="shared" si="17"/>
        <v>0</v>
      </c>
      <c r="K32" s="1688"/>
      <c r="L32" s="679">
        <f t="shared" si="18"/>
        <v>0</v>
      </c>
      <c r="M32" s="1688"/>
      <c r="N32" s="390">
        <f t="shared" si="13"/>
        <v>0</v>
      </c>
      <c r="O32" s="362">
        <f t="shared" si="0"/>
        <v>0</v>
      </c>
      <c r="P32" s="354">
        <f t="shared" si="14"/>
        <v>0</v>
      </c>
      <c r="Q32" s="354">
        <f t="shared" si="15"/>
        <v>0</v>
      </c>
      <c r="R32" s="354">
        <f t="shared" si="16"/>
        <v>0</v>
      </c>
      <c r="S32" s="355"/>
      <c r="T32" s="342">
        <v>0</v>
      </c>
      <c r="U32" s="1675"/>
      <c r="V32" s="342">
        <v>0</v>
      </c>
      <c r="W32" s="1676"/>
      <c r="X32" s="22">
        <f t="shared" si="19"/>
        <v>0</v>
      </c>
      <c r="Y32" s="355"/>
      <c r="Z32" s="342">
        <v>0</v>
      </c>
      <c r="AA32" s="1675"/>
      <c r="AB32" s="342">
        <v>0</v>
      </c>
      <c r="AC32" s="1676"/>
      <c r="AD32" s="22">
        <f t="shared" si="20"/>
        <v>0</v>
      </c>
      <c r="AE32" s="355"/>
      <c r="AF32" s="342">
        <v>0</v>
      </c>
      <c r="AG32" s="1675"/>
      <c r="AH32" s="342">
        <v>0</v>
      </c>
      <c r="AI32" s="1676"/>
      <c r="AJ32" s="22">
        <f t="shared" si="21"/>
        <v>0</v>
      </c>
      <c r="AK32" s="355"/>
      <c r="AL32" s="342">
        <v>0</v>
      </c>
      <c r="AM32" s="1675"/>
      <c r="AN32" s="342">
        <v>0</v>
      </c>
      <c r="AO32" s="1676"/>
      <c r="AP32" s="22">
        <f t="shared" si="22"/>
        <v>0</v>
      </c>
      <c r="AQ32" s="355"/>
      <c r="AR32" s="342">
        <v>0</v>
      </c>
      <c r="AS32" s="1675"/>
      <c r="AT32" s="342">
        <v>0</v>
      </c>
      <c r="AU32" s="1676"/>
      <c r="AV32" s="22">
        <f t="shared" si="23"/>
        <v>0</v>
      </c>
      <c r="AW32" s="355"/>
      <c r="AX32" s="342">
        <v>0</v>
      </c>
      <c r="AY32" s="1675"/>
      <c r="AZ32" s="342">
        <v>0</v>
      </c>
      <c r="BA32" s="1676"/>
      <c r="BB32" s="22">
        <f t="shared" si="24"/>
        <v>0</v>
      </c>
      <c r="BC32" s="355"/>
      <c r="BD32" s="342">
        <v>0</v>
      </c>
      <c r="BE32" s="1675"/>
      <c r="BF32" s="342">
        <v>0</v>
      </c>
      <c r="BG32" s="1676"/>
      <c r="BH32" s="22">
        <f t="shared" si="25"/>
        <v>0</v>
      </c>
      <c r="BI32" s="355"/>
      <c r="BJ32" s="342">
        <v>0</v>
      </c>
      <c r="BK32" s="1675"/>
      <c r="BL32" s="342">
        <v>0</v>
      </c>
      <c r="BM32" s="1676"/>
      <c r="BN32" s="22">
        <f t="shared" si="26"/>
        <v>0</v>
      </c>
      <c r="BO32" s="355"/>
      <c r="BP32" s="342">
        <v>0</v>
      </c>
      <c r="BQ32" s="1675"/>
      <c r="BR32" s="342">
        <v>0</v>
      </c>
      <c r="BS32" s="1676"/>
      <c r="BT32" s="22">
        <f t="shared" si="27"/>
        <v>0</v>
      </c>
      <c r="BU32" s="355"/>
      <c r="BV32" s="342">
        <v>0</v>
      </c>
      <c r="BW32" s="1675"/>
      <c r="BX32" s="342">
        <v>0</v>
      </c>
      <c r="BY32" s="1676"/>
      <c r="BZ32" s="22">
        <f t="shared" si="28"/>
        <v>0</v>
      </c>
      <c r="CA32" s="367"/>
    </row>
    <row r="33" spans="1:79" s="356" customFormat="1">
      <c r="A33" s="391" t="s">
        <v>1154</v>
      </c>
      <c r="B33" s="391" t="s">
        <v>1201</v>
      </c>
      <c r="C33" s="379">
        <v>17</v>
      </c>
      <c r="D33" s="392" t="s">
        <v>2156</v>
      </c>
      <c r="E33" s="380" t="s">
        <v>1115</v>
      </c>
      <c r="F33" s="384" t="s">
        <v>1123</v>
      </c>
      <c r="G33" s="388" t="s">
        <v>1105</v>
      </c>
      <c r="H33" s="386" t="s">
        <v>1168</v>
      </c>
      <c r="I33" s="381" t="s">
        <v>1098</v>
      </c>
      <c r="J33" s="679">
        <f t="shared" si="17"/>
        <v>0</v>
      </c>
      <c r="K33" s="399"/>
      <c r="L33" s="679">
        <f t="shared" si="18"/>
        <v>0</v>
      </c>
      <c r="M33" s="399"/>
      <c r="N33" s="390">
        <f t="shared" si="13"/>
        <v>0</v>
      </c>
      <c r="O33" s="399"/>
      <c r="P33" s="399"/>
      <c r="Q33" s="399"/>
      <c r="R33" s="399"/>
      <c r="S33" s="355"/>
      <c r="T33" s="342">
        <v>0</v>
      </c>
      <c r="U33" s="362" t="s">
        <v>1156</v>
      </c>
      <c r="V33" s="342">
        <v>0</v>
      </c>
      <c r="W33" s="1239" t="s">
        <v>1156</v>
      </c>
      <c r="X33" s="22">
        <f t="shared" si="19"/>
        <v>0</v>
      </c>
      <c r="Y33" s="355"/>
      <c r="Z33" s="342">
        <v>0</v>
      </c>
      <c r="AA33" s="362" t="s">
        <v>1156</v>
      </c>
      <c r="AB33" s="342">
        <v>0</v>
      </c>
      <c r="AC33" s="1239" t="s">
        <v>1074</v>
      </c>
      <c r="AD33" s="22">
        <f t="shared" si="20"/>
        <v>0</v>
      </c>
      <c r="AE33" s="355"/>
      <c r="AF33" s="342">
        <v>0</v>
      </c>
      <c r="AG33" s="362" t="s">
        <v>1156</v>
      </c>
      <c r="AH33" s="342">
        <v>0</v>
      </c>
      <c r="AI33" s="1239" t="s">
        <v>1074</v>
      </c>
      <c r="AJ33" s="22">
        <f t="shared" si="21"/>
        <v>0</v>
      </c>
      <c r="AK33" s="355"/>
      <c r="AL33" s="342">
        <v>0</v>
      </c>
      <c r="AM33" s="362" t="s">
        <v>1156</v>
      </c>
      <c r="AN33" s="342">
        <v>0</v>
      </c>
      <c r="AO33" s="1239" t="s">
        <v>1074</v>
      </c>
      <c r="AP33" s="22">
        <f t="shared" si="22"/>
        <v>0</v>
      </c>
      <c r="AQ33" s="355"/>
      <c r="AR33" s="342">
        <v>0</v>
      </c>
      <c r="AS33" s="362" t="s">
        <v>1156</v>
      </c>
      <c r="AT33" s="342">
        <v>0</v>
      </c>
      <c r="AU33" s="1239" t="s">
        <v>1074</v>
      </c>
      <c r="AV33" s="22">
        <f t="shared" si="23"/>
        <v>0</v>
      </c>
      <c r="AW33" s="355"/>
      <c r="AX33" s="342">
        <v>0</v>
      </c>
      <c r="AY33" s="362" t="s">
        <v>1156</v>
      </c>
      <c r="AZ33" s="342">
        <v>0</v>
      </c>
      <c r="BA33" s="1239" t="s">
        <v>1074</v>
      </c>
      <c r="BB33" s="22">
        <f t="shared" si="24"/>
        <v>0</v>
      </c>
      <c r="BC33" s="355"/>
      <c r="BD33" s="342">
        <v>0</v>
      </c>
      <c r="BE33" s="362" t="s">
        <v>1156</v>
      </c>
      <c r="BF33" s="342">
        <v>0</v>
      </c>
      <c r="BG33" s="1239" t="s">
        <v>1074</v>
      </c>
      <c r="BH33" s="22">
        <f t="shared" si="25"/>
        <v>0</v>
      </c>
      <c r="BI33" s="355"/>
      <c r="BJ33" s="342">
        <v>0</v>
      </c>
      <c r="BK33" s="362" t="s">
        <v>1156</v>
      </c>
      <c r="BL33" s="342">
        <v>0</v>
      </c>
      <c r="BM33" s="1239" t="s">
        <v>1074</v>
      </c>
      <c r="BN33" s="22">
        <f t="shared" si="26"/>
        <v>0</v>
      </c>
      <c r="BO33" s="355"/>
      <c r="BP33" s="342">
        <v>0</v>
      </c>
      <c r="BQ33" s="362" t="s">
        <v>1156</v>
      </c>
      <c r="BR33" s="342">
        <v>0</v>
      </c>
      <c r="BS33" s="1239" t="s">
        <v>1074</v>
      </c>
      <c r="BT33" s="22">
        <f t="shared" si="27"/>
        <v>0</v>
      </c>
      <c r="BU33" s="355"/>
      <c r="BV33" s="342">
        <v>0</v>
      </c>
      <c r="BW33" s="362" t="s">
        <v>1156</v>
      </c>
      <c r="BX33" s="342">
        <v>0</v>
      </c>
      <c r="BY33" s="1239" t="s">
        <v>1074</v>
      </c>
      <c r="BZ33" s="22">
        <f t="shared" si="28"/>
        <v>0</v>
      </c>
      <c r="CA33" s="367"/>
    </row>
    <row r="34" spans="1:79" s="356" customFormat="1">
      <c r="A34" s="1677" t="s">
        <v>1202</v>
      </c>
      <c r="B34" s="1680" t="s">
        <v>1203</v>
      </c>
      <c r="C34" s="379">
        <v>18</v>
      </c>
      <c r="D34" s="392" t="s">
        <v>1157</v>
      </c>
      <c r="E34" s="380" t="s">
        <v>452</v>
      </c>
      <c r="F34" s="388"/>
      <c r="G34" s="1684" t="s">
        <v>1150</v>
      </c>
      <c r="H34" s="1683" t="s">
        <v>1168</v>
      </c>
      <c r="I34" s="1685">
        <v>2</v>
      </c>
      <c r="J34" s="679">
        <f t="shared" si="17"/>
        <v>0</v>
      </c>
      <c r="K34" s="1686">
        <f>AVERAGE(BW34,BQ34,BK34,BE34,AY34,AS34,AM34,AG34,AA34,U34)</f>
        <v>2</v>
      </c>
      <c r="L34" s="679">
        <f t="shared" si="18"/>
        <v>0</v>
      </c>
      <c r="M34" s="1686">
        <f>AVERAGE(BY34,BS34,BM34,BG34,BA34,AU34,AO34,AI34,AC34,W34)</f>
        <v>2</v>
      </c>
      <c r="N34" s="390">
        <f t="shared" si="13"/>
        <v>0</v>
      </c>
      <c r="O34" s="362">
        <f>I34-M34</f>
        <v>0</v>
      </c>
      <c r="P34" s="354">
        <f t="shared" si="14"/>
        <v>0</v>
      </c>
      <c r="Q34" s="354">
        <f t="shared" si="15"/>
        <v>0</v>
      </c>
      <c r="R34" s="354">
        <f t="shared" si="16"/>
        <v>0</v>
      </c>
      <c r="S34" s="355"/>
      <c r="T34" s="342">
        <v>0</v>
      </c>
      <c r="U34" s="1675">
        <f>2-T34*0.5-T35</f>
        <v>2</v>
      </c>
      <c r="V34" s="342">
        <v>0</v>
      </c>
      <c r="W34" s="1676">
        <f>2-V34*0.5-V35</f>
        <v>2</v>
      </c>
      <c r="X34" s="22">
        <f t="shared" si="19"/>
        <v>0</v>
      </c>
      <c r="Y34" s="355"/>
      <c r="Z34" s="342">
        <v>0</v>
      </c>
      <c r="AA34" s="1675">
        <f>2-Z34*0.5-Z35</f>
        <v>2</v>
      </c>
      <c r="AB34" s="342">
        <v>0</v>
      </c>
      <c r="AC34" s="1676">
        <f>2-AB34*0.5-AB35</f>
        <v>2</v>
      </c>
      <c r="AD34" s="22">
        <f t="shared" si="20"/>
        <v>0</v>
      </c>
      <c r="AE34" s="355"/>
      <c r="AF34" s="342">
        <v>0</v>
      </c>
      <c r="AG34" s="1675">
        <f>2-AF34*0.5-AF35</f>
        <v>2</v>
      </c>
      <c r="AH34" s="342">
        <v>0</v>
      </c>
      <c r="AI34" s="1676">
        <f>2-AH34*0.5-AH35</f>
        <v>2</v>
      </c>
      <c r="AJ34" s="22">
        <f t="shared" si="21"/>
        <v>0</v>
      </c>
      <c r="AK34" s="355"/>
      <c r="AL34" s="342">
        <v>0</v>
      </c>
      <c r="AM34" s="1675">
        <f>2-AL34*0.5-AL35</f>
        <v>2</v>
      </c>
      <c r="AN34" s="342">
        <v>0</v>
      </c>
      <c r="AO34" s="1676">
        <f>2-AN34*0.5-AN35</f>
        <v>2</v>
      </c>
      <c r="AP34" s="22">
        <f t="shared" si="22"/>
        <v>0</v>
      </c>
      <c r="AQ34" s="355"/>
      <c r="AR34" s="342">
        <v>0</v>
      </c>
      <c r="AS34" s="1675">
        <f>2-AR34*0.5-AR35</f>
        <v>2</v>
      </c>
      <c r="AT34" s="342">
        <v>0</v>
      </c>
      <c r="AU34" s="1676">
        <f>2-AT34*0.5-AT35</f>
        <v>2</v>
      </c>
      <c r="AV34" s="22">
        <f t="shared" si="23"/>
        <v>0</v>
      </c>
      <c r="AW34" s="355"/>
      <c r="AX34" s="342">
        <v>0</v>
      </c>
      <c r="AY34" s="1675">
        <f>2-AX34*0.5-AX35</f>
        <v>2</v>
      </c>
      <c r="AZ34" s="342">
        <v>0</v>
      </c>
      <c r="BA34" s="1676">
        <f>2-AZ34*0.5-AZ35</f>
        <v>2</v>
      </c>
      <c r="BB34" s="22">
        <f t="shared" si="24"/>
        <v>0</v>
      </c>
      <c r="BC34" s="355"/>
      <c r="BD34" s="342">
        <v>0</v>
      </c>
      <c r="BE34" s="1675">
        <f>2-BD34*0.5-BD35</f>
        <v>2</v>
      </c>
      <c r="BF34" s="342">
        <v>0</v>
      </c>
      <c r="BG34" s="1676">
        <f>2-BF34*0.5-BF35</f>
        <v>2</v>
      </c>
      <c r="BH34" s="22">
        <f t="shared" si="25"/>
        <v>0</v>
      </c>
      <c r="BI34" s="355"/>
      <c r="BJ34" s="342">
        <v>0</v>
      </c>
      <c r="BK34" s="1675">
        <f>2-BJ34*0.5-BJ35</f>
        <v>2</v>
      </c>
      <c r="BL34" s="342">
        <v>0</v>
      </c>
      <c r="BM34" s="1676">
        <f>2-BL34*0.5-BL35</f>
        <v>2</v>
      </c>
      <c r="BN34" s="22">
        <f t="shared" si="26"/>
        <v>0</v>
      </c>
      <c r="BO34" s="355"/>
      <c r="BP34" s="342">
        <v>0</v>
      </c>
      <c r="BQ34" s="1675">
        <f>2-BP34*0.5-BP35</f>
        <v>2</v>
      </c>
      <c r="BR34" s="342">
        <v>0</v>
      </c>
      <c r="BS34" s="1676">
        <f>2-BR34*0.5-BR35</f>
        <v>2</v>
      </c>
      <c r="BT34" s="22">
        <f t="shared" si="27"/>
        <v>0</v>
      </c>
      <c r="BU34" s="355"/>
      <c r="BV34" s="342">
        <v>0</v>
      </c>
      <c r="BW34" s="1675">
        <f>2-BV34*0.5-BV35</f>
        <v>2</v>
      </c>
      <c r="BX34" s="342">
        <v>0</v>
      </c>
      <c r="BY34" s="1676">
        <f>2-BX34*0.5-BX35</f>
        <v>2</v>
      </c>
      <c r="BZ34" s="22">
        <f t="shared" si="28"/>
        <v>0</v>
      </c>
      <c r="CA34" s="367"/>
    </row>
    <row r="35" spans="1:79" s="356" customFormat="1">
      <c r="A35" s="1679"/>
      <c r="B35" s="1682"/>
      <c r="C35" s="379">
        <v>19</v>
      </c>
      <c r="D35" s="392" t="s">
        <v>1159</v>
      </c>
      <c r="E35" s="380" t="s">
        <v>452</v>
      </c>
      <c r="F35" s="388"/>
      <c r="G35" s="1684"/>
      <c r="H35" s="1683"/>
      <c r="I35" s="1685"/>
      <c r="J35" s="679">
        <f t="shared" si="17"/>
        <v>0</v>
      </c>
      <c r="K35" s="1688"/>
      <c r="L35" s="679">
        <f t="shared" si="18"/>
        <v>0</v>
      </c>
      <c r="M35" s="1688"/>
      <c r="N35" s="390">
        <f t="shared" si="13"/>
        <v>0</v>
      </c>
      <c r="O35" s="362">
        <f>I35-M35</f>
        <v>0</v>
      </c>
      <c r="P35" s="354">
        <f t="shared" si="14"/>
        <v>0</v>
      </c>
      <c r="Q35" s="354">
        <f t="shared" si="15"/>
        <v>0</v>
      </c>
      <c r="R35" s="354">
        <f t="shared" si="16"/>
        <v>0</v>
      </c>
      <c r="S35" s="355"/>
      <c r="T35" s="342">
        <v>0</v>
      </c>
      <c r="U35" s="1675"/>
      <c r="V35" s="342">
        <v>0</v>
      </c>
      <c r="W35" s="1676"/>
      <c r="X35" s="22">
        <f t="shared" si="19"/>
        <v>0</v>
      </c>
      <c r="Y35" s="355"/>
      <c r="Z35" s="342">
        <v>0</v>
      </c>
      <c r="AA35" s="1675"/>
      <c r="AB35" s="342">
        <v>0</v>
      </c>
      <c r="AC35" s="1676"/>
      <c r="AD35" s="22">
        <f t="shared" si="20"/>
        <v>0</v>
      </c>
      <c r="AE35" s="355"/>
      <c r="AF35" s="342">
        <v>0</v>
      </c>
      <c r="AG35" s="1675"/>
      <c r="AH35" s="342">
        <v>0</v>
      </c>
      <c r="AI35" s="1676"/>
      <c r="AJ35" s="22">
        <f t="shared" si="21"/>
        <v>0</v>
      </c>
      <c r="AK35" s="355"/>
      <c r="AL35" s="342">
        <v>0</v>
      </c>
      <c r="AM35" s="1675"/>
      <c r="AN35" s="342">
        <v>0</v>
      </c>
      <c r="AO35" s="1676"/>
      <c r="AP35" s="22">
        <f t="shared" si="22"/>
        <v>0</v>
      </c>
      <c r="AQ35" s="355"/>
      <c r="AR35" s="342">
        <v>0</v>
      </c>
      <c r="AS35" s="1675"/>
      <c r="AT35" s="342">
        <v>0</v>
      </c>
      <c r="AU35" s="1676"/>
      <c r="AV35" s="22">
        <f t="shared" si="23"/>
        <v>0</v>
      </c>
      <c r="AW35" s="355"/>
      <c r="AX35" s="342">
        <v>0</v>
      </c>
      <c r="AY35" s="1675"/>
      <c r="AZ35" s="342">
        <v>0</v>
      </c>
      <c r="BA35" s="1676"/>
      <c r="BB35" s="22">
        <f t="shared" si="24"/>
        <v>0</v>
      </c>
      <c r="BC35" s="355"/>
      <c r="BD35" s="342">
        <v>0</v>
      </c>
      <c r="BE35" s="1675"/>
      <c r="BF35" s="342">
        <v>0</v>
      </c>
      <c r="BG35" s="1676"/>
      <c r="BH35" s="22">
        <f t="shared" si="25"/>
        <v>0</v>
      </c>
      <c r="BI35" s="355"/>
      <c r="BJ35" s="342">
        <v>0</v>
      </c>
      <c r="BK35" s="1675"/>
      <c r="BL35" s="342">
        <v>0</v>
      </c>
      <c r="BM35" s="1676"/>
      <c r="BN35" s="22">
        <f t="shared" si="26"/>
        <v>0</v>
      </c>
      <c r="BO35" s="355"/>
      <c r="BP35" s="342">
        <v>0</v>
      </c>
      <c r="BQ35" s="1675"/>
      <c r="BR35" s="342">
        <v>0</v>
      </c>
      <c r="BS35" s="1676"/>
      <c r="BT35" s="22">
        <f t="shared" si="27"/>
        <v>0</v>
      </c>
      <c r="BU35" s="355"/>
      <c r="BV35" s="342">
        <v>0</v>
      </c>
      <c r="BW35" s="1675"/>
      <c r="BX35" s="342">
        <v>0</v>
      </c>
      <c r="BY35" s="1676"/>
      <c r="BZ35" s="22">
        <f t="shared" si="28"/>
        <v>0</v>
      </c>
      <c r="CA35" s="367"/>
    </row>
    <row r="36" spans="1:79" s="356" customFormat="1">
      <c r="A36" s="393" t="s">
        <v>1205</v>
      </c>
      <c r="B36" s="393" t="s">
        <v>1206</v>
      </c>
      <c r="C36" s="379">
        <v>20</v>
      </c>
      <c r="D36" s="392" t="s">
        <v>1204</v>
      </c>
      <c r="E36" s="380" t="s">
        <v>452</v>
      </c>
      <c r="F36" s="388"/>
      <c r="G36" s="388" t="s">
        <v>396</v>
      </c>
      <c r="H36" s="386" t="s">
        <v>1168</v>
      </c>
      <c r="I36" s="381">
        <v>2</v>
      </c>
      <c r="J36" s="1287" t="s">
        <v>1207</v>
      </c>
      <c r="K36" s="389">
        <f>AVERAGE(BW36,BQ36,BK36,BE36,AY36,AS36,AM36,AG36,AA36,U36)</f>
        <v>2</v>
      </c>
      <c r="L36" s="1287" t="s">
        <v>1207</v>
      </c>
      <c r="M36" s="389">
        <f>AVERAGE(BY36,BS36,BM36,BG36,BA36,AU36,AO36,AI36,AC36,W36)</f>
        <v>2</v>
      </c>
      <c r="N36" s="390">
        <f t="shared" si="13"/>
        <v>0</v>
      </c>
      <c r="O36" s="362">
        <f>I36-M36</f>
        <v>0</v>
      </c>
      <c r="P36" s="354">
        <f t="shared" si="14"/>
        <v>0</v>
      </c>
      <c r="Q36" s="354">
        <f t="shared" si="15"/>
        <v>0</v>
      </c>
      <c r="R36" s="354">
        <f t="shared" si="16"/>
        <v>0</v>
      </c>
      <c r="S36" s="355"/>
      <c r="T36" s="342" t="s">
        <v>1207</v>
      </c>
      <c r="U36" s="362">
        <v>2</v>
      </c>
      <c r="V36" s="342" t="s">
        <v>2124</v>
      </c>
      <c r="W36" s="1239">
        <f>IF(LEFT(V36,1)="1",2,0)</f>
        <v>2</v>
      </c>
      <c r="X36" s="22">
        <f>IF((V36=T36)=TRUE,0,1)</f>
        <v>0</v>
      </c>
      <c r="Y36" s="355"/>
      <c r="Z36" s="342" t="s">
        <v>1207</v>
      </c>
      <c r="AA36" s="362">
        <v>2</v>
      </c>
      <c r="AB36" s="342" t="s">
        <v>1207</v>
      </c>
      <c r="AC36" s="1239">
        <f>IF(LEFT(AB36,1)="1",2,0)</f>
        <v>2</v>
      </c>
      <c r="AD36" s="22">
        <f>IF((AB36=Z36)=TRUE,0,1)</f>
        <v>0</v>
      </c>
      <c r="AE36" s="355"/>
      <c r="AF36" s="342" t="s">
        <v>1207</v>
      </c>
      <c r="AG36" s="362">
        <v>2</v>
      </c>
      <c r="AH36" s="342" t="s">
        <v>1207</v>
      </c>
      <c r="AI36" s="1239">
        <f>IF(LEFT(AH36,1)="1",2,0)</f>
        <v>2</v>
      </c>
      <c r="AJ36" s="22">
        <f>IF((AH36=AF36)=TRUE,0,1)</f>
        <v>0</v>
      </c>
      <c r="AK36" s="355"/>
      <c r="AL36" s="342" t="s">
        <v>1207</v>
      </c>
      <c r="AM36" s="362">
        <v>2</v>
      </c>
      <c r="AN36" s="342" t="s">
        <v>1207</v>
      </c>
      <c r="AO36" s="1239">
        <f>IF(LEFT(AN36,1)="1",2,0)</f>
        <v>2</v>
      </c>
      <c r="AP36" s="22">
        <f>IF((AN36=AL36)=TRUE,0,1)</f>
        <v>0</v>
      </c>
      <c r="AQ36" s="355"/>
      <c r="AR36" s="342" t="s">
        <v>1207</v>
      </c>
      <c r="AS36" s="362">
        <v>2</v>
      </c>
      <c r="AT36" s="342" t="s">
        <v>1207</v>
      </c>
      <c r="AU36" s="1239">
        <f>IF(LEFT(AT36,1)="1",2,0)</f>
        <v>2</v>
      </c>
      <c r="AV36" s="22">
        <f>IF((AT36=AR36)=TRUE,0,1)</f>
        <v>0</v>
      </c>
      <c r="AW36" s="355"/>
      <c r="AX36" s="342" t="s">
        <v>1207</v>
      </c>
      <c r="AY36" s="362">
        <v>2</v>
      </c>
      <c r="AZ36" s="342" t="s">
        <v>1207</v>
      </c>
      <c r="BA36" s="1239">
        <f>IF(LEFT(AZ36,1)="1",2,0)</f>
        <v>2</v>
      </c>
      <c r="BB36" s="22">
        <f>IF((AZ36=AX36)=TRUE,0,1)</f>
        <v>0</v>
      </c>
      <c r="BC36" s="355"/>
      <c r="BD36" s="342" t="s">
        <v>1207</v>
      </c>
      <c r="BE36" s="362">
        <v>2</v>
      </c>
      <c r="BF36" s="342" t="s">
        <v>1207</v>
      </c>
      <c r="BG36" s="1239">
        <f>IF(LEFT(BF36,1)="1",2,0)</f>
        <v>2</v>
      </c>
      <c r="BH36" s="22">
        <f>IF((BF36=BD36)=TRUE,0,1)</f>
        <v>0</v>
      </c>
      <c r="BI36" s="355"/>
      <c r="BJ36" s="342" t="s">
        <v>1207</v>
      </c>
      <c r="BK36" s="362">
        <v>2</v>
      </c>
      <c r="BL36" s="342" t="s">
        <v>1207</v>
      </c>
      <c r="BM36" s="1239">
        <f>IF(LEFT(BL36,1)="1",2,0)</f>
        <v>2</v>
      </c>
      <c r="BN36" s="22">
        <f>IF((BL36=BJ36)=TRUE,0,1)</f>
        <v>0</v>
      </c>
      <c r="BO36" s="355"/>
      <c r="BP36" s="342" t="s">
        <v>1207</v>
      </c>
      <c r="BQ36" s="362">
        <v>2</v>
      </c>
      <c r="BR36" s="342" t="s">
        <v>1207</v>
      </c>
      <c r="BS36" s="1239">
        <f>IF(LEFT(BR36,1)="1",2,0)</f>
        <v>2</v>
      </c>
      <c r="BT36" s="22">
        <f>IF((BR36=BP36)=TRUE,0,1)</f>
        <v>0</v>
      </c>
      <c r="BU36" s="355"/>
      <c r="BV36" s="342" t="s">
        <v>1207</v>
      </c>
      <c r="BW36" s="362">
        <v>2</v>
      </c>
      <c r="BX36" s="342" t="s">
        <v>1207</v>
      </c>
      <c r="BY36" s="1239">
        <f>IF(LEFT(BX36,1)="1",2,0)</f>
        <v>2</v>
      </c>
      <c r="BZ36" s="22">
        <f>IF((BX36=BV36)=TRUE,0,1)</f>
        <v>0</v>
      </c>
      <c r="CA36" s="367"/>
    </row>
    <row r="37" spans="1:79" s="356" customFormat="1" ht="15" customHeight="1">
      <c r="A37" s="393" t="s">
        <v>1209</v>
      </c>
      <c r="B37" s="393" t="s">
        <v>1210</v>
      </c>
      <c r="C37" s="379">
        <v>21</v>
      </c>
      <c r="D37" s="392" t="s">
        <v>1208</v>
      </c>
      <c r="E37" s="380" t="s">
        <v>452</v>
      </c>
      <c r="F37" s="388"/>
      <c r="G37" s="388" t="s">
        <v>396</v>
      </c>
      <c r="H37" s="386" t="s">
        <v>1168</v>
      </c>
      <c r="I37" s="381">
        <v>1</v>
      </c>
      <c r="J37" s="1287" t="s">
        <v>1211</v>
      </c>
      <c r="K37" s="389">
        <f>AVERAGE(BW37,BQ37,BK37,BE37,AY37,AS37,AM37,AG37,AA37,U37)</f>
        <v>1</v>
      </c>
      <c r="L37" s="1287" t="s">
        <v>1211</v>
      </c>
      <c r="M37" s="389">
        <f>AVERAGE(BY37,BS37,BM37,BG37,BA37,AU37,AO37,AI37,AC37,W37)</f>
        <v>1</v>
      </c>
      <c r="N37" s="390">
        <f t="shared" si="13"/>
        <v>0</v>
      </c>
      <c r="O37" s="362">
        <f>I37-M37</f>
        <v>0</v>
      </c>
      <c r="P37" s="354">
        <f t="shared" si="14"/>
        <v>0</v>
      </c>
      <c r="Q37" s="354">
        <f t="shared" si="15"/>
        <v>0</v>
      </c>
      <c r="R37" s="354">
        <f t="shared" si="16"/>
        <v>0</v>
      </c>
      <c r="S37" s="355"/>
      <c r="T37" s="342" t="s">
        <v>1211</v>
      </c>
      <c r="U37" s="362">
        <v>1</v>
      </c>
      <c r="V37" s="342" t="s">
        <v>2125</v>
      </c>
      <c r="W37" s="1239">
        <f>IF(LEFT(V37,1)="1",1,0)</f>
        <v>1</v>
      </c>
      <c r="X37" s="22">
        <f>IF((V37=T37)=TRUE,0,1)</f>
        <v>0</v>
      </c>
      <c r="Y37" s="355"/>
      <c r="Z37" s="342" t="s">
        <v>1211</v>
      </c>
      <c r="AA37" s="362">
        <v>1</v>
      </c>
      <c r="AB37" s="342" t="s">
        <v>1211</v>
      </c>
      <c r="AC37" s="1239">
        <f>IF(LEFT(AB37,1)="1",1,0)</f>
        <v>1</v>
      </c>
      <c r="AD37" s="22">
        <f>IF((AB37=Z37)=TRUE,0,1)</f>
        <v>0</v>
      </c>
      <c r="AE37" s="355"/>
      <c r="AF37" s="342" t="s">
        <v>1211</v>
      </c>
      <c r="AG37" s="362">
        <v>1</v>
      </c>
      <c r="AH37" s="342" t="s">
        <v>1211</v>
      </c>
      <c r="AI37" s="1239">
        <f>IF(LEFT(AH37,1)="1",1,0)</f>
        <v>1</v>
      </c>
      <c r="AJ37" s="22">
        <f>IF((AH37=AF37)=TRUE,0,1)</f>
        <v>0</v>
      </c>
      <c r="AK37" s="355"/>
      <c r="AL37" s="342" t="s">
        <v>1211</v>
      </c>
      <c r="AM37" s="362">
        <v>1</v>
      </c>
      <c r="AN37" s="342" t="s">
        <v>1211</v>
      </c>
      <c r="AO37" s="1239">
        <f>IF(LEFT(AN37,1)="1",1,0)</f>
        <v>1</v>
      </c>
      <c r="AP37" s="22">
        <f>IF((AN37=AL37)=TRUE,0,1)</f>
        <v>0</v>
      </c>
      <c r="AQ37" s="355"/>
      <c r="AR37" s="342" t="s">
        <v>1211</v>
      </c>
      <c r="AS37" s="362">
        <v>1</v>
      </c>
      <c r="AT37" s="342" t="s">
        <v>1211</v>
      </c>
      <c r="AU37" s="1239">
        <f>IF(LEFT(AT37,1)="1",1,0)</f>
        <v>1</v>
      </c>
      <c r="AV37" s="22">
        <f>IF((AT37=AR37)=TRUE,0,1)</f>
        <v>0</v>
      </c>
      <c r="AW37" s="355"/>
      <c r="AX37" s="342" t="s">
        <v>1211</v>
      </c>
      <c r="AY37" s="362">
        <v>1</v>
      </c>
      <c r="AZ37" s="342" t="s">
        <v>1211</v>
      </c>
      <c r="BA37" s="1239">
        <f>IF(LEFT(AZ37,1)="1",1,0)</f>
        <v>1</v>
      </c>
      <c r="BB37" s="22">
        <f>IF((AZ37=AX37)=TRUE,0,1)</f>
        <v>0</v>
      </c>
      <c r="BC37" s="355"/>
      <c r="BD37" s="342" t="s">
        <v>1211</v>
      </c>
      <c r="BE37" s="362">
        <v>1</v>
      </c>
      <c r="BF37" s="342" t="s">
        <v>1211</v>
      </c>
      <c r="BG37" s="1239">
        <f>IF(LEFT(BF37,1)="1",1,0)</f>
        <v>1</v>
      </c>
      <c r="BH37" s="22">
        <f>IF((BF37=BD37)=TRUE,0,1)</f>
        <v>0</v>
      </c>
      <c r="BI37" s="355"/>
      <c r="BJ37" s="342" t="s">
        <v>1211</v>
      </c>
      <c r="BK37" s="362">
        <v>1</v>
      </c>
      <c r="BL37" s="342" t="s">
        <v>1211</v>
      </c>
      <c r="BM37" s="1239">
        <f>IF(LEFT(BL37,1)="1",1,0)</f>
        <v>1</v>
      </c>
      <c r="BN37" s="22">
        <f>IF((BL37=BJ37)=TRUE,0,1)</f>
        <v>0</v>
      </c>
      <c r="BO37" s="355"/>
      <c r="BP37" s="342" t="s">
        <v>1211</v>
      </c>
      <c r="BQ37" s="362">
        <v>1</v>
      </c>
      <c r="BR37" s="342" t="s">
        <v>1211</v>
      </c>
      <c r="BS37" s="1239">
        <f>IF(LEFT(BR37,1)="1",1,0)</f>
        <v>1</v>
      </c>
      <c r="BT37" s="22">
        <f>IF((BR37=BP37)=TRUE,0,1)</f>
        <v>0</v>
      </c>
      <c r="BU37" s="355"/>
      <c r="BV37" s="342" t="s">
        <v>1211</v>
      </c>
      <c r="BW37" s="362">
        <v>1</v>
      </c>
      <c r="BX37" s="342" t="s">
        <v>1211</v>
      </c>
      <c r="BY37" s="1239">
        <f>IF(LEFT(BX37,1)="1",1,0)</f>
        <v>1</v>
      </c>
      <c r="BZ37" s="22">
        <f>IF((BX37=BV37)=TRUE,0,1)</f>
        <v>0</v>
      </c>
      <c r="CA37" s="367"/>
    </row>
    <row r="38" spans="1:79" s="356" customFormat="1">
      <c r="A38" s="1677" t="s">
        <v>1879</v>
      </c>
      <c r="B38" s="1680" t="s">
        <v>1212</v>
      </c>
      <c r="C38" s="379">
        <v>22</v>
      </c>
      <c r="D38" s="1323" t="s">
        <v>1997</v>
      </c>
      <c r="E38" s="380" t="s">
        <v>954</v>
      </c>
      <c r="F38" s="388"/>
      <c r="G38" s="1684" t="s">
        <v>399</v>
      </c>
      <c r="H38" s="1683" t="s">
        <v>1165</v>
      </c>
      <c r="I38" s="1685">
        <v>10</v>
      </c>
      <c r="J38" s="1287">
        <f>AVERAGE(BV38,BP38,BJ38,BD38,AX38,AR38,AL38,AF38,Z38,T38)</f>
        <v>359015069.08300006</v>
      </c>
      <c r="K38" s="1686">
        <f>AVERAGE(BW38,BQ38,BK38,BE38,AY38,AS38,AM38,AG38,AA38,U38)</f>
        <v>10</v>
      </c>
      <c r="L38" s="1287">
        <f>AVERAGE(BX38,BR38,BL38,BF38,AZ38,AT38,AN38,AH38,AB38,V38)</f>
        <v>374235180.671</v>
      </c>
      <c r="M38" s="1686">
        <f>AVERAGE(BY38,BS38,BM38,BG38,BA38,AU38,AO38,AI38,AC38,W38)</f>
        <v>10</v>
      </c>
      <c r="N38" s="1702">
        <f t="shared" si="13"/>
        <v>0</v>
      </c>
      <c r="O38" s="1708">
        <f>I38-M38</f>
        <v>0</v>
      </c>
      <c r="P38" s="354">
        <f t="shared" si="14"/>
        <v>0</v>
      </c>
      <c r="Q38" s="354">
        <f t="shared" si="15"/>
        <v>0</v>
      </c>
      <c r="R38" s="354">
        <f t="shared" si="16"/>
        <v>0</v>
      </c>
      <c r="S38" s="355"/>
      <c r="T38" s="342">
        <v>219161691.91999999</v>
      </c>
      <c r="U38" s="1675">
        <f>IF(T29+T30+T31=0,10,"行业水平评分")</f>
        <v>10</v>
      </c>
      <c r="V38" s="342">
        <v>224257018.72999999</v>
      </c>
      <c r="W38" s="1676">
        <f>IF(V29+V30+V31=0,10,"行业水平评分")</f>
        <v>10</v>
      </c>
      <c r="X38" s="22">
        <f>IF(AND(T38=0,V38&lt;&gt;0),1,IF(AND(T38=0,V38=0),0,V38/T38-1))</f>
        <v>2.3249167157643358E-2</v>
      </c>
      <c r="Y38" s="355"/>
      <c r="Z38" s="342">
        <v>803965379.51999998</v>
      </c>
      <c r="AA38" s="1675">
        <f>IF(Z29+Z30+Z31=0,10,"行业水平评分")</f>
        <v>10</v>
      </c>
      <c r="AB38" s="342">
        <v>816692964.88</v>
      </c>
      <c r="AC38" s="1676">
        <f>IF(AB29+AB30+AB31=0,10,"行业水平评分")</f>
        <v>10</v>
      </c>
      <c r="AD38" s="22">
        <f>IF(AND(Z38=0,AB38&lt;&gt;0),1,IF(AND(Z38=0,AB38=0),0,AB38/Z38-1))</f>
        <v>1.5831011737842404E-2</v>
      </c>
      <c r="AE38" s="355"/>
      <c r="AF38" s="400">
        <v>553478053.49000013</v>
      </c>
      <c r="AG38" s="1675">
        <f>IF(AF29+AF30+AF31=0,10,"行业水平评分")</f>
        <v>10</v>
      </c>
      <c r="AH38" s="342">
        <v>566654306.72000003</v>
      </c>
      <c r="AI38" s="1676">
        <f>IF(AH29+AH30+AH31=0,10,"行业水平评分")</f>
        <v>10</v>
      </c>
      <c r="AJ38" s="22">
        <f>IF(AND(AF38=0,AH38&lt;&gt;0),1,IF(AND(AF38=0,AH38=0),0,AH38/AF38-1))</f>
        <v>2.380627948464431E-2</v>
      </c>
      <c r="AK38" s="355"/>
      <c r="AL38" s="342">
        <v>268983251.95999998</v>
      </c>
      <c r="AM38" s="1675">
        <f>IF(AL29+AL30+AL31=0,10,"行业水平评分")</f>
        <v>10</v>
      </c>
      <c r="AN38" s="342">
        <v>306998636.07999998</v>
      </c>
      <c r="AO38" s="1676">
        <f>IF(AN29+AN30+AN31=0,10,"行业水平评分")</f>
        <v>10</v>
      </c>
      <c r="AP38" s="22">
        <f>IF(AND(AL38=0,AN38&lt;&gt;0),1,IF(AND(AL38=0,AN38=0),0,AN38/AL38-1))</f>
        <v>0.14132992981158998</v>
      </c>
      <c r="AQ38" s="355"/>
      <c r="AR38" s="342">
        <v>498430654.99000007</v>
      </c>
      <c r="AS38" s="1675">
        <f>IF(AR29+AR30+AR31=0,10,"行业水平评分")</f>
        <v>10</v>
      </c>
      <c r="AT38" s="342">
        <v>525688483</v>
      </c>
      <c r="AU38" s="1676">
        <f>IF(AT29+AT30+AT31=0,10,"行业水平评分")</f>
        <v>10</v>
      </c>
      <c r="AV38" s="22">
        <f>IF(AND(AR38=0,AT38&lt;&gt;0),1,IF(AND(AR38=0,AT38=0),0,AT38/AR38-1))</f>
        <v>5.4687302510610714E-2</v>
      </c>
      <c r="AW38" s="355"/>
      <c r="AX38" s="342">
        <v>510216980.48000002</v>
      </c>
      <c r="AY38" s="1675">
        <f>IF(AX29+AX30+AX31=0,10,"行业水平评分")</f>
        <v>10</v>
      </c>
      <c r="AZ38" s="342">
        <v>541961679.08999991</v>
      </c>
      <c r="BA38" s="1676">
        <f>IF(AZ29+AZ30+AZ31=0,10,"行业水平评分")</f>
        <v>10</v>
      </c>
      <c r="BB38" s="22">
        <f>IF(AND(AX38=0,AZ38&lt;&gt;0),1,IF(AND(AX38=0,AZ38=0),0,AZ38/AX38-1))</f>
        <v>6.2218036295333068E-2</v>
      </c>
      <c r="BC38" s="355"/>
      <c r="BD38" s="342">
        <v>86955164.340000004</v>
      </c>
      <c r="BE38" s="1675">
        <f>IF(BD29+BD30+BD31=0,10,"行业水平评分")</f>
        <v>10</v>
      </c>
      <c r="BF38" s="342">
        <v>87224857.019999996</v>
      </c>
      <c r="BG38" s="1676">
        <f>IF(BF29+BF30+BF31=0,10,"行业水平评分")</f>
        <v>10</v>
      </c>
      <c r="BH38" s="22">
        <f>IF(AND(BD38=0,BF38&lt;&gt;0),1,IF(AND(BD38=0,BF38=0),0,BF38/BD38-1))</f>
        <v>3.101514234916225E-3</v>
      </c>
      <c r="BI38" s="355"/>
      <c r="BJ38" s="342">
        <v>416219170.48000002</v>
      </c>
      <c r="BK38" s="1675">
        <f>IF(BJ29+BJ30+BJ31=0,10,"行业水平评分")</f>
        <v>10</v>
      </c>
      <c r="BL38" s="342">
        <v>427053943.67000008</v>
      </c>
      <c r="BM38" s="1676">
        <f>IF(BL29+BL30+BL31=0,10,"行业水平评分")</f>
        <v>10</v>
      </c>
      <c r="BN38" s="22">
        <f>IF(AND(BJ38=0,BL38&lt;&gt;0),1,IF(AND(BJ38=0,BL38=0),0,BL38/BJ38-1))</f>
        <v>2.6031413155489735E-2</v>
      </c>
      <c r="BO38" s="355"/>
      <c r="BP38" s="342">
        <v>97065923.040000007</v>
      </c>
      <c r="BQ38" s="1675">
        <f>IF(BP29+BP30+BP31=0,10,"行业水平评分")</f>
        <v>10</v>
      </c>
      <c r="BR38" s="342">
        <v>104187336.73999999</v>
      </c>
      <c r="BS38" s="1676">
        <f>IF(BR29+BR30+BR31=0,10,"行业水平评分")</f>
        <v>10</v>
      </c>
      <c r="BT38" s="22">
        <f>IF(AND(BP38=0,BR38&lt;&gt;0),1,IF(AND(BP38=0,BR38=0),0,BR38/BP38-1))</f>
        <v>7.3366774630735376E-2</v>
      </c>
      <c r="BU38" s="355"/>
      <c r="BV38" s="342">
        <v>135674420.60999998</v>
      </c>
      <c r="BW38" s="1675">
        <f>IF(BV29+BV30+BV31=0,10,"行业水平评分")</f>
        <v>10</v>
      </c>
      <c r="BX38" s="342">
        <v>141632580.78</v>
      </c>
      <c r="BY38" s="1676">
        <f>IF(BX29+BX30+BX31=0,10,"行业水平评分")</f>
        <v>10</v>
      </c>
      <c r="BZ38" s="22">
        <f>IF(AND(BV38=0,BX38&lt;&gt;0),1,IF(AND(BV38=0,BX38=0),0,BX38/BV38-1))</f>
        <v>4.3915132588823846E-2</v>
      </c>
      <c r="CA38" s="367"/>
    </row>
    <row r="39" spans="1:79" s="356" customFormat="1">
      <c r="A39" s="1678"/>
      <c r="B39" s="1681"/>
      <c r="C39" s="379">
        <v>23</v>
      </c>
      <c r="D39" s="1323" t="s">
        <v>1996</v>
      </c>
      <c r="E39" s="380" t="s">
        <v>954</v>
      </c>
      <c r="F39" s="388"/>
      <c r="G39" s="1684"/>
      <c r="H39" s="1683"/>
      <c r="I39" s="1685"/>
      <c r="J39" s="1287">
        <f>AVERAGE(BV39,BP39,BJ39,BD39,AX39,AR39,AL39,AF39,Z39,T39)</f>
        <v>15842242.294</v>
      </c>
      <c r="K39" s="1687"/>
      <c r="L39" s="1287">
        <f>AVERAGE(BX39,BR39,BL39,BF39,AZ39,AT39,AN39,AH39,AB39,V39)</f>
        <v>12901857.574999999</v>
      </c>
      <c r="M39" s="1687"/>
      <c r="N39" s="1703"/>
      <c r="O39" s="1709"/>
      <c r="P39" s="354">
        <f t="shared" si="14"/>
        <v>0</v>
      </c>
      <c r="Q39" s="354">
        <f t="shared" si="15"/>
        <v>0</v>
      </c>
      <c r="R39" s="354">
        <f t="shared" si="16"/>
        <v>0</v>
      </c>
      <c r="S39" s="355"/>
      <c r="T39" s="342">
        <v>5024700</v>
      </c>
      <c r="U39" s="1675"/>
      <c r="V39" s="342">
        <v>4990300</v>
      </c>
      <c r="W39" s="1676"/>
      <c r="X39" s="22">
        <f>IF(AND(T39=0,V39&lt;&gt;0),1,IF(AND(T39=0,V39=0),0,V39/T39-1))</f>
        <v>-6.8461798714350985E-3</v>
      </c>
      <c r="Y39" s="355"/>
      <c r="Z39" s="342">
        <v>29273930.940000001</v>
      </c>
      <c r="AA39" s="1675"/>
      <c r="AB39" s="342">
        <v>25843931.18</v>
      </c>
      <c r="AC39" s="1676"/>
      <c r="AD39" s="22">
        <f>IF(AND(Z39=0,AB39&lt;&gt;0),1,IF(AND(Z39=0,AB39=0),0,AB39/Z39-1))</f>
        <v>-0.11716908696102846</v>
      </c>
      <c r="AE39" s="355"/>
      <c r="AF39" s="400">
        <v>29287800</v>
      </c>
      <c r="AG39" s="1675"/>
      <c r="AH39" s="342">
        <v>28525800</v>
      </c>
      <c r="AI39" s="1676"/>
      <c r="AJ39" s="22">
        <f>IF(AND(AF39=0,AH39&lt;&gt;0),1,IF(AND(AF39=0,AH39=0),0,AH39/AF39-1))</f>
        <v>-2.6017659230123114E-2</v>
      </c>
      <c r="AK39" s="355"/>
      <c r="AL39" s="342">
        <v>20000</v>
      </c>
      <c r="AM39" s="1675"/>
      <c r="AN39" s="342">
        <v>20000</v>
      </c>
      <c r="AO39" s="1676"/>
      <c r="AP39" s="22">
        <f>IF(AND(AL39=0,AN39&lt;&gt;0),1,IF(AND(AL39=0,AN39=0),0,AN39/AL39-1))</f>
        <v>0</v>
      </c>
      <c r="AQ39" s="355"/>
      <c r="AR39" s="342">
        <v>60377401</v>
      </c>
      <c r="AS39" s="1675"/>
      <c r="AT39" s="342">
        <v>33480092.550000001</v>
      </c>
      <c r="AU39" s="1676"/>
      <c r="AV39" s="22">
        <f>IF(AND(AR39=0,AT39&lt;&gt;0),1,IF(AND(AR39=0,AT39=0),0,AT39/AR39-1))</f>
        <v>-0.44548635755288635</v>
      </c>
      <c r="AW39" s="355"/>
      <c r="AX39" s="342">
        <v>16492600</v>
      </c>
      <c r="AY39" s="1675"/>
      <c r="AZ39" s="342">
        <v>17797000</v>
      </c>
      <c r="BA39" s="1676"/>
      <c r="BB39" s="22">
        <f>IF(AND(AX39=0,AZ39&lt;&gt;0),1,IF(AND(AX39=0,AZ39=0),0,AZ39/AX39-1))</f>
        <v>7.9090016128445573E-2</v>
      </c>
      <c r="BC39" s="355"/>
      <c r="BD39" s="342">
        <v>6113730</v>
      </c>
      <c r="BE39" s="1675"/>
      <c r="BF39" s="342">
        <v>6357330</v>
      </c>
      <c r="BG39" s="1676"/>
      <c r="BH39" s="22">
        <f>IF(AND(BD39=0,BF39&lt;&gt;0),1,IF(AND(BD39=0,BF39=0),0,BF39/BD39-1))</f>
        <v>3.9844742898361485E-2</v>
      </c>
      <c r="BI39" s="355"/>
      <c r="BJ39" s="342">
        <v>2813500</v>
      </c>
      <c r="BK39" s="1675"/>
      <c r="BL39" s="342">
        <v>2968000</v>
      </c>
      <c r="BM39" s="1676"/>
      <c r="BN39" s="22">
        <f>IF(AND(BJ39=0,BL39&lt;&gt;0),1,IF(AND(BJ39=0,BL39=0),0,BL39/BJ39-1))</f>
        <v>5.4913808423671551E-2</v>
      </c>
      <c r="BO39" s="355"/>
      <c r="BP39" s="342">
        <v>321661</v>
      </c>
      <c r="BQ39" s="1675"/>
      <c r="BR39" s="342">
        <v>648222.02</v>
      </c>
      <c r="BS39" s="1676"/>
      <c r="BT39" s="22">
        <f>IF(AND(BP39=0,BR39&lt;&gt;0),1,IF(AND(BP39=0,BR39=0),0,BR39/BP39-1))</f>
        <v>1.0152334911599481</v>
      </c>
      <c r="BU39" s="355"/>
      <c r="BV39" s="342">
        <v>8697100</v>
      </c>
      <c r="BW39" s="1675"/>
      <c r="BX39" s="342">
        <v>8387900</v>
      </c>
      <c r="BY39" s="1676"/>
      <c r="BZ39" s="22">
        <f>IF(AND(BV39=0,BX39&lt;&gt;0),1,IF(AND(BV39=0,BX39=0),0,BX39/BV39-1))</f>
        <v>-3.5552080578583611E-2</v>
      </c>
      <c r="CA39" s="367"/>
    </row>
    <row r="40" spans="1:79" s="356" customFormat="1">
      <c r="A40" s="1679"/>
      <c r="B40" s="1682"/>
      <c r="C40" s="379">
        <v>24</v>
      </c>
      <c r="D40" s="1323" t="s">
        <v>1995</v>
      </c>
      <c r="E40" s="380" t="s">
        <v>954</v>
      </c>
      <c r="F40" s="388"/>
      <c r="G40" s="1684"/>
      <c r="H40" s="1683"/>
      <c r="I40" s="1685"/>
      <c r="J40" s="1287">
        <f>AVERAGE(BV40,BP40,BJ40,BD40,AX40,AR40,AL40,AF40,Z40,T40)</f>
        <v>177428.05</v>
      </c>
      <c r="K40" s="1688"/>
      <c r="L40" s="1287">
        <f>AVERAGE(BX40,BR40,BL40,BF40,AZ40,AT40,AN40,AH40,AB40,V40)</f>
        <v>158786.16999999998</v>
      </c>
      <c r="M40" s="1688"/>
      <c r="N40" s="1704"/>
      <c r="O40" s="1710"/>
      <c r="P40" s="354">
        <f t="shared" si="14"/>
        <v>0</v>
      </c>
      <c r="Q40" s="354">
        <f t="shared" si="15"/>
        <v>0</v>
      </c>
      <c r="R40" s="354">
        <f t="shared" si="16"/>
        <v>0</v>
      </c>
      <c r="S40" s="355"/>
      <c r="T40" s="342">
        <v>0</v>
      </c>
      <c r="U40" s="1675"/>
      <c r="V40" s="342">
        <v>0</v>
      </c>
      <c r="W40" s="1676"/>
      <c r="X40" s="22">
        <f>IF(AND(T40=0,V40&lt;&gt;0),1,IF(AND(T40=0,V40=0),0,V40/T40-1))</f>
        <v>0</v>
      </c>
      <c r="Y40" s="355"/>
      <c r="Z40" s="342">
        <v>264700.5</v>
      </c>
      <c r="AA40" s="1675"/>
      <c r="AB40" s="342">
        <v>258851.8</v>
      </c>
      <c r="AC40" s="1676"/>
      <c r="AD40" s="22">
        <f>IF(AND(Z40=0,AB40&lt;&gt;0),1,IF(AND(Z40=0,AB40=0),0,AB40/Z40-1))</f>
        <v>-2.2095538164831563E-2</v>
      </c>
      <c r="AE40" s="355"/>
      <c r="AF40" s="400">
        <v>619131.6</v>
      </c>
      <c r="AG40" s="1675"/>
      <c r="AH40" s="342">
        <v>458840.7</v>
      </c>
      <c r="AI40" s="1676"/>
      <c r="AJ40" s="22">
        <f>IF(AND(AF40=0,AH40&lt;&gt;0),1,IF(AND(AF40=0,AH40=0),0,AH40/AF40-1))</f>
        <v>-0.25889633157151071</v>
      </c>
      <c r="AK40" s="355"/>
      <c r="AL40" s="342">
        <v>11066.1</v>
      </c>
      <c r="AM40" s="1675"/>
      <c r="AN40" s="342">
        <v>11066.1</v>
      </c>
      <c r="AO40" s="1676"/>
      <c r="AP40" s="22">
        <f>IF(AND(AL40=0,AN40&lt;&gt;0),1,IF(AND(AL40=0,AN40=0),0,AN40/AL40-1))</f>
        <v>0</v>
      </c>
      <c r="AQ40" s="355"/>
      <c r="AR40" s="342">
        <v>227487.9</v>
      </c>
      <c r="AS40" s="1675"/>
      <c r="AT40" s="342">
        <v>217232.8</v>
      </c>
      <c r="AU40" s="1676"/>
      <c r="AV40" s="22">
        <f>IF(AND(AR40=0,AT40&lt;&gt;0),1,IF(AND(AR40=0,AT40=0),0,AT40/AR40-1))</f>
        <v>-4.507976028615146E-2</v>
      </c>
      <c r="AW40" s="355"/>
      <c r="AX40" s="342">
        <v>217848.19999999998</v>
      </c>
      <c r="AY40" s="1675"/>
      <c r="AZ40" s="342">
        <v>216091.8</v>
      </c>
      <c r="BA40" s="1676"/>
      <c r="BB40" s="22">
        <f>IF(AND(AX40=0,AZ40&lt;&gt;0),1,IF(AND(AX40=0,AZ40=0),0,AZ40/AX40-1))</f>
        <v>-8.0624948932329632E-3</v>
      </c>
      <c r="BC40" s="355"/>
      <c r="BD40" s="342">
        <v>1025.3</v>
      </c>
      <c r="BE40" s="1675"/>
      <c r="BF40" s="342">
        <v>1025.3</v>
      </c>
      <c r="BG40" s="1676"/>
      <c r="BH40" s="22">
        <f>IF(AND(BD40=0,BF40&lt;&gt;0),1,IF(AND(BD40=0,BF40=0),0,BF40/BD40-1))</f>
        <v>0</v>
      </c>
      <c r="BI40" s="355"/>
      <c r="BJ40" s="342">
        <v>208138.5</v>
      </c>
      <c r="BK40" s="1675"/>
      <c r="BL40" s="342">
        <v>208374.2</v>
      </c>
      <c r="BM40" s="1676"/>
      <c r="BN40" s="22">
        <f>IF(AND(BJ40=0,BL40&lt;&gt;0),1,IF(AND(BJ40=0,BL40=0),0,BL40/BJ40-1))</f>
        <v>1.1324190382846488E-3</v>
      </c>
      <c r="BO40" s="355"/>
      <c r="BP40" s="342">
        <v>222864.40000000002</v>
      </c>
      <c r="BQ40" s="1675"/>
      <c r="BR40" s="342">
        <v>214360.99999999997</v>
      </c>
      <c r="BS40" s="1676"/>
      <c r="BT40" s="22">
        <f>IF(AND(BP40=0,BR40&lt;&gt;0),1,IF(AND(BP40=0,BR40=0),0,BR40/BP40-1))</f>
        <v>-3.8155039566660442E-2</v>
      </c>
      <c r="BU40" s="355"/>
      <c r="BV40" s="342">
        <v>2018</v>
      </c>
      <c r="BW40" s="1675"/>
      <c r="BX40" s="342">
        <v>2018</v>
      </c>
      <c r="BY40" s="1676"/>
      <c r="BZ40" s="22">
        <f>IF(AND(BV40=0,BX40&lt;&gt;0),1,IF(AND(BV40=0,BX40=0),0,BX40/BV40-1))</f>
        <v>0</v>
      </c>
      <c r="CA40" s="367"/>
    </row>
    <row r="41" spans="1:79" s="413" customFormat="1" ht="15">
      <c r="A41" s="401"/>
      <c r="B41" s="402"/>
      <c r="C41" s="403"/>
      <c r="D41" s="404" t="s">
        <v>224</v>
      </c>
      <c r="E41" s="405"/>
      <c r="F41" s="406"/>
      <c r="G41" s="406"/>
      <c r="H41" s="392"/>
      <c r="I41" s="407">
        <v>90</v>
      </c>
      <c r="J41" s="653"/>
      <c r="K41" s="389"/>
      <c r="L41" s="653"/>
      <c r="M41" s="408">
        <f>SUM(M4:M40)</f>
        <v>80.599999999999994</v>
      </c>
      <c r="N41" s="409"/>
      <c r="O41" s="410">
        <f>SUM(O4:O40)</f>
        <v>9.4</v>
      </c>
      <c r="P41" s="411">
        <f t="shared" si="14"/>
        <v>6.58</v>
      </c>
      <c r="Q41" s="411">
        <f t="shared" si="15"/>
        <v>0.73111111111111116</v>
      </c>
      <c r="R41" s="411">
        <f t="shared" si="16"/>
        <v>0.36555555555555558</v>
      </c>
      <c r="S41" s="355"/>
      <c r="T41" s="343"/>
      <c r="U41" s="406">
        <f>SUM(U4:U40)</f>
        <v>82</v>
      </c>
      <c r="V41" s="392"/>
      <c r="W41" s="1240">
        <f>SUM(W4:W40)</f>
        <v>82</v>
      </c>
      <c r="X41" s="1178"/>
      <c r="Y41" s="355"/>
      <c r="Z41" s="343"/>
      <c r="AA41" s="406">
        <f>SUM(AA4:AA40)</f>
        <v>79</v>
      </c>
      <c r="AB41" s="392"/>
      <c r="AC41" s="1240">
        <f>SUM(AC4:AC40)</f>
        <v>82</v>
      </c>
      <c r="AD41" s="1178"/>
      <c r="AE41" s="355"/>
      <c r="AF41" s="343"/>
      <c r="AG41" s="406">
        <f>SUM(AG4:AG40)</f>
        <v>82</v>
      </c>
      <c r="AH41" s="343"/>
      <c r="AI41" s="1240">
        <f>SUM(AI4:AI40)</f>
        <v>82</v>
      </c>
      <c r="AJ41" s="406"/>
      <c r="AK41" s="355"/>
      <c r="AL41" s="343"/>
      <c r="AM41" s="406">
        <f>SUM(AM4:AM40)</f>
        <v>82</v>
      </c>
      <c r="AN41" s="343"/>
      <c r="AO41" s="1240">
        <f>SUM(AO4:AO40)</f>
        <v>82</v>
      </c>
      <c r="AP41" s="406"/>
      <c r="AQ41" s="355"/>
      <c r="AR41" s="343"/>
      <c r="AS41" s="406">
        <f>SUM(AS4:AS40)</f>
        <v>79</v>
      </c>
      <c r="AT41" s="343"/>
      <c r="AU41" s="1240">
        <f>SUM(AU4:AU40)</f>
        <v>79</v>
      </c>
      <c r="AV41" s="406"/>
      <c r="AW41" s="355"/>
      <c r="AX41" s="343"/>
      <c r="AY41" s="406">
        <f>SUM(AY4:AY40)</f>
        <v>79</v>
      </c>
      <c r="AZ41" s="343"/>
      <c r="BA41" s="1240">
        <f>SUM(BA4:BA40)</f>
        <v>79</v>
      </c>
      <c r="BB41" s="406"/>
      <c r="BC41" s="355"/>
      <c r="BD41" s="343"/>
      <c r="BE41" s="406">
        <f>SUM(BE4:BE40)</f>
        <v>74</v>
      </c>
      <c r="BF41" s="343"/>
      <c r="BG41" s="1240">
        <f>SUM(BG4:BG40)</f>
        <v>77</v>
      </c>
      <c r="BH41" s="406"/>
      <c r="BI41" s="355"/>
      <c r="BJ41" s="343"/>
      <c r="BK41" s="406">
        <f>SUM(BK4:BK40)</f>
        <v>82</v>
      </c>
      <c r="BL41" s="343"/>
      <c r="BM41" s="1240">
        <f>SUM(BM4:BM40)</f>
        <v>82</v>
      </c>
      <c r="BN41" s="406"/>
      <c r="BO41" s="355"/>
      <c r="BP41" s="343"/>
      <c r="BQ41" s="406">
        <f>SUM(BQ4:BQ40)</f>
        <v>79</v>
      </c>
      <c r="BR41" s="343"/>
      <c r="BS41" s="1240">
        <f>SUM(BS4:BS40)</f>
        <v>79</v>
      </c>
      <c r="BT41" s="406"/>
      <c r="BU41" s="355"/>
      <c r="BV41" s="343"/>
      <c r="BW41" s="406">
        <f>SUM(BW4:BW40)</f>
        <v>82</v>
      </c>
      <c r="BX41" s="343"/>
      <c r="BY41" s="1240">
        <f>SUM(BY4:BY40)</f>
        <v>82</v>
      </c>
      <c r="BZ41" s="406"/>
      <c r="CA41" s="412"/>
    </row>
    <row r="42" spans="1:79" s="367" customFormat="1" ht="15" customHeight="1">
      <c r="A42" s="414"/>
      <c r="B42" s="414"/>
      <c r="C42" s="415"/>
      <c r="D42" s="416" t="s">
        <v>1481</v>
      </c>
      <c r="E42" s="414"/>
      <c r="F42" s="417"/>
      <c r="G42" s="417"/>
      <c r="H42" s="358" t="s">
        <v>1168</v>
      </c>
      <c r="I42" s="381">
        <v>72</v>
      </c>
      <c r="J42" s="418"/>
      <c r="K42" s="418"/>
      <c r="L42" s="418"/>
      <c r="M42" s="419">
        <f>SUM(M4:M15)+SUM(M19:M37)</f>
        <v>70.599999999999994</v>
      </c>
      <c r="N42" s="418"/>
      <c r="O42" s="410">
        <f>SUM(O4:O15)+SUM(O17:O37)</f>
        <v>1.4</v>
      </c>
      <c r="P42" s="411">
        <f t="shared" si="14"/>
        <v>0.97999999999999987</v>
      </c>
      <c r="Q42" s="411">
        <f t="shared" si="15"/>
        <v>0.10888888888888887</v>
      </c>
      <c r="R42" s="411">
        <f t="shared" si="16"/>
        <v>5.4444444444444434E-2</v>
      </c>
      <c r="S42" s="420" t="s">
        <v>1482</v>
      </c>
      <c r="W42" s="1241"/>
      <c r="X42" s="1179"/>
      <c r="AC42" s="1241"/>
      <c r="AD42" s="1179"/>
      <c r="AI42" s="1241"/>
      <c r="AO42" s="1241"/>
      <c r="AU42" s="1241"/>
      <c r="BA42" s="1241"/>
      <c r="BG42" s="1241"/>
      <c r="BM42" s="1241"/>
      <c r="BS42" s="1241"/>
      <c r="BY42" s="1241"/>
    </row>
    <row r="43" spans="1:79" s="367" customFormat="1" ht="14.25">
      <c r="A43" s="414"/>
      <c r="B43" s="414"/>
      <c r="C43" s="415"/>
      <c r="D43" s="416" t="s">
        <v>1480</v>
      </c>
      <c r="E43" s="414"/>
      <c r="F43" s="417"/>
      <c r="G43" s="417"/>
      <c r="H43" s="358" t="s">
        <v>1165</v>
      </c>
      <c r="I43" s="381">
        <v>18</v>
      </c>
      <c r="J43" s="418"/>
      <c r="K43" s="418"/>
      <c r="L43" s="418"/>
      <c r="M43" s="422"/>
      <c r="N43" s="418"/>
      <c r="O43" s="410"/>
      <c r="P43" s="411"/>
      <c r="Q43" s="411"/>
      <c r="R43" s="423"/>
      <c r="S43" s="424"/>
      <c r="W43" s="1241"/>
      <c r="X43" s="1179"/>
      <c r="AC43" s="1241"/>
      <c r="AD43" s="1179"/>
      <c r="AI43" s="1241"/>
      <c r="AO43" s="1241"/>
      <c r="AU43" s="1241"/>
      <c r="BA43" s="1241"/>
      <c r="BG43" s="1241"/>
      <c r="BM43" s="1241"/>
      <c r="BS43" s="1241"/>
      <c r="BY43" s="1241"/>
    </row>
    <row r="44" spans="1:79" s="367" customFormat="1" ht="14.25">
      <c r="A44" s="425"/>
      <c r="B44" s="425"/>
      <c r="C44" s="415"/>
      <c r="D44" s="426" t="s">
        <v>1169</v>
      </c>
      <c r="E44" s="425"/>
      <c r="F44" s="427"/>
      <c r="G44" s="427"/>
      <c r="H44" s="428"/>
      <c r="I44" s="429"/>
      <c r="J44" s="430"/>
      <c r="K44" s="430"/>
      <c r="L44" s="430"/>
      <c r="M44" s="430"/>
      <c r="N44" s="429"/>
      <c r="O44" s="431">
        <f t="shared" ref="O44:O49" si="29">AVERAGE(W44,AC44,AI44,AO44,AU44,BA44,BG44,BM44,BS44,BY44)</f>
        <v>80.599999999999994</v>
      </c>
      <c r="P44" s="432"/>
      <c r="Q44" s="432"/>
      <c r="R44" s="432"/>
      <c r="S44" s="433"/>
      <c r="T44" s="355"/>
      <c r="U44" s="434">
        <f>SUBTOTAL(9,U4:U40)</f>
        <v>82</v>
      </c>
      <c r="V44" s="355"/>
      <c r="W44" s="1242">
        <f>SUBTOTAL(9,W4:W40)</f>
        <v>82</v>
      </c>
      <c r="X44" s="1087"/>
      <c r="Y44" s="355"/>
      <c r="Z44" s="355"/>
      <c r="AA44" s="434">
        <f>SUBTOTAL(9,AA4:AA40)</f>
        <v>79</v>
      </c>
      <c r="AB44" s="355"/>
      <c r="AC44" s="1242">
        <f>SUBTOTAL(9,AC4:AC40)</f>
        <v>82</v>
      </c>
      <c r="AD44" s="1087"/>
      <c r="AE44" s="355"/>
      <c r="AF44" s="355"/>
      <c r="AG44" s="434">
        <f>SUBTOTAL(9,AG4:AG40)</f>
        <v>82</v>
      </c>
      <c r="AH44" s="355"/>
      <c r="AI44" s="1242">
        <f>SUBTOTAL(9,AI4:AI40)</f>
        <v>82</v>
      </c>
      <c r="AJ44" s="355"/>
      <c r="AK44" s="355"/>
      <c r="AL44" s="355"/>
      <c r="AM44" s="434">
        <f>SUBTOTAL(9,AM4:AM40)</f>
        <v>82</v>
      </c>
      <c r="AN44" s="355"/>
      <c r="AO44" s="1242">
        <f>SUBTOTAL(9,AO4:AO40)</f>
        <v>82</v>
      </c>
      <c r="AP44" s="355"/>
      <c r="AQ44" s="355"/>
      <c r="AR44" s="355"/>
      <c r="AS44" s="434">
        <f>SUBTOTAL(9,AS4:AS40)</f>
        <v>79</v>
      </c>
      <c r="AT44" s="355"/>
      <c r="AU44" s="1242">
        <f>SUBTOTAL(9,AU4:AU40)</f>
        <v>79</v>
      </c>
      <c r="AV44" s="355"/>
      <c r="AW44" s="355"/>
      <c r="AX44" s="355"/>
      <c r="AY44" s="434">
        <f>SUBTOTAL(9,AY4:AY40)</f>
        <v>79</v>
      </c>
      <c r="AZ44" s="355"/>
      <c r="BA44" s="1242">
        <f>SUBTOTAL(9,BA4:BA40)</f>
        <v>79</v>
      </c>
      <c r="BB44" s="355"/>
      <c r="BC44" s="355"/>
      <c r="BD44" s="355"/>
      <c r="BE44" s="434">
        <f>SUBTOTAL(9,BE4:BE40)</f>
        <v>74</v>
      </c>
      <c r="BF44" s="355"/>
      <c r="BG44" s="1242">
        <f>SUBTOTAL(9,BG4:BG40)</f>
        <v>77</v>
      </c>
      <c r="BH44" s="355"/>
      <c r="BI44" s="355"/>
      <c r="BJ44" s="355"/>
      <c r="BK44" s="434">
        <f>SUBTOTAL(9,BK4:BK40)</f>
        <v>82</v>
      </c>
      <c r="BL44" s="355"/>
      <c r="BM44" s="1242">
        <f>SUBTOTAL(9,BM4:BM40)</f>
        <v>82</v>
      </c>
      <c r="BN44" s="355"/>
      <c r="BO44" s="355"/>
      <c r="BP44" s="355"/>
      <c r="BQ44" s="434">
        <f>SUBTOTAL(9,BQ4:BQ40)</f>
        <v>79</v>
      </c>
      <c r="BR44" s="355"/>
      <c r="BS44" s="1242">
        <f>SUBTOTAL(9,BS4:BS40)</f>
        <v>79</v>
      </c>
      <c r="BT44" s="355"/>
      <c r="BU44" s="355"/>
      <c r="BV44" s="355"/>
      <c r="BW44" s="434">
        <f>SUBTOTAL(9,BW4:BW40)</f>
        <v>82</v>
      </c>
      <c r="BX44" s="355"/>
      <c r="BY44" s="1242">
        <f>SUBTOTAL(9,BY4:BY40)</f>
        <v>82</v>
      </c>
      <c r="BZ44" s="355"/>
    </row>
    <row r="45" spans="1:79" s="367" customFormat="1" ht="14.25">
      <c r="A45" s="435"/>
      <c r="B45" s="435"/>
      <c r="C45" s="415"/>
      <c r="D45" s="436" t="s">
        <v>1478</v>
      </c>
      <c r="E45" s="437"/>
      <c r="F45" s="438"/>
      <c r="G45" s="417"/>
      <c r="H45" s="344"/>
      <c r="I45" s="435"/>
      <c r="J45" s="621"/>
      <c r="K45" s="417"/>
      <c r="L45" s="621"/>
      <c r="M45" s="417"/>
      <c r="N45" s="435"/>
      <c r="O45" s="431">
        <f t="shared" si="29"/>
        <v>70.599999999999994</v>
      </c>
      <c r="P45" s="432"/>
      <c r="Q45" s="432"/>
      <c r="R45" s="432"/>
      <c r="S45" s="433"/>
      <c r="T45" s="355"/>
      <c r="U45" s="398">
        <f>U44-U46</f>
        <v>72</v>
      </c>
      <c r="V45" s="355"/>
      <c r="W45" s="1243">
        <f>W44-W46</f>
        <v>72</v>
      </c>
      <c r="X45" s="1087"/>
      <c r="Y45" s="355"/>
      <c r="Z45" s="355"/>
      <c r="AA45" s="398">
        <f>AA44-AA46</f>
        <v>69</v>
      </c>
      <c r="AB45" s="355"/>
      <c r="AC45" s="1243">
        <f>AC44-AC46</f>
        <v>72</v>
      </c>
      <c r="AD45" s="1087"/>
      <c r="AE45" s="355"/>
      <c r="AF45" s="355"/>
      <c r="AG45" s="398">
        <f>AG44-AG46</f>
        <v>72</v>
      </c>
      <c r="AH45" s="355"/>
      <c r="AI45" s="1243">
        <f>AI44-AI46</f>
        <v>72</v>
      </c>
      <c r="AJ45" s="355"/>
      <c r="AK45" s="355"/>
      <c r="AL45" s="355"/>
      <c r="AM45" s="398">
        <f>AM44-AM46</f>
        <v>72</v>
      </c>
      <c r="AN45" s="355"/>
      <c r="AO45" s="1243">
        <f>AO44-AO46</f>
        <v>72</v>
      </c>
      <c r="AP45" s="355"/>
      <c r="AQ45" s="355"/>
      <c r="AR45" s="355"/>
      <c r="AS45" s="398">
        <f>AS44-AS46</f>
        <v>69</v>
      </c>
      <c r="AT45" s="355"/>
      <c r="AU45" s="1243">
        <f>AU44-AU46</f>
        <v>69</v>
      </c>
      <c r="AV45" s="355"/>
      <c r="AW45" s="355"/>
      <c r="AX45" s="355"/>
      <c r="AY45" s="398">
        <f>AY44-AY46</f>
        <v>69</v>
      </c>
      <c r="AZ45" s="355"/>
      <c r="BA45" s="1243">
        <f>BA44-BA46</f>
        <v>69</v>
      </c>
      <c r="BB45" s="355"/>
      <c r="BC45" s="355"/>
      <c r="BD45" s="355"/>
      <c r="BE45" s="398">
        <f>BE44-BE46</f>
        <v>64</v>
      </c>
      <c r="BF45" s="355"/>
      <c r="BG45" s="1243">
        <f>BG44-BG46</f>
        <v>67</v>
      </c>
      <c r="BH45" s="355"/>
      <c r="BI45" s="355"/>
      <c r="BJ45" s="355"/>
      <c r="BK45" s="398">
        <f>BK44-BK46</f>
        <v>72</v>
      </c>
      <c r="BL45" s="355"/>
      <c r="BM45" s="1243">
        <f>BM44-BM46</f>
        <v>72</v>
      </c>
      <c r="BN45" s="355"/>
      <c r="BO45" s="355"/>
      <c r="BP45" s="355"/>
      <c r="BQ45" s="398">
        <f>BQ44-BQ46</f>
        <v>69</v>
      </c>
      <c r="BR45" s="355"/>
      <c r="BS45" s="1243">
        <f>BS44-BS46</f>
        <v>69</v>
      </c>
      <c r="BT45" s="355"/>
      <c r="BU45" s="355"/>
      <c r="BV45" s="355"/>
      <c r="BW45" s="398">
        <f>BW44-BW46</f>
        <v>72</v>
      </c>
      <c r="BX45" s="355"/>
      <c r="BY45" s="1243">
        <f>BY44-BY46</f>
        <v>72</v>
      </c>
      <c r="BZ45" s="355"/>
    </row>
    <row r="46" spans="1:79" s="367" customFormat="1" ht="14.25">
      <c r="A46" s="435"/>
      <c r="B46" s="435"/>
      <c r="C46" s="415"/>
      <c r="D46" s="436" t="s">
        <v>1479</v>
      </c>
      <c r="E46" s="437"/>
      <c r="F46" s="438"/>
      <c r="G46" s="417"/>
      <c r="H46" s="344"/>
      <c r="I46" s="435"/>
      <c r="J46" s="621"/>
      <c r="K46" s="417"/>
      <c r="L46" s="621"/>
      <c r="M46" s="417"/>
      <c r="N46" s="435"/>
      <c r="O46" s="439">
        <f t="shared" si="29"/>
        <v>10</v>
      </c>
      <c r="P46" s="411">
        <f t="shared" si="14"/>
        <v>7</v>
      </c>
      <c r="Q46" s="411">
        <f t="shared" si="15"/>
        <v>0.77777777777777779</v>
      </c>
      <c r="R46" s="411">
        <f t="shared" si="16"/>
        <v>0.3888888888888889</v>
      </c>
      <c r="S46" s="433"/>
      <c r="T46" s="355"/>
      <c r="U46" s="440">
        <f>IF(T29+T31=0,10,0)</f>
        <v>10</v>
      </c>
      <c r="V46" s="355"/>
      <c r="W46" s="1244">
        <f>IF(V29+V31=0,10,0)</f>
        <v>10</v>
      </c>
      <c r="X46" s="1087"/>
      <c r="Y46" s="355"/>
      <c r="Z46" s="355"/>
      <c r="AA46" s="440">
        <f>IF(Z29+Z31=0,10,0)</f>
        <v>10</v>
      </c>
      <c r="AB46" s="355"/>
      <c r="AC46" s="1244">
        <f>IF(AB29+AB31=0,10,0)</f>
        <v>10</v>
      </c>
      <c r="AD46" s="1087"/>
      <c r="AE46" s="355"/>
      <c r="AF46" s="355"/>
      <c r="AG46" s="440">
        <f>IF(AF29+AF31=0,10,0)</f>
        <v>10</v>
      </c>
      <c r="AH46" s="355"/>
      <c r="AI46" s="1244">
        <f>IF(AH29+AH31=0,10,0)</f>
        <v>10</v>
      </c>
      <c r="AJ46" s="355"/>
      <c r="AK46" s="355"/>
      <c r="AL46" s="355"/>
      <c r="AM46" s="440">
        <f>IF(AL29+AL31=0,10,0)</f>
        <v>10</v>
      </c>
      <c r="AN46" s="355"/>
      <c r="AO46" s="1244">
        <f>IF(AN29+AN31=0,10,0)</f>
        <v>10</v>
      </c>
      <c r="AP46" s="355"/>
      <c r="AQ46" s="355"/>
      <c r="AR46" s="355"/>
      <c r="AS46" s="440">
        <f>IF(AR29+AR31=0,10,0)</f>
        <v>10</v>
      </c>
      <c r="AT46" s="355"/>
      <c r="AU46" s="1244">
        <f>IF(AT29+AT31=0,10,0)</f>
        <v>10</v>
      </c>
      <c r="AV46" s="355"/>
      <c r="AW46" s="355"/>
      <c r="AX46" s="355"/>
      <c r="AY46" s="440">
        <f>IF(AX29+AX31=0,10,0)</f>
        <v>10</v>
      </c>
      <c r="AZ46" s="355"/>
      <c r="BA46" s="1244">
        <f>IF(AZ29+AZ31=0,10,0)</f>
        <v>10</v>
      </c>
      <c r="BB46" s="355"/>
      <c r="BC46" s="355"/>
      <c r="BD46" s="355"/>
      <c r="BE46" s="440">
        <f>IF(BD29+BD31=0,10,0)</f>
        <v>10</v>
      </c>
      <c r="BF46" s="355"/>
      <c r="BG46" s="1244">
        <f>IF(BF29+BF31=0,10,0)</f>
        <v>10</v>
      </c>
      <c r="BH46" s="355"/>
      <c r="BI46" s="355"/>
      <c r="BJ46" s="355"/>
      <c r="BK46" s="440">
        <f>IF(BJ29+BJ31=0,10,0)</f>
        <v>10</v>
      </c>
      <c r="BL46" s="355"/>
      <c r="BM46" s="1244">
        <f>IF(BL29+BL31=0,10,0)</f>
        <v>10</v>
      </c>
      <c r="BN46" s="355"/>
      <c r="BO46" s="355"/>
      <c r="BP46" s="355"/>
      <c r="BQ46" s="440">
        <f>IF(BP29+BP31=0,10,0)</f>
        <v>10</v>
      </c>
      <c r="BR46" s="355"/>
      <c r="BS46" s="1244">
        <f>IF(BR29+BR31=0,10,0)</f>
        <v>10</v>
      </c>
      <c r="BT46" s="355"/>
      <c r="BU46" s="355"/>
      <c r="BV46" s="355"/>
      <c r="BW46" s="440">
        <f>IF(BV29+BV31=0,10,0)</f>
        <v>10</v>
      </c>
      <c r="BX46" s="355"/>
      <c r="BY46" s="1244">
        <f>IF(BX29+BX31=0,10,0)</f>
        <v>10</v>
      </c>
      <c r="BZ46" s="355"/>
    </row>
    <row r="47" spans="1:79" s="367" customFormat="1" ht="14.25">
      <c r="A47" s="435"/>
      <c r="B47" s="435"/>
      <c r="C47" s="415"/>
      <c r="D47" s="416" t="s">
        <v>460</v>
      </c>
      <c r="E47" s="437"/>
      <c r="F47" s="438"/>
      <c r="G47" s="417"/>
      <c r="H47" s="344"/>
      <c r="I47" s="435"/>
      <c r="J47" s="621"/>
      <c r="K47" s="417"/>
      <c r="L47" s="621"/>
      <c r="M47" s="417"/>
      <c r="N47" s="435"/>
      <c r="O47" s="439">
        <f t="shared" si="29"/>
        <v>8</v>
      </c>
      <c r="P47" s="411">
        <f t="shared" si="14"/>
        <v>5.6</v>
      </c>
      <c r="Q47" s="411">
        <f t="shared" si="15"/>
        <v>0.62222222222222223</v>
      </c>
      <c r="R47" s="411">
        <f t="shared" si="16"/>
        <v>0.31111111111111112</v>
      </c>
      <c r="S47" s="433"/>
      <c r="T47" s="355"/>
      <c r="U47" s="398">
        <f>18-U46</f>
        <v>8</v>
      </c>
      <c r="V47" s="355"/>
      <c r="W47" s="1243">
        <f>18-W46</f>
        <v>8</v>
      </c>
      <c r="X47" s="1087"/>
      <c r="Y47" s="355"/>
      <c r="Z47" s="355"/>
      <c r="AA47" s="398">
        <f>18-AA46</f>
        <v>8</v>
      </c>
      <c r="AB47" s="355"/>
      <c r="AC47" s="1243">
        <f>18-AC46</f>
        <v>8</v>
      </c>
      <c r="AD47" s="1087"/>
      <c r="AE47" s="355"/>
      <c r="AF47" s="355"/>
      <c r="AG47" s="398">
        <f>18-AG46</f>
        <v>8</v>
      </c>
      <c r="AH47" s="355"/>
      <c r="AI47" s="1243">
        <f>18-AI46</f>
        <v>8</v>
      </c>
      <c r="AJ47" s="355"/>
      <c r="AK47" s="355"/>
      <c r="AL47" s="355"/>
      <c r="AM47" s="398">
        <f>18-AM46</f>
        <v>8</v>
      </c>
      <c r="AN47" s="355"/>
      <c r="AO47" s="1243">
        <f>18-AO46</f>
        <v>8</v>
      </c>
      <c r="AP47" s="355"/>
      <c r="AQ47" s="355"/>
      <c r="AR47" s="355"/>
      <c r="AS47" s="398">
        <f>18-AS46</f>
        <v>8</v>
      </c>
      <c r="AT47" s="355"/>
      <c r="AU47" s="1243">
        <f>18-AU46</f>
        <v>8</v>
      </c>
      <c r="AV47" s="355"/>
      <c r="AW47" s="355"/>
      <c r="AX47" s="355"/>
      <c r="AY47" s="398">
        <f>18-AY46</f>
        <v>8</v>
      </c>
      <c r="AZ47" s="355"/>
      <c r="BA47" s="1243">
        <f>18-BA46</f>
        <v>8</v>
      </c>
      <c r="BB47" s="355"/>
      <c r="BC47" s="355"/>
      <c r="BD47" s="355"/>
      <c r="BE47" s="398">
        <f>18-BE46</f>
        <v>8</v>
      </c>
      <c r="BF47" s="355"/>
      <c r="BG47" s="1243">
        <f>18-BG46</f>
        <v>8</v>
      </c>
      <c r="BH47" s="355"/>
      <c r="BI47" s="355"/>
      <c r="BJ47" s="355"/>
      <c r="BK47" s="398">
        <f>18-BK46</f>
        <v>8</v>
      </c>
      <c r="BL47" s="355"/>
      <c r="BM47" s="1243">
        <f>18-BM46</f>
        <v>8</v>
      </c>
      <c r="BN47" s="355"/>
      <c r="BO47" s="355"/>
      <c r="BP47" s="355"/>
      <c r="BQ47" s="398">
        <f>18-BQ46</f>
        <v>8</v>
      </c>
      <c r="BR47" s="355"/>
      <c r="BS47" s="1243">
        <f>18-BS46</f>
        <v>8</v>
      </c>
      <c r="BT47" s="355"/>
      <c r="BU47" s="355"/>
      <c r="BV47" s="355"/>
      <c r="BW47" s="398">
        <f>18-BW46</f>
        <v>8</v>
      </c>
      <c r="BX47" s="355"/>
      <c r="BY47" s="1243">
        <f>18-BY46</f>
        <v>8</v>
      </c>
      <c r="BZ47" s="355"/>
    </row>
    <row r="48" spans="1:79" s="367" customFormat="1" ht="14.25">
      <c r="A48" s="435"/>
      <c r="B48" s="435"/>
      <c r="C48" s="415"/>
      <c r="D48" s="416" t="s">
        <v>459</v>
      </c>
      <c r="E48" s="437"/>
      <c r="F48" s="438"/>
      <c r="G48" s="417"/>
      <c r="H48" s="344"/>
      <c r="I48" s="381">
        <v>10</v>
      </c>
      <c r="J48" s="621"/>
      <c r="K48" s="417"/>
      <c r="L48" s="621"/>
      <c r="M48" s="417"/>
      <c r="N48" s="435"/>
      <c r="O48" s="439">
        <f t="shared" si="29"/>
        <v>10</v>
      </c>
      <c r="P48" s="411">
        <f t="shared" si="14"/>
        <v>7</v>
      </c>
      <c r="Q48" s="411">
        <f>P48*0.7</f>
        <v>4.8999999999999995</v>
      </c>
      <c r="R48" s="411">
        <f>Q48*0.7</f>
        <v>3.4299999999999993</v>
      </c>
      <c r="S48" s="433"/>
      <c r="T48" s="355"/>
      <c r="U48" s="440">
        <v>10</v>
      </c>
      <c r="V48" s="355"/>
      <c r="W48" s="1244">
        <v>10</v>
      </c>
      <c r="X48" s="1087"/>
      <c r="Y48" s="355"/>
      <c r="Z48" s="355"/>
      <c r="AA48" s="440">
        <v>10</v>
      </c>
      <c r="AB48" s="355"/>
      <c r="AC48" s="1244">
        <v>10</v>
      </c>
      <c r="AD48" s="1087"/>
      <c r="AE48" s="355"/>
      <c r="AF48" s="355"/>
      <c r="AG48" s="440">
        <v>10</v>
      </c>
      <c r="AH48" s="355"/>
      <c r="AI48" s="1244">
        <v>10</v>
      </c>
      <c r="AJ48" s="355"/>
      <c r="AK48" s="355"/>
      <c r="AL48" s="355"/>
      <c r="AM48" s="440">
        <v>10</v>
      </c>
      <c r="AN48" s="355"/>
      <c r="AO48" s="1244">
        <v>10</v>
      </c>
      <c r="AP48" s="355"/>
      <c r="AQ48" s="355"/>
      <c r="AR48" s="355"/>
      <c r="AS48" s="440">
        <v>10</v>
      </c>
      <c r="AT48" s="355"/>
      <c r="AU48" s="1244">
        <v>10</v>
      </c>
      <c r="AV48" s="355"/>
      <c r="AW48" s="355"/>
      <c r="AX48" s="355"/>
      <c r="AY48" s="440">
        <v>10</v>
      </c>
      <c r="AZ48" s="355"/>
      <c r="BA48" s="1244">
        <v>10</v>
      </c>
      <c r="BB48" s="355"/>
      <c r="BC48" s="355"/>
      <c r="BD48" s="355"/>
      <c r="BE48" s="440">
        <v>10</v>
      </c>
      <c r="BF48" s="355"/>
      <c r="BG48" s="1244">
        <v>10</v>
      </c>
      <c r="BH48" s="355"/>
      <c r="BI48" s="355"/>
      <c r="BJ48" s="355"/>
      <c r="BK48" s="440">
        <v>10</v>
      </c>
      <c r="BL48" s="355"/>
      <c r="BM48" s="1244">
        <v>10</v>
      </c>
      <c r="BN48" s="355"/>
      <c r="BO48" s="355"/>
      <c r="BP48" s="355"/>
      <c r="BQ48" s="440">
        <v>10</v>
      </c>
      <c r="BR48" s="355"/>
      <c r="BS48" s="1244">
        <v>10</v>
      </c>
      <c r="BT48" s="355"/>
      <c r="BU48" s="355"/>
      <c r="BV48" s="355"/>
      <c r="BW48" s="440">
        <v>10</v>
      </c>
      <c r="BX48" s="355"/>
      <c r="BY48" s="1244">
        <v>10</v>
      </c>
      <c r="BZ48" s="355"/>
    </row>
    <row r="49" spans="1:78" s="367" customFormat="1" ht="14.25">
      <c r="A49" s="435"/>
      <c r="B49" s="435"/>
      <c r="C49" s="415"/>
      <c r="D49" s="416" t="s">
        <v>1474</v>
      </c>
      <c r="E49" s="437"/>
      <c r="F49" s="438"/>
      <c r="G49" s="417"/>
      <c r="H49" s="344"/>
      <c r="I49" s="435"/>
      <c r="J49" s="621"/>
      <c r="K49" s="417"/>
      <c r="L49" s="621"/>
      <c r="M49" s="417"/>
      <c r="N49" s="435"/>
      <c r="O49" s="431">
        <f t="shared" si="29"/>
        <v>1.4</v>
      </c>
      <c r="P49" s="432"/>
      <c r="Q49" s="432"/>
      <c r="R49" s="432"/>
      <c r="S49" s="433"/>
      <c r="T49" s="355"/>
      <c r="U49" s="440">
        <f>100-SUM(U45:U48)</f>
        <v>0</v>
      </c>
      <c r="V49" s="355"/>
      <c r="W49" s="1244">
        <f>100-SUM(W45:W48)</f>
        <v>0</v>
      </c>
      <c r="X49" s="1087"/>
      <c r="Y49" s="355"/>
      <c r="Z49" s="355"/>
      <c r="AA49" s="440">
        <f>100-SUM(AA45:AA48)</f>
        <v>3</v>
      </c>
      <c r="AB49" s="355"/>
      <c r="AC49" s="1244">
        <f>100-SUM(AC45:AC48)</f>
        <v>0</v>
      </c>
      <c r="AD49" s="1087"/>
      <c r="AE49" s="355"/>
      <c r="AF49" s="355"/>
      <c r="AG49" s="440">
        <f>100-SUM(AG45:AG48)</f>
        <v>0</v>
      </c>
      <c r="AH49" s="355"/>
      <c r="AI49" s="1244">
        <f>100-SUM(AI45:AI48)</f>
        <v>0</v>
      </c>
      <c r="AJ49" s="355"/>
      <c r="AK49" s="355"/>
      <c r="AL49" s="355"/>
      <c r="AM49" s="440">
        <f>100-SUM(AM45:AM48)</f>
        <v>0</v>
      </c>
      <c r="AN49" s="355"/>
      <c r="AO49" s="1244">
        <f>100-SUM(AO45:AO48)</f>
        <v>0</v>
      </c>
      <c r="AP49" s="355"/>
      <c r="AQ49" s="355"/>
      <c r="AR49" s="355"/>
      <c r="AS49" s="440">
        <f>100-SUM(AS45:AS48)</f>
        <v>3</v>
      </c>
      <c r="AT49" s="355"/>
      <c r="AU49" s="1244">
        <f>100-SUM(AU45:AU48)</f>
        <v>3</v>
      </c>
      <c r="AV49" s="355"/>
      <c r="AW49" s="355"/>
      <c r="AX49" s="355"/>
      <c r="AY49" s="440">
        <f>100-SUM(AY45:AY48)</f>
        <v>3</v>
      </c>
      <c r="AZ49" s="355"/>
      <c r="BA49" s="1244">
        <f>100-SUM(BA45:BA48)</f>
        <v>3</v>
      </c>
      <c r="BB49" s="355"/>
      <c r="BC49" s="355"/>
      <c r="BD49" s="355"/>
      <c r="BE49" s="440">
        <f>100-SUM(BE45:BE48)</f>
        <v>8</v>
      </c>
      <c r="BF49" s="355"/>
      <c r="BG49" s="1244">
        <f>100-SUM(BG45:BG48)</f>
        <v>5</v>
      </c>
      <c r="BH49" s="355"/>
      <c r="BI49" s="355"/>
      <c r="BJ49" s="355"/>
      <c r="BK49" s="440">
        <f>100-SUM(BK45:BK48)</f>
        <v>0</v>
      </c>
      <c r="BL49" s="355"/>
      <c r="BM49" s="1244">
        <f>100-SUM(BM45:BM48)</f>
        <v>0</v>
      </c>
      <c r="BN49" s="355"/>
      <c r="BO49" s="355"/>
      <c r="BP49" s="355"/>
      <c r="BQ49" s="440">
        <f>100-SUM(BQ45:BQ48)</f>
        <v>3</v>
      </c>
      <c r="BR49" s="355"/>
      <c r="BS49" s="1244">
        <f>100-SUM(BS45:BS48)</f>
        <v>3</v>
      </c>
      <c r="BT49" s="355"/>
      <c r="BU49" s="355"/>
      <c r="BV49" s="355"/>
      <c r="BW49" s="440">
        <f>100-SUM(BW45:BW48)</f>
        <v>0</v>
      </c>
      <c r="BX49" s="355"/>
      <c r="BY49" s="1244">
        <f>100-SUM(BY45:BY48)</f>
        <v>0</v>
      </c>
      <c r="BZ49" s="355"/>
    </row>
    <row r="50" spans="1:78">
      <c r="O50" s="366"/>
      <c r="P50" s="366"/>
      <c r="Q50" s="367"/>
      <c r="R50" s="367"/>
      <c r="S50" s="366"/>
      <c r="W50" s="1241"/>
      <c r="Y50" s="366"/>
      <c r="AC50" s="1241"/>
      <c r="AE50" s="366"/>
      <c r="AI50" s="1241"/>
      <c r="AK50" s="366"/>
      <c r="AO50" s="1241"/>
      <c r="AQ50" s="366"/>
      <c r="AU50" s="1241"/>
      <c r="AW50" s="366"/>
      <c r="BA50" s="1241"/>
      <c r="BC50" s="366"/>
      <c r="BG50" s="1241"/>
      <c r="BI50" s="366"/>
      <c r="BM50" s="1241"/>
      <c r="BO50" s="366"/>
      <c r="BS50" s="1241"/>
      <c r="BT50" s="366"/>
      <c r="BU50" s="366"/>
      <c r="BW50" s="368"/>
      <c r="BZ50" s="366"/>
    </row>
    <row r="51" spans="1:78">
      <c r="O51" s="366"/>
      <c r="P51" s="366"/>
      <c r="Q51" s="367"/>
      <c r="R51" s="367"/>
      <c r="S51" s="366"/>
      <c r="W51" s="1241"/>
      <c r="Y51" s="366"/>
      <c r="AC51" s="1241"/>
      <c r="AE51" s="366"/>
      <c r="AI51" s="1241"/>
      <c r="AK51" s="366"/>
      <c r="AO51" s="1241"/>
      <c r="AQ51" s="366"/>
      <c r="AU51" s="1241"/>
      <c r="AW51" s="366"/>
      <c r="BA51" s="1241"/>
      <c r="BC51" s="366"/>
      <c r="BG51" s="1241"/>
      <c r="BI51" s="366"/>
      <c r="BM51" s="1241"/>
      <c r="BO51" s="366"/>
      <c r="BS51" s="1241"/>
      <c r="BT51" s="366"/>
      <c r="BU51" s="366"/>
      <c r="BW51" s="368"/>
      <c r="BZ51" s="366"/>
    </row>
    <row r="52" spans="1:78" s="367" customFormat="1" ht="14.25">
      <c r="A52" s="414"/>
      <c r="B52" s="414"/>
      <c r="C52" s="415"/>
      <c r="D52" s="444" t="s">
        <v>1592</v>
      </c>
      <c r="E52" s="414"/>
      <c r="F52" s="418"/>
      <c r="G52" s="418"/>
      <c r="H52" s="414"/>
      <c r="I52" s="414"/>
      <c r="J52" s="418"/>
      <c r="K52" s="418"/>
      <c r="L52" s="418"/>
      <c r="M52" s="418"/>
      <c r="N52" s="414"/>
      <c r="W52" s="1241"/>
      <c r="X52" s="1179"/>
      <c r="AC52" s="1241"/>
      <c r="AD52" s="1179"/>
      <c r="AI52" s="1241"/>
      <c r="AO52" s="1241"/>
      <c r="AU52" s="1241"/>
      <c r="BA52" s="1241"/>
      <c r="BG52" s="1241"/>
      <c r="BM52" s="1241"/>
      <c r="BS52" s="1241"/>
      <c r="BW52" s="378" t="s">
        <v>1283</v>
      </c>
      <c r="BY52" s="1241"/>
    </row>
    <row r="53" spans="1:78" s="367" customFormat="1" ht="14.25">
      <c r="A53" s="414"/>
      <c r="B53" s="414"/>
      <c r="C53" s="415"/>
      <c r="D53" s="357" t="s">
        <v>1636</v>
      </c>
      <c r="E53" s="414"/>
      <c r="F53" s="418"/>
      <c r="G53" s="418"/>
      <c r="H53" s="414"/>
      <c r="I53" s="414"/>
      <c r="J53" s="418"/>
      <c r="K53" s="418"/>
      <c r="L53" s="418"/>
      <c r="M53" s="418"/>
      <c r="N53" s="414"/>
      <c r="W53" s="1241"/>
      <c r="X53" s="1179"/>
      <c r="AC53" s="1241"/>
      <c r="AD53" s="1179"/>
      <c r="AI53" s="1241"/>
      <c r="AO53" s="1241"/>
      <c r="AU53" s="1241"/>
      <c r="BA53" s="1241"/>
      <c r="BF53" s="424"/>
      <c r="BG53" s="1241"/>
      <c r="BM53" s="1241"/>
      <c r="BS53" s="1241"/>
      <c r="BW53" s="378" t="s">
        <v>1282</v>
      </c>
      <c r="BY53" s="1241"/>
    </row>
    <row r="54" spans="1:78" s="367" customFormat="1" ht="14.25">
      <c r="A54" s="414"/>
      <c r="B54" s="414"/>
      <c r="C54" s="415"/>
      <c r="E54" s="414"/>
      <c r="F54" s="418"/>
      <c r="G54" s="418"/>
      <c r="H54" s="414"/>
      <c r="I54" s="414"/>
      <c r="J54" s="418"/>
      <c r="K54" s="418"/>
      <c r="L54" s="418"/>
      <c r="M54" s="418"/>
      <c r="N54" s="414"/>
      <c r="W54" s="1241"/>
      <c r="X54" s="1179"/>
      <c r="AC54" s="1241"/>
      <c r="AD54" s="1179"/>
      <c r="AI54" s="1241"/>
      <c r="AO54" s="1241"/>
      <c r="AU54" s="1241"/>
      <c r="BA54" s="1241"/>
      <c r="BF54" s="424"/>
      <c r="BG54" s="1241"/>
      <c r="BM54" s="1241"/>
      <c r="BS54" s="1241"/>
      <c r="BW54" s="421"/>
      <c r="BY54" s="1241"/>
    </row>
    <row r="55" spans="1:78" s="367" customFormat="1" ht="18.75">
      <c r="A55" s="414"/>
      <c r="B55" s="414"/>
      <c r="C55" s="415"/>
      <c r="E55" s="414"/>
      <c r="F55" s="418"/>
      <c r="G55" s="418"/>
      <c r="H55" s="414"/>
      <c r="I55" s="414"/>
      <c r="J55" s="418"/>
      <c r="K55" s="418"/>
      <c r="L55" s="418"/>
      <c r="M55" s="418"/>
      <c r="N55" s="414"/>
      <c r="W55" s="1241"/>
      <c r="X55" s="1179"/>
      <c r="AC55" s="1241"/>
      <c r="AD55" s="1179"/>
      <c r="AI55" s="1241"/>
      <c r="AO55" s="1241"/>
      <c r="AU55" s="1241"/>
      <c r="BA55" s="1241"/>
      <c r="BF55" s="1305"/>
      <c r="BG55" s="1241"/>
      <c r="BM55" s="1241"/>
      <c r="BS55" s="1241"/>
      <c r="BW55" s="421"/>
      <c r="BY55" s="1241"/>
    </row>
    <row r="56" spans="1:78" s="367" customFormat="1" ht="18.75">
      <c r="A56" s="414"/>
      <c r="B56" s="414"/>
      <c r="C56" s="415"/>
      <c r="E56" s="414"/>
      <c r="F56" s="418"/>
      <c r="G56" s="418"/>
      <c r="H56" s="414"/>
      <c r="I56" s="414"/>
      <c r="J56" s="418"/>
      <c r="K56" s="418"/>
      <c r="L56" s="418"/>
      <c r="M56" s="418"/>
      <c r="N56" s="414"/>
      <c r="W56" s="1241"/>
      <c r="X56" s="1179"/>
      <c r="AC56" s="1241"/>
      <c r="AD56" s="1179"/>
      <c r="AI56" s="1241"/>
      <c r="AO56" s="1241"/>
      <c r="AU56" s="1241"/>
      <c r="BA56" s="1241"/>
      <c r="BF56" s="1305"/>
      <c r="BG56" s="1241"/>
      <c r="BM56" s="1241"/>
      <c r="BS56" s="1241"/>
      <c r="BW56" s="421"/>
      <c r="BY56" s="1241"/>
    </row>
    <row r="57" spans="1:78" s="367" customFormat="1" ht="18.75">
      <c r="A57" s="414"/>
      <c r="B57" s="414"/>
      <c r="C57" s="415"/>
      <c r="E57" s="414"/>
      <c r="F57" s="418"/>
      <c r="G57" s="418"/>
      <c r="H57" s="414"/>
      <c r="I57" s="414"/>
      <c r="J57" s="418"/>
      <c r="K57" s="418"/>
      <c r="L57" s="418"/>
      <c r="M57" s="418"/>
      <c r="N57" s="414"/>
      <c r="W57" s="1241"/>
      <c r="X57" s="1179"/>
      <c r="AC57" s="1241"/>
      <c r="AD57" s="1179"/>
      <c r="AI57" s="1241"/>
      <c r="AO57" s="1241"/>
      <c r="AU57" s="1241"/>
      <c r="BA57" s="1241"/>
      <c r="BF57" s="1305"/>
      <c r="BG57" s="1241"/>
      <c r="BM57" s="1241"/>
      <c r="BS57" s="1241"/>
      <c r="BW57" s="421"/>
      <c r="BY57" s="1241"/>
    </row>
    <row r="58" spans="1:78" s="367" customFormat="1" ht="18.75">
      <c r="A58" s="414"/>
      <c r="B58" s="414"/>
      <c r="C58" s="415"/>
      <c r="E58" s="414"/>
      <c r="F58" s="418"/>
      <c r="G58" s="418"/>
      <c r="H58" s="414"/>
      <c r="I58" s="414"/>
      <c r="J58" s="418"/>
      <c r="K58" s="418"/>
      <c r="L58" s="418"/>
      <c r="M58" s="418"/>
      <c r="N58" s="414"/>
      <c r="W58" s="1241"/>
      <c r="X58" s="1179"/>
      <c r="AA58" s="424"/>
      <c r="AB58" s="424"/>
      <c r="AC58" s="1241"/>
      <c r="AD58" s="1179"/>
      <c r="AI58" s="1241"/>
      <c r="AO58" s="1241"/>
      <c r="AU58" s="1241"/>
      <c r="BA58" s="1241"/>
      <c r="BF58" s="1305"/>
      <c r="BG58" s="1241"/>
      <c r="BM58" s="1241"/>
      <c r="BS58" s="1241"/>
      <c r="BW58" s="421"/>
      <c r="BY58" s="1241"/>
    </row>
    <row r="59" spans="1:78" s="367" customFormat="1" ht="18.75">
      <c r="A59" s="414"/>
      <c r="B59" s="414"/>
      <c r="C59" s="415"/>
      <c r="E59" s="414"/>
      <c r="F59" s="418"/>
      <c r="G59" s="418"/>
      <c r="H59" s="414"/>
      <c r="I59" s="414"/>
      <c r="J59" s="418"/>
      <c r="K59" s="418"/>
      <c r="L59" s="418"/>
      <c r="M59" s="418"/>
      <c r="N59" s="414"/>
      <c r="W59" s="1241"/>
      <c r="X59" s="1179"/>
      <c r="AA59" s="424"/>
      <c r="AB59" s="424"/>
      <c r="AC59" s="1241"/>
      <c r="AD59" s="1179"/>
      <c r="AI59" s="1241"/>
      <c r="AO59" s="1241"/>
      <c r="AU59" s="1241"/>
      <c r="BA59" s="1241"/>
      <c r="BF59" s="1305"/>
      <c r="BG59" s="1241"/>
      <c r="BM59" s="1241"/>
      <c r="BS59" s="1241"/>
      <c r="BW59" s="421"/>
      <c r="BY59" s="1241"/>
    </row>
    <row r="60" spans="1:78" s="367" customFormat="1" ht="18.75">
      <c r="A60" s="414"/>
      <c r="B60" s="414"/>
      <c r="C60" s="415"/>
      <c r="E60" s="414"/>
      <c r="F60" s="418"/>
      <c r="G60" s="418"/>
      <c r="H60" s="414"/>
      <c r="I60" s="414"/>
      <c r="J60" s="418"/>
      <c r="K60" s="418"/>
      <c r="L60" s="418"/>
      <c r="M60" s="418"/>
      <c r="N60" s="414"/>
      <c r="W60" s="1241"/>
      <c r="X60" s="1179"/>
      <c r="AA60" s="424"/>
      <c r="AB60" s="424"/>
      <c r="AC60" s="1241"/>
      <c r="AD60" s="1179"/>
      <c r="AI60" s="1241"/>
      <c r="AO60" s="1241"/>
      <c r="AU60" s="1241"/>
      <c r="BA60" s="1241"/>
      <c r="BF60" s="1305"/>
      <c r="BG60" s="1241"/>
      <c r="BM60" s="1241"/>
      <c r="BS60" s="1241"/>
      <c r="BW60" s="421"/>
      <c r="BY60" s="1241"/>
    </row>
    <row r="61" spans="1:78" s="367" customFormat="1" ht="18.75">
      <c r="A61" s="414"/>
      <c r="B61" s="414"/>
      <c r="C61" s="415"/>
      <c r="E61" s="414"/>
      <c r="F61" s="418"/>
      <c r="G61" s="418"/>
      <c r="H61" s="414"/>
      <c r="I61" s="414"/>
      <c r="J61" s="418"/>
      <c r="K61" s="418"/>
      <c r="L61" s="418"/>
      <c r="M61" s="418"/>
      <c r="N61" s="414"/>
      <c r="W61" s="1241"/>
      <c r="X61" s="1179"/>
      <c r="AA61" s="424"/>
      <c r="AB61" s="424"/>
      <c r="AC61" s="1241"/>
      <c r="AD61" s="1179"/>
      <c r="AI61" s="1241"/>
      <c r="AO61" s="1241"/>
      <c r="AU61" s="1241"/>
      <c r="BA61" s="1241"/>
      <c r="BF61" s="1305"/>
      <c r="BG61" s="1241"/>
      <c r="BM61" s="1241"/>
      <c r="BS61" s="1241"/>
      <c r="BW61" s="421"/>
      <c r="BY61" s="1241"/>
    </row>
    <row r="62" spans="1:78" s="367" customFormat="1" ht="18.75">
      <c r="A62" s="414"/>
      <c r="B62" s="414"/>
      <c r="C62" s="415"/>
      <c r="E62" s="414"/>
      <c r="F62" s="418"/>
      <c r="G62" s="418"/>
      <c r="H62" s="414"/>
      <c r="I62" s="414"/>
      <c r="J62" s="418"/>
      <c r="K62" s="418"/>
      <c r="L62" s="418"/>
      <c r="M62" s="418"/>
      <c r="N62" s="414"/>
      <c r="W62" s="1241"/>
      <c r="X62" s="1179"/>
      <c r="AC62" s="1241"/>
      <c r="AD62" s="1179"/>
      <c r="AI62" s="1241"/>
      <c r="AO62" s="1241"/>
      <c r="AU62" s="1241"/>
      <c r="BA62" s="1241"/>
      <c r="BF62" s="1306"/>
      <c r="BG62" s="1241"/>
      <c r="BM62" s="1241"/>
      <c r="BS62" s="1241"/>
      <c r="BW62" s="421"/>
      <c r="BY62" s="1241"/>
    </row>
    <row r="63" spans="1:78" s="367" customFormat="1" ht="14.25">
      <c r="A63" s="414"/>
      <c r="B63" s="414"/>
      <c r="C63" s="415"/>
      <c r="E63" s="414"/>
      <c r="F63" s="418"/>
      <c r="G63" s="418"/>
      <c r="H63" s="414"/>
      <c r="I63" s="414"/>
      <c r="J63" s="418"/>
      <c r="K63" s="418"/>
      <c r="L63" s="418"/>
      <c r="M63" s="418"/>
      <c r="N63" s="414"/>
      <c r="W63" s="1241"/>
      <c r="X63" s="1179"/>
      <c r="AC63" s="1241"/>
      <c r="AD63" s="1179"/>
      <c r="AI63" s="1241"/>
      <c r="AO63" s="1241"/>
      <c r="AU63" s="1241"/>
      <c r="BA63" s="1241"/>
      <c r="BF63" s="424"/>
      <c r="BG63" s="1241"/>
      <c r="BM63" s="1241"/>
      <c r="BS63" s="1241"/>
      <c r="BW63" s="421"/>
      <c r="BY63" s="1241"/>
    </row>
    <row r="64" spans="1:78" s="367" customFormat="1" ht="14.25">
      <c r="A64" s="414"/>
      <c r="B64" s="414"/>
      <c r="C64" s="415"/>
      <c r="E64" s="414"/>
      <c r="F64" s="418"/>
      <c r="G64" s="418"/>
      <c r="H64" s="414"/>
      <c r="I64" s="414"/>
      <c r="J64" s="418"/>
      <c r="K64" s="418"/>
      <c r="L64" s="418"/>
      <c r="M64" s="418"/>
      <c r="N64" s="414"/>
      <c r="W64" s="1241"/>
      <c r="X64" s="1179"/>
      <c r="AC64" s="1241"/>
      <c r="AD64" s="1179"/>
      <c r="AI64" s="1241"/>
      <c r="AO64" s="1241"/>
      <c r="AU64" s="1241"/>
      <c r="BA64" s="1241"/>
      <c r="BF64" s="424"/>
      <c r="BG64" s="1241"/>
      <c r="BM64" s="1241"/>
      <c r="BS64" s="1241"/>
      <c r="BW64" s="421"/>
      <c r="BY64" s="1241"/>
    </row>
    <row r="65" spans="1:77" s="367" customFormat="1" ht="14.25">
      <c r="A65" s="414"/>
      <c r="B65" s="414"/>
      <c r="C65" s="415"/>
      <c r="E65" s="414"/>
      <c r="F65" s="418"/>
      <c r="G65" s="418"/>
      <c r="H65" s="414"/>
      <c r="I65" s="414"/>
      <c r="J65" s="418"/>
      <c r="K65" s="418"/>
      <c r="L65" s="418"/>
      <c r="M65" s="418"/>
      <c r="N65" s="414"/>
      <c r="W65" s="1241"/>
      <c r="X65" s="1179"/>
      <c r="AC65" s="1241"/>
      <c r="AD65" s="1179"/>
      <c r="AI65" s="1241"/>
      <c r="AO65" s="1241"/>
      <c r="AU65" s="1241"/>
      <c r="BA65" s="1241"/>
      <c r="BG65" s="1241"/>
      <c r="BM65" s="1241"/>
      <c r="BS65" s="1241"/>
      <c r="BW65" s="421"/>
      <c r="BY65" s="1241"/>
    </row>
    <row r="66" spans="1:77" s="367" customFormat="1" ht="14.25">
      <c r="A66" s="414"/>
      <c r="B66" s="414"/>
      <c r="C66" s="415"/>
      <c r="E66" s="414"/>
      <c r="F66" s="418"/>
      <c r="G66" s="418"/>
      <c r="H66" s="414"/>
      <c r="I66" s="414"/>
      <c r="J66" s="418"/>
      <c r="K66" s="418"/>
      <c r="L66" s="418"/>
      <c r="M66" s="418"/>
      <c r="N66" s="414"/>
      <c r="W66" s="1241"/>
      <c r="X66" s="1179"/>
      <c r="AC66" s="1241"/>
      <c r="AD66" s="1179"/>
      <c r="AI66" s="1241"/>
      <c r="AO66" s="1241"/>
      <c r="AU66" s="1241"/>
      <c r="BA66" s="1241"/>
      <c r="BG66" s="1241"/>
      <c r="BM66" s="1241"/>
      <c r="BS66" s="1241"/>
      <c r="BW66" s="421"/>
      <c r="BY66" s="1241"/>
    </row>
    <row r="67" spans="1:77" s="367" customFormat="1" ht="14.25">
      <c r="A67" s="414"/>
      <c r="B67" s="414"/>
      <c r="C67" s="415"/>
      <c r="E67" s="414"/>
      <c r="F67" s="418"/>
      <c r="G67" s="418"/>
      <c r="H67" s="414"/>
      <c r="I67" s="414"/>
      <c r="J67" s="418"/>
      <c r="K67" s="418"/>
      <c r="L67" s="418"/>
      <c r="M67" s="418"/>
      <c r="N67" s="414"/>
      <c r="W67" s="1241"/>
      <c r="X67" s="1179"/>
      <c r="AC67" s="1241"/>
      <c r="AD67" s="1179"/>
      <c r="AI67" s="1241"/>
      <c r="AO67" s="1241"/>
      <c r="AU67" s="1241"/>
      <c r="BA67" s="1241"/>
      <c r="BG67" s="1241"/>
      <c r="BM67" s="1241"/>
      <c r="BS67" s="1241"/>
      <c r="BW67" s="421"/>
      <c r="BY67" s="1241"/>
    </row>
    <row r="68" spans="1:77" s="367" customFormat="1" ht="14.25">
      <c r="A68" s="414"/>
      <c r="B68" s="414"/>
      <c r="C68" s="415"/>
      <c r="E68" s="414"/>
      <c r="F68" s="418"/>
      <c r="G68" s="418"/>
      <c r="H68" s="414"/>
      <c r="I68" s="414"/>
      <c r="J68" s="418"/>
      <c r="K68" s="418"/>
      <c r="L68" s="418"/>
      <c r="M68" s="418"/>
      <c r="N68" s="414"/>
      <c r="W68" s="1241"/>
      <c r="X68" s="1179"/>
      <c r="AC68" s="1241"/>
      <c r="AD68" s="1179"/>
      <c r="AI68" s="1241"/>
      <c r="AO68" s="1241"/>
      <c r="AU68" s="1241"/>
      <c r="BA68" s="1241"/>
      <c r="BG68" s="1241"/>
      <c r="BM68" s="1241"/>
      <c r="BS68" s="1241"/>
      <c r="BW68" s="421"/>
      <c r="BY68" s="1241"/>
    </row>
    <row r="69" spans="1:77" s="367" customFormat="1" ht="14.25">
      <c r="A69" s="414"/>
      <c r="B69" s="414"/>
      <c r="C69" s="415"/>
      <c r="E69" s="414"/>
      <c r="F69" s="418"/>
      <c r="G69" s="418"/>
      <c r="H69" s="414"/>
      <c r="I69" s="414"/>
      <c r="J69" s="418"/>
      <c r="K69" s="418"/>
      <c r="L69" s="418"/>
      <c r="M69" s="418"/>
      <c r="N69" s="414"/>
      <c r="W69" s="1241"/>
      <c r="X69" s="1179"/>
      <c r="AC69" s="1241"/>
      <c r="AD69" s="1179"/>
      <c r="AI69" s="1241"/>
      <c r="AO69" s="1241"/>
      <c r="AU69" s="1241"/>
      <c r="BA69" s="1241"/>
      <c r="BG69" s="1241"/>
      <c r="BM69" s="1241"/>
      <c r="BS69" s="1241"/>
      <c r="BW69" s="421"/>
      <c r="BY69" s="1241"/>
    </row>
    <row r="70" spans="1:77" s="367" customFormat="1" ht="14.25">
      <c r="A70" s="414"/>
      <c r="B70" s="414"/>
      <c r="C70" s="415"/>
      <c r="E70" s="414"/>
      <c r="F70" s="418"/>
      <c r="G70" s="418"/>
      <c r="H70" s="414"/>
      <c r="I70" s="414"/>
      <c r="J70" s="418"/>
      <c r="K70" s="418"/>
      <c r="L70" s="418"/>
      <c r="M70" s="418"/>
      <c r="N70" s="414"/>
      <c r="W70" s="1241"/>
      <c r="X70" s="1179"/>
      <c r="AC70" s="1241"/>
      <c r="AD70" s="1179"/>
      <c r="AI70" s="1241"/>
      <c r="AO70" s="1241"/>
      <c r="AU70" s="1241"/>
      <c r="BA70" s="1241"/>
      <c r="BG70" s="1241"/>
      <c r="BM70" s="1241"/>
      <c r="BS70" s="1241"/>
      <c r="BW70" s="421"/>
      <c r="BY70" s="1241"/>
    </row>
    <row r="71" spans="1:77" s="367" customFormat="1" ht="14.25">
      <c r="A71" s="414"/>
      <c r="B71" s="414"/>
      <c r="C71" s="415"/>
      <c r="E71" s="414"/>
      <c r="F71" s="418"/>
      <c r="G71" s="418"/>
      <c r="H71" s="414"/>
      <c r="I71" s="414"/>
      <c r="J71" s="418"/>
      <c r="K71" s="418"/>
      <c r="L71" s="418"/>
      <c r="M71" s="418"/>
      <c r="N71" s="414"/>
      <c r="W71" s="1241"/>
      <c r="X71" s="1179"/>
      <c r="AC71" s="1241"/>
      <c r="AD71" s="1179"/>
      <c r="AI71" s="1241"/>
      <c r="AO71" s="1241"/>
      <c r="AU71" s="1241"/>
      <c r="BA71" s="1241"/>
      <c r="BG71" s="1241"/>
      <c r="BM71" s="1241"/>
      <c r="BS71" s="1241"/>
      <c r="BW71" s="421"/>
      <c r="BY71" s="1241"/>
    </row>
    <row r="72" spans="1:77" s="367" customFormat="1" ht="14.25">
      <c r="A72" s="414"/>
      <c r="B72" s="414"/>
      <c r="C72" s="415"/>
      <c r="E72" s="414"/>
      <c r="F72" s="418"/>
      <c r="G72" s="418"/>
      <c r="H72" s="414"/>
      <c r="I72" s="414"/>
      <c r="J72" s="418"/>
      <c r="K72" s="418"/>
      <c r="L72" s="418"/>
      <c r="M72" s="418"/>
      <c r="N72" s="414"/>
      <c r="W72" s="1241"/>
      <c r="X72" s="1179"/>
      <c r="AC72" s="1241"/>
      <c r="AD72" s="1179"/>
      <c r="AI72" s="1241"/>
      <c r="AO72" s="1241"/>
      <c r="AU72" s="1241"/>
      <c r="BA72" s="1241"/>
      <c r="BG72" s="1241"/>
      <c r="BM72" s="1241"/>
      <c r="BS72" s="1241"/>
      <c r="BW72" s="421"/>
      <c r="BY72" s="1241"/>
    </row>
    <row r="73" spans="1:77" s="367" customFormat="1" ht="14.25">
      <c r="A73" s="414"/>
      <c r="B73" s="414"/>
      <c r="C73" s="415"/>
      <c r="E73" s="414"/>
      <c r="F73" s="418"/>
      <c r="G73" s="418"/>
      <c r="H73" s="414"/>
      <c r="I73" s="414"/>
      <c r="J73" s="418"/>
      <c r="K73" s="418"/>
      <c r="L73" s="418"/>
      <c r="M73" s="418"/>
      <c r="N73" s="414"/>
      <c r="W73" s="1241"/>
      <c r="X73" s="1179"/>
      <c r="AC73" s="1241"/>
      <c r="AD73" s="1179"/>
      <c r="AI73" s="1241"/>
      <c r="AO73" s="1241"/>
      <c r="AU73" s="1241"/>
      <c r="BA73" s="1241"/>
      <c r="BG73" s="1241"/>
      <c r="BM73" s="1241"/>
      <c r="BS73" s="1241"/>
      <c r="BW73" s="421"/>
      <c r="BY73" s="1241"/>
    </row>
    <row r="74" spans="1:77" s="367" customFormat="1" ht="14.25">
      <c r="A74" s="414"/>
      <c r="B74" s="414"/>
      <c r="C74" s="415"/>
      <c r="E74" s="414"/>
      <c r="F74" s="418"/>
      <c r="G74" s="418"/>
      <c r="H74" s="414"/>
      <c r="I74" s="414"/>
      <c r="J74" s="418"/>
      <c r="K74" s="418"/>
      <c r="L74" s="418"/>
      <c r="M74" s="418"/>
      <c r="N74" s="414"/>
      <c r="W74" s="1241"/>
      <c r="X74" s="1179"/>
      <c r="AC74" s="1241"/>
      <c r="AD74" s="1179"/>
      <c r="AI74" s="1241"/>
      <c r="AO74" s="1241"/>
      <c r="AU74" s="1241"/>
      <c r="BA74" s="1241"/>
      <c r="BG74" s="1241"/>
      <c r="BM74" s="1241"/>
      <c r="BS74" s="1241"/>
      <c r="BW74" s="421"/>
      <c r="BY74" s="1241"/>
    </row>
    <row r="75" spans="1:77" s="367" customFormat="1" ht="14.25">
      <c r="A75" s="414"/>
      <c r="B75" s="414"/>
      <c r="C75" s="415"/>
      <c r="E75" s="414"/>
      <c r="F75" s="418"/>
      <c r="G75" s="418"/>
      <c r="H75" s="414"/>
      <c r="I75" s="414"/>
      <c r="J75" s="418"/>
      <c r="K75" s="418"/>
      <c r="L75" s="418"/>
      <c r="M75" s="418"/>
      <c r="N75" s="414"/>
      <c r="W75" s="1241"/>
      <c r="X75" s="1179"/>
      <c r="AC75" s="1241"/>
      <c r="AD75" s="1179"/>
      <c r="AI75" s="1241"/>
      <c r="AO75" s="1241"/>
      <c r="AU75" s="1241"/>
      <c r="BA75" s="1241"/>
      <c r="BG75" s="1241"/>
      <c r="BM75" s="1241"/>
      <c r="BS75" s="1241"/>
      <c r="BW75" s="421"/>
      <c r="BY75" s="1241"/>
    </row>
    <row r="76" spans="1:77" s="367" customFormat="1" ht="14.25">
      <c r="A76" s="414"/>
      <c r="B76" s="414"/>
      <c r="C76" s="415"/>
      <c r="E76" s="414"/>
      <c r="F76" s="418"/>
      <c r="G76" s="418"/>
      <c r="H76" s="414"/>
      <c r="I76" s="414"/>
      <c r="J76" s="418"/>
      <c r="K76" s="418"/>
      <c r="L76" s="418"/>
      <c r="M76" s="418"/>
      <c r="N76" s="414"/>
      <c r="W76" s="1241"/>
      <c r="X76" s="1179"/>
      <c r="AC76" s="1241"/>
      <c r="AD76" s="1179"/>
      <c r="AI76" s="1241"/>
      <c r="AO76" s="1241"/>
      <c r="AU76" s="1241"/>
      <c r="BA76" s="1241"/>
      <c r="BG76" s="1241"/>
      <c r="BM76" s="1241"/>
      <c r="BS76" s="1241"/>
      <c r="BW76" s="421"/>
      <c r="BY76" s="1241"/>
    </row>
    <row r="77" spans="1:77" s="367" customFormat="1" ht="14.25">
      <c r="A77" s="414"/>
      <c r="B77" s="414"/>
      <c r="C77" s="415"/>
      <c r="E77" s="414"/>
      <c r="F77" s="418"/>
      <c r="G77" s="418"/>
      <c r="H77" s="414"/>
      <c r="I77" s="414"/>
      <c r="J77" s="418"/>
      <c r="K77" s="418"/>
      <c r="L77" s="418"/>
      <c r="M77" s="418"/>
      <c r="N77" s="414"/>
      <c r="W77" s="1241"/>
      <c r="X77" s="1179"/>
      <c r="AC77" s="1241"/>
      <c r="AD77" s="1179"/>
      <c r="AI77" s="1241"/>
      <c r="AO77" s="1241"/>
      <c r="AU77" s="1241"/>
      <c r="BA77" s="1241"/>
      <c r="BG77" s="1241"/>
      <c r="BM77" s="1241"/>
      <c r="BS77" s="1241"/>
      <c r="BW77" s="421"/>
      <c r="BY77" s="1241"/>
    </row>
    <row r="78" spans="1:77" s="367" customFormat="1" ht="14.25">
      <c r="A78" s="414"/>
      <c r="B78" s="414"/>
      <c r="C78" s="415"/>
      <c r="E78" s="414"/>
      <c r="F78" s="418"/>
      <c r="G78" s="418"/>
      <c r="H78" s="414"/>
      <c r="I78" s="414"/>
      <c r="J78" s="418"/>
      <c r="K78" s="418"/>
      <c r="L78" s="418"/>
      <c r="M78" s="418"/>
      <c r="N78" s="414"/>
      <c r="W78" s="1241"/>
      <c r="X78" s="1179"/>
      <c r="AC78" s="1241"/>
      <c r="AD78" s="1179"/>
      <c r="AI78" s="1241"/>
      <c r="AO78" s="1241"/>
      <c r="AU78" s="1241"/>
      <c r="BA78" s="1241"/>
      <c r="BG78" s="1241"/>
      <c r="BM78" s="1241"/>
      <c r="BS78" s="1241"/>
      <c r="BW78" s="421"/>
      <c r="BY78" s="1241"/>
    </row>
    <row r="79" spans="1:77" s="367" customFormat="1" ht="14.25">
      <c r="A79" s="414"/>
      <c r="B79" s="414"/>
      <c r="C79" s="415"/>
      <c r="E79" s="414"/>
      <c r="F79" s="418"/>
      <c r="G79" s="418"/>
      <c r="H79" s="414"/>
      <c r="I79" s="414"/>
      <c r="J79" s="418"/>
      <c r="K79" s="418"/>
      <c r="L79" s="418"/>
      <c r="M79" s="418"/>
      <c r="N79" s="414"/>
      <c r="W79" s="1241"/>
      <c r="X79" s="1179"/>
      <c r="AC79" s="1241"/>
      <c r="AD79" s="1179"/>
      <c r="AI79" s="1241"/>
      <c r="AO79" s="1241"/>
      <c r="AU79" s="1241"/>
      <c r="BA79" s="1241"/>
      <c r="BG79" s="1241"/>
      <c r="BM79" s="1241"/>
      <c r="BS79" s="1241"/>
      <c r="BW79" s="421"/>
      <c r="BY79" s="1241"/>
    </row>
    <row r="80" spans="1:77" s="367" customFormat="1" ht="14.25">
      <c r="A80" s="414"/>
      <c r="B80" s="414"/>
      <c r="C80" s="415"/>
      <c r="E80" s="414"/>
      <c r="F80" s="418"/>
      <c r="G80" s="418"/>
      <c r="H80" s="414"/>
      <c r="I80" s="414"/>
      <c r="J80" s="418"/>
      <c r="K80" s="418"/>
      <c r="L80" s="418"/>
      <c r="M80" s="418"/>
      <c r="N80" s="414"/>
      <c r="W80" s="1241"/>
      <c r="X80" s="1179"/>
      <c r="AC80" s="1241"/>
      <c r="AD80" s="1179"/>
      <c r="AI80" s="1241"/>
      <c r="AO80" s="1241"/>
      <c r="AU80" s="1241"/>
      <c r="BA80" s="1241"/>
      <c r="BG80" s="1241"/>
      <c r="BM80" s="1241"/>
      <c r="BS80" s="1241"/>
      <c r="BW80" s="421"/>
      <c r="BY80" s="1241"/>
    </row>
    <row r="81" spans="1:77" s="367" customFormat="1" ht="14.25">
      <c r="A81" s="414"/>
      <c r="B81" s="414"/>
      <c r="C81" s="415"/>
      <c r="E81" s="414"/>
      <c r="F81" s="418"/>
      <c r="G81" s="418"/>
      <c r="H81" s="414"/>
      <c r="I81" s="414"/>
      <c r="J81" s="418"/>
      <c r="K81" s="418"/>
      <c r="L81" s="418"/>
      <c r="M81" s="418"/>
      <c r="N81" s="414"/>
      <c r="W81" s="1241"/>
      <c r="X81" s="1179"/>
      <c r="AC81" s="1241"/>
      <c r="AD81" s="1179"/>
      <c r="AI81" s="1241"/>
      <c r="AO81" s="1241"/>
      <c r="AU81" s="1241"/>
      <c r="BA81" s="1241"/>
      <c r="BG81" s="1241"/>
      <c r="BM81" s="1241"/>
      <c r="BS81" s="1241"/>
      <c r="BW81" s="421"/>
      <c r="BY81" s="1241"/>
    </row>
    <row r="82" spans="1:77" s="367" customFormat="1" ht="14.25">
      <c r="A82" s="414"/>
      <c r="B82" s="414"/>
      <c r="C82" s="415"/>
      <c r="E82" s="414"/>
      <c r="F82" s="418"/>
      <c r="G82" s="418"/>
      <c r="H82" s="414"/>
      <c r="I82" s="414"/>
      <c r="J82" s="418"/>
      <c r="K82" s="418"/>
      <c r="L82" s="418"/>
      <c r="M82" s="418"/>
      <c r="N82" s="414"/>
      <c r="W82" s="1241"/>
      <c r="X82" s="1179"/>
      <c r="AC82" s="1241"/>
      <c r="AD82" s="1179"/>
      <c r="AI82" s="1241"/>
      <c r="AO82" s="1241"/>
      <c r="AU82" s="1241"/>
      <c r="BA82" s="1241"/>
      <c r="BG82" s="1241"/>
      <c r="BM82" s="1241"/>
      <c r="BS82" s="1241"/>
      <c r="BW82" s="421"/>
      <c r="BY82" s="1241"/>
    </row>
    <row r="83" spans="1:77" s="367" customFormat="1" ht="14.25">
      <c r="A83" s="414"/>
      <c r="B83" s="414"/>
      <c r="C83" s="415"/>
      <c r="E83" s="414"/>
      <c r="F83" s="418"/>
      <c r="G83" s="418"/>
      <c r="H83" s="414"/>
      <c r="I83" s="414"/>
      <c r="J83" s="418"/>
      <c r="K83" s="418"/>
      <c r="L83" s="418"/>
      <c r="M83" s="418"/>
      <c r="N83" s="414"/>
      <c r="W83" s="1241"/>
      <c r="X83" s="1179"/>
      <c r="AC83" s="1241"/>
      <c r="AD83" s="1179"/>
      <c r="AI83" s="1241"/>
      <c r="AO83" s="1241"/>
      <c r="AU83" s="1241"/>
      <c r="BA83" s="1241"/>
      <c r="BG83" s="1241"/>
      <c r="BM83" s="1241"/>
      <c r="BS83" s="1241"/>
      <c r="BW83" s="421"/>
      <c r="BY83" s="1241"/>
    </row>
    <row r="84" spans="1:77" s="367" customFormat="1" ht="14.25">
      <c r="A84" s="414"/>
      <c r="B84" s="414"/>
      <c r="C84" s="415"/>
      <c r="E84" s="414"/>
      <c r="F84" s="418"/>
      <c r="G84" s="418"/>
      <c r="H84" s="414"/>
      <c r="I84" s="414"/>
      <c r="J84" s="418"/>
      <c r="K84" s="418"/>
      <c r="L84" s="418"/>
      <c r="M84" s="418"/>
      <c r="N84" s="414"/>
      <c r="W84" s="1241"/>
      <c r="X84" s="1179"/>
      <c r="AC84" s="1241"/>
      <c r="AD84" s="1179"/>
      <c r="AI84" s="1241"/>
      <c r="AO84" s="1241"/>
      <c r="AU84" s="1241"/>
      <c r="BA84" s="1241"/>
      <c r="BG84" s="1241"/>
      <c r="BM84" s="1241"/>
      <c r="BS84" s="1241"/>
      <c r="BW84" s="421"/>
      <c r="BY84" s="1241"/>
    </row>
    <row r="85" spans="1:77" s="367" customFormat="1" ht="14.25">
      <c r="A85" s="414"/>
      <c r="B85" s="414"/>
      <c r="C85" s="415"/>
      <c r="E85" s="414"/>
      <c r="F85" s="418"/>
      <c r="G85" s="418"/>
      <c r="H85" s="414"/>
      <c r="I85" s="414"/>
      <c r="J85" s="418"/>
      <c r="K85" s="418"/>
      <c r="L85" s="418"/>
      <c r="M85" s="418"/>
      <c r="N85" s="414"/>
      <c r="W85" s="1241"/>
      <c r="X85" s="1179"/>
      <c r="AC85" s="1241"/>
      <c r="AD85" s="1179"/>
      <c r="AI85" s="1241"/>
      <c r="AO85" s="1241"/>
      <c r="AU85" s="1241"/>
      <c r="BA85" s="1241"/>
      <c r="BG85" s="1241"/>
      <c r="BM85" s="1241"/>
      <c r="BS85" s="1241"/>
      <c r="BW85" s="421"/>
      <c r="BY85" s="1241"/>
    </row>
    <row r="86" spans="1:77" s="367" customFormat="1" ht="14.25">
      <c r="A86" s="414"/>
      <c r="B86" s="414"/>
      <c r="C86" s="415"/>
      <c r="E86" s="414"/>
      <c r="F86" s="418"/>
      <c r="G86" s="418"/>
      <c r="H86" s="414"/>
      <c r="I86" s="414"/>
      <c r="J86" s="418"/>
      <c r="K86" s="418"/>
      <c r="L86" s="418"/>
      <c r="M86" s="418"/>
      <c r="N86" s="414"/>
      <c r="W86" s="1241"/>
      <c r="X86" s="1179"/>
      <c r="AC86" s="1241"/>
      <c r="AD86" s="1179"/>
      <c r="AI86" s="1241"/>
      <c r="AO86" s="1241"/>
      <c r="AU86" s="1241"/>
      <c r="BA86" s="1241"/>
      <c r="BG86" s="1241"/>
      <c r="BM86" s="1241"/>
      <c r="BS86" s="1241"/>
      <c r="BW86" s="421"/>
      <c r="BY86" s="1241"/>
    </row>
    <row r="87" spans="1:77" s="367" customFormat="1" ht="14.25">
      <c r="A87" s="414"/>
      <c r="B87" s="414"/>
      <c r="C87" s="415"/>
      <c r="E87" s="414"/>
      <c r="F87" s="418"/>
      <c r="G87" s="418"/>
      <c r="H87" s="414"/>
      <c r="I87" s="414"/>
      <c r="J87" s="418"/>
      <c r="K87" s="418"/>
      <c r="L87" s="418"/>
      <c r="M87" s="418"/>
      <c r="N87" s="414"/>
      <c r="W87" s="1241"/>
      <c r="X87" s="1179"/>
      <c r="AC87" s="1241"/>
      <c r="AD87" s="1179"/>
      <c r="AI87" s="1241"/>
      <c r="AO87" s="1241"/>
      <c r="AU87" s="1241"/>
      <c r="BA87" s="1241"/>
      <c r="BG87" s="1241"/>
      <c r="BM87" s="1241"/>
      <c r="BS87" s="1241"/>
      <c r="BW87" s="421"/>
      <c r="BY87" s="1241"/>
    </row>
    <row r="88" spans="1:77" s="367" customFormat="1" ht="14.25">
      <c r="A88" s="414"/>
      <c r="B88" s="414"/>
      <c r="C88" s="415"/>
      <c r="E88" s="414"/>
      <c r="F88" s="418"/>
      <c r="G88" s="418"/>
      <c r="H88" s="414"/>
      <c r="I88" s="414"/>
      <c r="J88" s="418"/>
      <c r="K88" s="418"/>
      <c r="L88" s="418"/>
      <c r="M88" s="418"/>
      <c r="N88" s="414"/>
      <c r="O88" s="418"/>
      <c r="P88" s="351"/>
      <c r="Q88" s="351"/>
      <c r="R88" s="351"/>
      <c r="S88" s="414"/>
      <c r="W88" s="1241"/>
      <c r="X88" s="1179"/>
      <c r="AC88" s="1241"/>
      <c r="AD88" s="1179"/>
      <c r="AI88" s="1241"/>
      <c r="AO88" s="1241"/>
      <c r="AU88" s="1241"/>
      <c r="BA88" s="1241"/>
      <c r="BG88" s="1241"/>
      <c r="BM88" s="1241"/>
      <c r="BS88" s="1241"/>
      <c r="BY88" s="1241"/>
    </row>
    <row r="89" spans="1:77" s="367" customFormat="1" ht="14.25">
      <c r="A89" s="414"/>
      <c r="B89" s="414"/>
      <c r="C89" s="415"/>
      <c r="E89" s="414"/>
      <c r="F89" s="418"/>
      <c r="G89" s="418"/>
      <c r="H89" s="414"/>
      <c r="I89" s="414"/>
      <c r="J89" s="418"/>
      <c r="K89" s="418"/>
      <c r="L89" s="418"/>
      <c r="M89" s="418"/>
      <c r="N89" s="414"/>
      <c r="O89" s="418"/>
      <c r="P89" s="351"/>
      <c r="Q89" s="351"/>
      <c r="R89" s="351"/>
      <c r="S89" s="414"/>
      <c r="W89" s="1241"/>
      <c r="X89" s="1179"/>
      <c r="AC89" s="1241"/>
      <c r="AD89" s="1179"/>
      <c r="AI89" s="1241"/>
      <c r="AO89" s="1241"/>
      <c r="AU89" s="1241"/>
      <c r="BA89" s="1241"/>
      <c r="BG89" s="1241"/>
      <c r="BM89" s="1241"/>
      <c r="BS89" s="1241"/>
      <c r="BY89" s="1241"/>
    </row>
    <row r="90" spans="1:77" s="367" customFormat="1" ht="14.25">
      <c r="A90" s="414"/>
      <c r="B90" s="414"/>
      <c r="C90" s="415"/>
      <c r="E90" s="414"/>
      <c r="F90" s="418"/>
      <c r="G90" s="418"/>
      <c r="H90" s="414"/>
      <c r="I90" s="414"/>
      <c r="J90" s="418"/>
      <c r="K90" s="418"/>
      <c r="L90" s="418"/>
      <c r="M90" s="418"/>
      <c r="N90" s="414"/>
      <c r="O90" s="418"/>
      <c r="P90" s="351"/>
      <c r="Q90" s="351"/>
      <c r="R90" s="351"/>
      <c r="S90" s="414"/>
      <c r="W90" s="1241"/>
      <c r="X90" s="1179"/>
      <c r="AC90" s="1241"/>
      <c r="AD90" s="1179"/>
      <c r="AI90" s="1241"/>
      <c r="AO90" s="1241"/>
      <c r="AU90" s="1241"/>
      <c r="BA90" s="1241"/>
      <c r="BG90" s="1241"/>
      <c r="BM90" s="1241"/>
      <c r="BS90" s="1241"/>
      <c r="BY90" s="1241"/>
    </row>
    <row r="91" spans="1:77" s="367" customFormat="1" ht="14.25">
      <c r="A91" s="414"/>
      <c r="B91" s="414"/>
      <c r="C91" s="415"/>
      <c r="E91" s="414"/>
      <c r="F91" s="418"/>
      <c r="G91" s="418"/>
      <c r="H91" s="414"/>
      <c r="I91" s="414"/>
      <c r="J91" s="418"/>
      <c r="K91" s="418"/>
      <c r="L91" s="418"/>
      <c r="M91" s="418"/>
      <c r="N91" s="414"/>
      <c r="O91" s="418"/>
      <c r="P91" s="351"/>
      <c r="Q91" s="351"/>
      <c r="R91" s="351"/>
      <c r="S91" s="414"/>
      <c r="W91" s="1241"/>
      <c r="X91" s="1179"/>
      <c r="AC91" s="1241"/>
      <c r="AD91" s="1179"/>
      <c r="AI91" s="1241"/>
      <c r="AO91" s="1241"/>
      <c r="AU91" s="1241"/>
      <c r="BA91" s="1241"/>
      <c r="BG91" s="1241"/>
      <c r="BM91" s="1241"/>
      <c r="BS91" s="1241"/>
      <c r="BY91" s="1241"/>
    </row>
    <row r="92" spans="1:77" s="367" customFormat="1" ht="14.25">
      <c r="A92" s="414"/>
      <c r="B92" s="414"/>
      <c r="C92" s="415"/>
      <c r="E92" s="414"/>
      <c r="F92" s="418"/>
      <c r="G92" s="418"/>
      <c r="H92" s="414"/>
      <c r="I92" s="414"/>
      <c r="J92" s="418"/>
      <c r="K92" s="418"/>
      <c r="L92" s="418"/>
      <c r="M92" s="418"/>
      <c r="N92" s="414"/>
      <c r="O92" s="418"/>
      <c r="P92" s="351"/>
      <c r="Q92" s="351"/>
      <c r="R92" s="351"/>
      <c r="S92" s="414"/>
      <c r="W92" s="1241"/>
      <c r="X92" s="1179"/>
      <c r="AC92" s="1241"/>
      <c r="AD92" s="1179"/>
      <c r="AI92" s="1241"/>
      <c r="AO92" s="1241"/>
      <c r="AU92" s="1241"/>
      <c r="BA92" s="1241"/>
      <c r="BG92" s="1241"/>
      <c r="BM92" s="1241"/>
      <c r="BS92" s="1241"/>
      <c r="BY92" s="1241"/>
    </row>
    <row r="93" spans="1:77" s="367" customFormat="1" ht="14.25">
      <c r="A93" s="414"/>
      <c r="B93" s="414"/>
      <c r="C93" s="415"/>
      <c r="E93" s="414"/>
      <c r="F93" s="418"/>
      <c r="G93" s="418"/>
      <c r="H93" s="414"/>
      <c r="I93" s="414"/>
      <c r="J93" s="418"/>
      <c r="K93" s="418"/>
      <c r="L93" s="418"/>
      <c r="M93" s="418"/>
      <c r="N93" s="414"/>
      <c r="O93" s="418"/>
      <c r="P93" s="351"/>
      <c r="Q93" s="351"/>
      <c r="R93" s="351"/>
      <c r="S93" s="414"/>
      <c r="W93" s="1241"/>
      <c r="X93" s="1179"/>
      <c r="AC93" s="1241"/>
      <c r="AD93" s="1179"/>
      <c r="AI93" s="1241"/>
      <c r="AO93" s="1241"/>
      <c r="AU93" s="1241"/>
      <c r="BA93" s="1241"/>
      <c r="BG93" s="1241"/>
      <c r="BM93" s="1241"/>
      <c r="BS93" s="1241"/>
      <c r="BY93" s="1241"/>
    </row>
    <row r="94" spans="1:77" s="367" customFormat="1" ht="14.25">
      <c r="A94" s="414"/>
      <c r="B94" s="414"/>
      <c r="C94" s="415"/>
      <c r="E94" s="414"/>
      <c r="F94" s="418"/>
      <c r="G94" s="418"/>
      <c r="H94" s="414"/>
      <c r="I94" s="414"/>
      <c r="J94" s="418"/>
      <c r="K94" s="418"/>
      <c r="L94" s="418"/>
      <c r="M94" s="418"/>
      <c r="N94" s="414"/>
      <c r="O94" s="418"/>
      <c r="P94" s="351"/>
      <c r="Q94" s="351"/>
      <c r="R94" s="351"/>
      <c r="S94" s="414"/>
      <c r="W94" s="1241"/>
      <c r="X94" s="1179"/>
      <c r="AC94" s="1241"/>
      <c r="AD94" s="1179"/>
      <c r="AI94" s="1241"/>
      <c r="AO94" s="1241"/>
      <c r="AU94" s="1241"/>
      <c r="BA94" s="1241"/>
      <c r="BG94" s="1241"/>
      <c r="BM94" s="1241"/>
      <c r="BS94" s="1241"/>
      <c r="BY94" s="1241"/>
    </row>
    <row r="95" spans="1:77" s="367" customFormat="1" ht="14.25">
      <c r="A95" s="414"/>
      <c r="B95" s="414"/>
      <c r="C95" s="415"/>
      <c r="E95" s="414"/>
      <c r="F95" s="418"/>
      <c r="G95" s="418"/>
      <c r="H95" s="414"/>
      <c r="I95" s="414"/>
      <c r="J95" s="418"/>
      <c r="K95" s="418"/>
      <c r="L95" s="418"/>
      <c r="M95" s="418"/>
      <c r="N95" s="414"/>
      <c r="O95" s="418"/>
      <c r="P95" s="351"/>
      <c r="Q95" s="351"/>
      <c r="R95" s="351"/>
      <c r="S95" s="414"/>
      <c r="W95" s="1241"/>
      <c r="X95" s="1179"/>
      <c r="AC95" s="1241"/>
      <c r="AD95" s="1179"/>
      <c r="AI95" s="1241"/>
      <c r="AO95" s="1241"/>
      <c r="AU95" s="1241"/>
      <c r="BA95" s="1241"/>
      <c r="BG95" s="1241"/>
      <c r="BM95" s="1241"/>
      <c r="BS95" s="1241"/>
      <c r="BY95" s="1241"/>
    </row>
    <row r="96" spans="1:77" s="367" customFormat="1" ht="14.25">
      <c r="A96" s="414"/>
      <c r="B96" s="414"/>
      <c r="C96" s="415"/>
      <c r="E96" s="414"/>
      <c r="F96" s="418"/>
      <c r="G96" s="418"/>
      <c r="H96" s="414"/>
      <c r="I96" s="414"/>
      <c r="J96" s="418"/>
      <c r="K96" s="418"/>
      <c r="L96" s="418"/>
      <c r="M96" s="418"/>
      <c r="N96" s="414"/>
      <c r="O96" s="418"/>
      <c r="P96" s="351"/>
      <c r="Q96" s="351"/>
      <c r="R96" s="351"/>
      <c r="S96" s="414"/>
      <c r="W96" s="1241"/>
      <c r="X96" s="1179"/>
      <c r="AC96" s="1241"/>
      <c r="AD96" s="1179"/>
      <c r="AI96" s="1241"/>
      <c r="AO96" s="1241"/>
      <c r="AU96" s="1241"/>
      <c r="BA96" s="1241"/>
      <c r="BG96" s="1241"/>
      <c r="BM96" s="1241"/>
      <c r="BS96" s="1241"/>
      <c r="BY96" s="1241"/>
    </row>
    <row r="97" spans="1:77" s="367" customFormat="1" ht="14.25">
      <c r="A97" s="414"/>
      <c r="B97" s="414"/>
      <c r="C97" s="415"/>
      <c r="E97" s="414"/>
      <c r="F97" s="418"/>
      <c r="G97" s="418"/>
      <c r="H97" s="414"/>
      <c r="I97" s="414"/>
      <c r="J97" s="418"/>
      <c r="K97" s="418"/>
      <c r="L97" s="418"/>
      <c r="M97" s="418"/>
      <c r="N97" s="414"/>
      <c r="O97" s="418"/>
      <c r="P97" s="351"/>
      <c r="Q97" s="351"/>
      <c r="R97" s="351"/>
      <c r="S97" s="414"/>
      <c r="W97" s="1241"/>
      <c r="X97" s="1179"/>
      <c r="AC97" s="1241"/>
      <c r="AD97" s="1179"/>
      <c r="AI97" s="1241"/>
      <c r="AO97" s="1241"/>
      <c r="AU97" s="1241"/>
      <c r="BA97" s="1241"/>
      <c r="BG97" s="1241"/>
      <c r="BM97" s="1241"/>
      <c r="BS97" s="1241"/>
      <c r="BY97" s="1241"/>
    </row>
    <row r="98" spans="1:77" s="367" customFormat="1" ht="14.25">
      <c r="A98" s="414"/>
      <c r="B98" s="414"/>
      <c r="C98" s="415"/>
      <c r="E98" s="414"/>
      <c r="F98" s="418"/>
      <c r="G98" s="418"/>
      <c r="H98" s="414"/>
      <c r="I98" s="414"/>
      <c r="J98" s="418"/>
      <c r="K98" s="418"/>
      <c r="L98" s="418"/>
      <c r="M98" s="418"/>
      <c r="N98" s="414"/>
      <c r="O98" s="418"/>
      <c r="P98" s="351"/>
      <c r="Q98" s="351"/>
      <c r="R98" s="351"/>
      <c r="S98" s="414"/>
      <c r="W98" s="1241"/>
      <c r="X98" s="1179"/>
      <c r="AC98" s="1241"/>
      <c r="AD98" s="1179"/>
      <c r="AI98" s="1241"/>
      <c r="AO98" s="1241"/>
      <c r="AU98" s="1241"/>
      <c r="BA98" s="1241"/>
      <c r="BG98" s="1241"/>
      <c r="BM98" s="1241"/>
      <c r="BS98" s="1241"/>
      <c r="BY98" s="1241"/>
    </row>
    <row r="99" spans="1:77" s="367" customFormat="1" ht="14.25">
      <c r="A99" s="414"/>
      <c r="B99" s="414"/>
      <c r="C99" s="415"/>
      <c r="E99" s="414"/>
      <c r="F99" s="418"/>
      <c r="G99" s="418"/>
      <c r="H99" s="414"/>
      <c r="I99" s="414"/>
      <c r="J99" s="418"/>
      <c r="K99" s="418"/>
      <c r="L99" s="418"/>
      <c r="M99" s="418"/>
      <c r="N99" s="414"/>
      <c r="O99" s="418"/>
      <c r="P99" s="351"/>
      <c r="Q99" s="351"/>
      <c r="R99" s="351"/>
      <c r="S99" s="414"/>
      <c r="W99" s="1241"/>
      <c r="X99" s="1179"/>
      <c r="AC99" s="1241"/>
      <c r="AD99" s="1179"/>
      <c r="AI99" s="1241"/>
      <c r="AO99" s="1241"/>
      <c r="AU99" s="1241"/>
      <c r="BA99" s="1241"/>
      <c r="BG99" s="1241"/>
      <c r="BM99" s="1241"/>
      <c r="BS99" s="1241"/>
      <c r="BY99" s="1241"/>
    </row>
    <row r="100" spans="1:77" s="367" customFormat="1" ht="14.25">
      <c r="A100" s="414"/>
      <c r="B100" s="414"/>
      <c r="C100" s="415"/>
      <c r="E100" s="414"/>
      <c r="F100" s="418"/>
      <c r="G100" s="418"/>
      <c r="H100" s="414"/>
      <c r="I100" s="414"/>
      <c r="J100" s="418"/>
      <c r="K100" s="418"/>
      <c r="L100" s="418"/>
      <c r="M100" s="418"/>
      <c r="N100" s="414"/>
      <c r="O100" s="418"/>
      <c r="P100" s="351"/>
      <c r="Q100" s="351"/>
      <c r="R100" s="351"/>
      <c r="S100" s="414"/>
      <c r="W100" s="1241"/>
      <c r="X100" s="1179"/>
      <c r="AC100" s="1241"/>
      <c r="AD100" s="1179"/>
      <c r="AI100" s="1241"/>
      <c r="AO100" s="1241"/>
      <c r="AU100" s="1241"/>
      <c r="BA100" s="1241"/>
      <c r="BG100" s="1241"/>
      <c r="BM100" s="1241"/>
      <c r="BS100" s="1241"/>
      <c r="BY100" s="1241"/>
    </row>
    <row r="101" spans="1:77" s="367" customFormat="1" ht="14.25">
      <c r="A101" s="414"/>
      <c r="B101" s="414"/>
      <c r="C101" s="415"/>
      <c r="E101" s="414"/>
      <c r="F101" s="418"/>
      <c r="G101" s="418"/>
      <c r="H101" s="414"/>
      <c r="I101" s="414"/>
      <c r="J101" s="418"/>
      <c r="K101" s="418"/>
      <c r="L101" s="418"/>
      <c r="M101" s="418"/>
      <c r="N101" s="414"/>
      <c r="O101" s="418"/>
      <c r="P101" s="351"/>
      <c r="Q101" s="351"/>
      <c r="R101" s="351"/>
      <c r="S101" s="414"/>
      <c r="W101" s="1241"/>
      <c r="X101" s="1179"/>
      <c r="AC101" s="1241"/>
      <c r="AD101" s="1179"/>
      <c r="AI101" s="1241"/>
      <c r="AO101" s="1241"/>
      <c r="AU101" s="1241"/>
      <c r="BA101" s="1241"/>
      <c r="BG101" s="1241"/>
      <c r="BM101" s="1241"/>
      <c r="BS101" s="1241"/>
      <c r="BY101" s="1241"/>
    </row>
    <row r="102" spans="1:77" s="367" customFormat="1" ht="14.25">
      <c r="A102" s="414"/>
      <c r="B102" s="414"/>
      <c r="C102" s="415"/>
      <c r="E102" s="414"/>
      <c r="F102" s="418"/>
      <c r="G102" s="418"/>
      <c r="H102" s="414"/>
      <c r="I102" s="414"/>
      <c r="J102" s="418"/>
      <c r="K102" s="418"/>
      <c r="L102" s="418"/>
      <c r="M102" s="418"/>
      <c r="N102" s="414"/>
      <c r="O102" s="418"/>
      <c r="P102" s="351"/>
      <c r="Q102" s="351"/>
      <c r="R102" s="351"/>
      <c r="S102" s="414"/>
      <c r="W102" s="1241"/>
      <c r="X102" s="1179"/>
      <c r="AC102" s="1241"/>
      <c r="AD102" s="1179"/>
      <c r="AI102" s="1241"/>
      <c r="AO102" s="1241"/>
      <c r="AU102" s="1241"/>
      <c r="BA102" s="1241"/>
      <c r="BG102" s="1241"/>
      <c r="BM102" s="1241"/>
      <c r="BS102" s="1241"/>
      <c r="BY102" s="1241"/>
    </row>
    <row r="103" spans="1:77" s="367" customFormat="1" ht="14.25">
      <c r="A103" s="414"/>
      <c r="B103" s="414"/>
      <c r="C103" s="415"/>
      <c r="E103" s="414"/>
      <c r="F103" s="418"/>
      <c r="G103" s="418"/>
      <c r="H103" s="414"/>
      <c r="I103" s="414"/>
      <c r="J103" s="418"/>
      <c r="K103" s="418"/>
      <c r="L103" s="418"/>
      <c r="M103" s="418"/>
      <c r="N103" s="414"/>
      <c r="O103" s="418"/>
      <c r="P103" s="351"/>
      <c r="Q103" s="351"/>
      <c r="R103" s="351"/>
      <c r="S103" s="414"/>
      <c r="W103" s="1241"/>
      <c r="X103" s="1179"/>
      <c r="AC103" s="1241"/>
      <c r="AD103" s="1179"/>
      <c r="AI103" s="1241"/>
      <c r="AO103" s="1241"/>
      <c r="AU103" s="1241"/>
      <c r="BA103" s="1241"/>
      <c r="BG103" s="1241"/>
      <c r="BM103" s="1241"/>
      <c r="BS103" s="1241"/>
      <c r="BY103" s="1241"/>
    </row>
    <row r="104" spans="1:77" s="367" customFormat="1" ht="14.25">
      <c r="A104" s="414"/>
      <c r="B104" s="414"/>
      <c r="C104" s="415"/>
      <c r="E104" s="414"/>
      <c r="F104" s="418"/>
      <c r="G104" s="418"/>
      <c r="H104" s="414"/>
      <c r="I104" s="414"/>
      <c r="J104" s="418"/>
      <c r="K104" s="418"/>
      <c r="L104" s="418"/>
      <c r="M104" s="418"/>
      <c r="N104" s="414"/>
      <c r="O104" s="418"/>
      <c r="P104" s="351"/>
      <c r="Q104" s="351"/>
      <c r="R104" s="351"/>
      <c r="S104" s="414"/>
      <c r="W104" s="1241"/>
      <c r="X104" s="1179"/>
      <c r="AC104" s="1241"/>
      <c r="AD104" s="1179"/>
      <c r="AI104" s="1241"/>
      <c r="AO104" s="1241"/>
      <c r="AU104" s="1241"/>
      <c r="BA104" s="1241"/>
      <c r="BG104" s="1241"/>
      <c r="BM104" s="1241"/>
      <c r="BS104" s="1241"/>
      <c r="BY104" s="1241"/>
    </row>
    <row r="105" spans="1:77" s="367" customFormat="1" ht="14.25">
      <c r="A105" s="414"/>
      <c r="B105" s="414"/>
      <c r="C105" s="415"/>
      <c r="E105" s="414"/>
      <c r="F105" s="418"/>
      <c r="G105" s="418"/>
      <c r="H105" s="414"/>
      <c r="I105" s="414"/>
      <c r="J105" s="418"/>
      <c r="K105" s="418"/>
      <c r="L105" s="418"/>
      <c r="M105" s="418"/>
      <c r="N105" s="414"/>
      <c r="O105" s="418"/>
      <c r="P105" s="351"/>
      <c r="Q105" s="351"/>
      <c r="R105" s="351"/>
      <c r="S105" s="414"/>
      <c r="W105" s="1241"/>
      <c r="X105" s="1179"/>
      <c r="AC105" s="1241"/>
      <c r="AD105" s="1179"/>
      <c r="AI105" s="1241"/>
      <c r="AO105" s="1241"/>
      <c r="AU105" s="1241"/>
      <c r="BA105" s="1241"/>
      <c r="BG105" s="1241"/>
      <c r="BM105" s="1241"/>
      <c r="BS105" s="1241"/>
      <c r="BY105" s="1241"/>
    </row>
    <row r="106" spans="1:77" s="367" customFormat="1" ht="14.25">
      <c r="A106" s="414"/>
      <c r="B106" s="414"/>
      <c r="C106" s="415"/>
      <c r="E106" s="414"/>
      <c r="F106" s="418"/>
      <c r="G106" s="418"/>
      <c r="H106" s="414"/>
      <c r="I106" s="414"/>
      <c r="J106" s="418"/>
      <c r="K106" s="418"/>
      <c r="L106" s="418"/>
      <c r="M106" s="418"/>
      <c r="N106" s="414"/>
      <c r="O106" s="418"/>
      <c r="P106" s="351"/>
      <c r="Q106" s="351"/>
      <c r="R106" s="351"/>
      <c r="S106" s="414"/>
      <c r="W106" s="1241"/>
      <c r="X106" s="1179"/>
      <c r="AC106" s="1241"/>
      <c r="AD106" s="1179"/>
      <c r="AI106" s="1241"/>
      <c r="AO106" s="1241"/>
      <c r="AU106" s="1241"/>
      <c r="BA106" s="1241"/>
      <c r="BG106" s="1241"/>
      <c r="BM106" s="1241"/>
      <c r="BS106" s="1241"/>
      <c r="BY106" s="1241"/>
    </row>
    <row r="107" spans="1:77" s="367" customFormat="1" ht="14.25">
      <c r="A107" s="414"/>
      <c r="B107" s="414"/>
      <c r="C107" s="415"/>
      <c r="E107" s="414"/>
      <c r="F107" s="418"/>
      <c r="G107" s="418"/>
      <c r="H107" s="414"/>
      <c r="I107" s="414"/>
      <c r="J107" s="418"/>
      <c r="K107" s="418"/>
      <c r="L107" s="418"/>
      <c r="M107" s="418"/>
      <c r="N107" s="414"/>
      <c r="O107" s="418"/>
      <c r="P107" s="351"/>
      <c r="Q107" s="351"/>
      <c r="R107" s="351"/>
      <c r="S107" s="414"/>
      <c r="W107" s="1241"/>
      <c r="X107" s="1179"/>
      <c r="AC107" s="1241"/>
      <c r="AD107" s="1179"/>
      <c r="AI107" s="1241"/>
      <c r="AO107" s="1241"/>
      <c r="AU107" s="1241"/>
      <c r="BA107" s="1241"/>
      <c r="BG107" s="1241"/>
      <c r="BM107" s="1241"/>
      <c r="BS107" s="1241"/>
      <c r="BY107" s="1241"/>
    </row>
    <row r="108" spans="1:77" s="367" customFormat="1" ht="14.25">
      <c r="A108" s="414"/>
      <c r="B108" s="414"/>
      <c r="C108" s="415"/>
      <c r="E108" s="414"/>
      <c r="F108" s="418"/>
      <c r="G108" s="418"/>
      <c r="H108" s="414"/>
      <c r="I108" s="414"/>
      <c r="J108" s="418"/>
      <c r="K108" s="418"/>
      <c r="L108" s="418"/>
      <c r="M108" s="418"/>
      <c r="N108" s="414"/>
      <c r="O108" s="418"/>
      <c r="P108" s="351"/>
      <c r="Q108" s="351"/>
      <c r="R108" s="351"/>
      <c r="S108" s="414"/>
      <c r="W108" s="1241"/>
      <c r="X108" s="1179"/>
      <c r="AC108" s="1241"/>
      <c r="AD108" s="1179"/>
      <c r="AI108" s="1241"/>
      <c r="AO108" s="1241"/>
      <c r="AU108" s="1241"/>
      <c r="BA108" s="1241"/>
      <c r="BG108" s="1241"/>
      <c r="BM108" s="1241"/>
      <c r="BS108" s="1241"/>
      <c r="BY108" s="1241"/>
    </row>
    <row r="109" spans="1:77" s="367" customFormat="1" ht="14.25">
      <c r="A109" s="414"/>
      <c r="B109" s="414"/>
      <c r="C109" s="415"/>
      <c r="E109" s="414"/>
      <c r="F109" s="418"/>
      <c r="G109" s="418"/>
      <c r="H109" s="414"/>
      <c r="I109" s="414"/>
      <c r="J109" s="418"/>
      <c r="K109" s="418"/>
      <c r="L109" s="418"/>
      <c r="M109" s="418"/>
      <c r="N109" s="414"/>
      <c r="O109" s="418"/>
      <c r="P109" s="351"/>
      <c r="Q109" s="351"/>
      <c r="R109" s="351"/>
      <c r="S109" s="414"/>
      <c r="W109" s="1241"/>
      <c r="X109" s="1179"/>
      <c r="AC109" s="1241"/>
      <c r="AD109" s="1179"/>
      <c r="AI109" s="1241"/>
      <c r="AO109" s="1241"/>
      <c r="AU109" s="1241"/>
      <c r="BA109" s="1241"/>
      <c r="BG109" s="1241"/>
      <c r="BM109" s="1241"/>
      <c r="BS109" s="1241"/>
      <c r="BY109" s="1241"/>
    </row>
    <row r="110" spans="1:77" s="367" customFormat="1" ht="14.25">
      <c r="A110" s="414"/>
      <c r="B110" s="414"/>
      <c r="C110" s="415"/>
      <c r="E110" s="414"/>
      <c r="F110" s="418"/>
      <c r="G110" s="418"/>
      <c r="H110" s="414"/>
      <c r="I110" s="414"/>
      <c r="J110" s="418"/>
      <c r="K110" s="418"/>
      <c r="L110" s="418"/>
      <c r="M110" s="418"/>
      <c r="N110" s="414"/>
      <c r="O110" s="418"/>
      <c r="P110" s="351"/>
      <c r="Q110" s="351"/>
      <c r="R110" s="351"/>
      <c r="S110" s="414"/>
      <c r="W110" s="1241"/>
      <c r="X110" s="1179"/>
      <c r="AC110" s="1241"/>
      <c r="AD110" s="1179"/>
      <c r="AI110" s="1241"/>
      <c r="AO110" s="1241"/>
      <c r="AU110" s="1241"/>
      <c r="BA110" s="1241"/>
      <c r="BG110" s="1241"/>
      <c r="BM110" s="1241"/>
      <c r="BS110" s="1241"/>
      <c r="BY110" s="1241"/>
    </row>
    <row r="111" spans="1:77" s="367" customFormat="1" ht="14.25">
      <c r="A111" s="414"/>
      <c r="B111" s="414"/>
      <c r="C111" s="415"/>
      <c r="E111" s="414"/>
      <c r="F111" s="418"/>
      <c r="G111" s="418"/>
      <c r="H111" s="414"/>
      <c r="I111" s="414"/>
      <c r="J111" s="418"/>
      <c r="K111" s="418"/>
      <c r="L111" s="418"/>
      <c r="M111" s="418"/>
      <c r="N111" s="414"/>
      <c r="O111" s="418"/>
      <c r="P111" s="351"/>
      <c r="Q111" s="351"/>
      <c r="R111" s="351"/>
      <c r="S111" s="414"/>
      <c r="W111" s="1241"/>
      <c r="X111" s="1179"/>
      <c r="AC111" s="1241"/>
      <c r="AD111" s="1179"/>
      <c r="AI111" s="1241"/>
      <c r="AO111" s="1241"/>
      <c r="AU111" s="1241"/>
      <c r="BA111" s="1241"/>
      <c r="BG111" s="1241"/>
      <c r="BM111" s="1241"/>
      <c r="BS111" s="1241"/>
      <c r="BY111" s="1241"/>
    </row>
    <row r="112" spans="1:77" s="367" customFormat="1" ht="14.25">
      <c r="A112" s="414"/>
      <c r="B112" s="414"/>
      <c r="C112" s="415"/>
      <c r="E112" s="414"/>
      <c r="F112" s="418"/>
      <c r="G112" s="418"/>
      <c r="H112" s="414"/>
      <c r="I112" s="414"/>
      <c r="J112" s="418"/>
      <c r="K112" s="418"/>
      <c r="L112" s="418"/>
      <c r="M112" s="418"/>
      <c r="N112" s="414"/>
      <c r="O112" s="418"/>
      <c r="P112" s="351"/>
      <c r="Q112" s="351"/>
      <c r="R112" s="351"/>
      <c r="S112" s="414"/>
      <c r="W112" s="1241"/>
      <c r="X112" s="1179"/>
      <c r="AC112" s="1241"/>
      <c r="AD112" s="1179"/>
      <c r="AI112" s="1241"/>
      <c r="AO112" s="1241"/>
      <c r="AU112" s="1241"/>
      <c r="BA112" s="1241"/>
      <c r="BG112" s="1241"/>
      <c r="BM112" s="1241"/>
      <c r="BS112" s="1241"/>
      <c r="BY112" s="1241"/>
    </row>
    <row r="113" spans="1:77" s="367" customFormat="1" ht="14.25">
      <c r="A113" s="414"/>
      <c r="B113" s="414"/>
      <c r="C113" s="415"/>
      <c r="E113" s="414"/>
      <c r="F113" s="418"/>
      <c r="G113" s="418"/>
      <c r="H113" s="414"/>
      <c r="I113" s="414"/>
      <c r="J113" s="418"/>
      <c r="K113" s="418"/>
      <c r="L113" s="418"/>
      <c r="M113" s="418"/>
      <c r="N113" s="414"/>
      <c r="O113" s="418"/>
      <c r="P113" s="351"/>
      <c r="Q113" s="351"/>
      <c r="R113" s="351"/>
      <c r="S113" s="414"/>
      <c r="W113" s="1241"/>
      <c r="X113" s="1179"/>
      <c r="AC113" s="1241"/>
      <c r="AD113" s="1179"/>
      <c r="AI113" s="1241"/>
      <c r="AO113" s="1241"/>
      <c r="AU113" s="1241"/>
      <c r="BA113" s="1241"/>
      <c r="BG113" s="1241"/>
      <c r="BM113" s="1241"/>
      <c r="BS113" s="1241"/>
      <c r="BY113" s="1241"/>
    </row>
    <row r="114" spans="1:77" s="367" customFormat="1" ht="14.25">
      <c r="A114" s="414"/>
      <c r="B114" s="414"/>
      <c r="C114" s="415"/>
      <c r="E114" s="414"/>
      <c r="F114" s="418"/>
      <c r="G114" s="418"/>
      <c r="H114" s="414"/>
      <c r="I114" s="414"/>
      <c r="J114" s="418"/>
      <c r="K114" s="418"/>
      <c r="L114" s="418"/>
      <c r="M114" s="418"/>
      <c r="N114" s="414"/>
      <c r="O114" s="418"/>
      <c r="P114" s="351"/>
      <c r="Q114" s="351"/>
      <c r="R114" s="351"/>
      <c r="S114" s="414"/>
      <c r="W114" s="1241"/>
      <c r="X114" s="1179"/>
      <c r="AC114" s="1241"/>
      <c r="AD114" s="1179"/>
      <c r="AI114" s="1241"/>
      <c r="AO114" s="1241"/>
      <c r="AU114" s="1241"/>
      <c r="BA114" s="1241"/>
      <c r="BG114" s="1241"/>
      <c r="BM114" s="1241"/>
      <c r="BS114" s="1241"/>
      <c r="BY114" s="1241"/>
    </row>
    <row r="115" spans="1:77" s="367" customFormat="1" ht="14.25">
      <c r="A115" s="414"/>
      <c r="B115" s="414"/>
      <c r="C115" s="415"/>
      <c r="E115" s="414"/>
      <c r="F115" s="418"/>
      <c r="G115" s="418"/>
      <c r="H115" s="414"/>
      <c r="I115" s="414"/>
      <c r="J115" s="418"/>
      <c r="K115" s="418"/>
      <c r="L115" s="418"/>
      <c r="M115" s="418"/>
      <c r="N115" s="414"/>
      <c r="O115" s="418"/>
      <c r="P115" s="351"/>
      <c r="Q115" s="351"/>
      <c r="R115" s="351"/>
      <c r="S115" s="414"/>
      <c r="W115" s="1241"/>
      <c r="X115" s="1179"/>
      <c r="AC115" s="1241"/>
      <c r="AD115" s="1179"/>
      <c r="AI115" s="1241"/>
      <c r="AO115" s="1241"/>
      <c r="AU115" s="1241"/>
      <c r="BA115" s="1241"/>
      <c r="BG115" s="1241"/>
      <c r="BM115" s="1241"/>
      <c r="BS115" s="1241"/>
      <c r="BY115" s="1241"/>
    </row>
    <row r="116" spans="1:77" s="367" customFormat="1" ht="14.25">
      <c r="A116" s="414"/>
      <c r="B116" s="414"/>
      <c r="C116" s="415"/>
      <c r="E116" s="414"/>
      <c r="F116" s="418"/>
      <c r="G116" s="418"/>
      <c r="H116" s="414"/>
      <c r="I116" s="414"/>
      <c r="J116" s="418"/>
      <c r="K116" s="418"/>
      <c r="L116" s="418"/>
      <c r="M116" s="418"/>
      <c r="N116" s="414"/>
      <c r="O116" s="418"/>
      <c r="P116" s="351"/>
      <c r="Q116" s="351"/>
      <c r="R116" s="351"/>
      <c r="S116" s="414"/>
      <c r="W116" s="1241"/>
      <c r="X116" s="1179"/>
      <c r="AC116" s="1241"/>
      <c r="AD116" s="1179"/>
      <c r="AI116" s="1241"/>
      <c r="AO116" s="1241"/>
      <c r="AU116" s="1241"/>
      <c r="BA116" s="1241"/>
      <c r="BG116" s="1241"/>
      <c r="BM116" s="1241"/>
      <c r="BS116" s="1241"/>
      <c r="BY116" s="1241"/>
    </row>
    <row r="117" spans="1:77" s="367" customFormat="1" ht="14.25">
      <c r="A117" s="414"/>
      <c r="B117" s="414"/>
      <c r="C117" s="415"/>
      <c r="E117" s="414"/>
      <c r="F117" s="418"/>
      <c r="G117" s="418"/>
      <c r="H117" s="414"/>
      <c r="I117" s="414"/>
      <c r="J117" s="418"/>
      <c r="K117" s="418"/>
      <c r="L117" s="418"/>
      <c r="M117" s="418"/>
      <c r="N117" s="414"/>
      <c r="O117" s="418"/>
      <c r="P117" s="351"/>
      <c r="Q117" s="351"/>
      <c r="R117" s="351"/>
      <c r="S117" s="414"/>
      <c r="W117" s="1241"/>
      <c r="X117" s="1179"/>
      <c r="AC117" s="1241"/>
      <c r="AD117" s="1179"/>
      <c r="AI117" s="1241"/>
      <c r="AO117" s="1241"/>
      <c r="AU117" s="1241"/>
      <c r="BA117" s="1241"/>
      <c r="BG117" s="1241"/>
      <c r="BM117" s="1241"/>
      <c r="BS117" s="1241"/>
      <c r="BY117" s="1241"/>
    </row>
    <row r="118" spans="1:77" s="367" customFormat="1" ht="14.25">
      <c r="A118" s="414"/>
      <c r="B118" s="414"/>
      <c r="C118" s="415"/>
      <c r="E118" s="414"/>
      <c r="F118" s="418"/>
      <c r="G118" s="418"/>
      <c r="H118" s="414"/>
      <c r="I118" s="414"/>
      <c r="J118" s="418"/>
      <c r="K118" s="418"/>
      <c r="L118" s="418"/>
      <c r="M118" s="418"/>
      <c r="N118" s="414"/>
      <c r="O118" s="418"/>
      <c r="P118" s="351"/>
      <c r="Q118" s="351"/>
      <c r="R118" s="351"/>
      <c r="S118" s="414"/>
      <c r="W118" s="1241"/>
      <c r="X118" s="1179"/>
      <c r="AC118" s="1241"/>
      <c r="AD118" s="1179"/>
      <c r="AI118" s="1241"/>
      <c r="AO118" s="1241"/>
      <c r="AU118" s="1241"/>
      <c r="BA118" s="1241"/>
      <c r="BG118" s="1241"/>
      <c r="BM118" s="1241"/>
      <c r="BS118" s="1241"/>
      <c r="BY118" s="1241"/>
    </row>
    <row r="119" spans="1:77" s="367" customFormat="1" ht="14.25">
      <c r="A119" s="414"/>
      <c r="B119" s="414"/>
      <c r="C119" s="415"/>
      <c r="E119" s="414"/>
      <c r="F119" s="418"/>
      <c r="G119" s="418"/>
      <c r="H119" s="414"/>
      <c r="I119" s="414"/>
      <c r="J119" s="418"/>
      <c r="K119" s="418"/>
      <c r="L119" s="418"/>
      <c r="M119" s="418"/>
      <c r="N119" s="414"/>
      <c r="O119" s="418"/>
      <c r="P119" s="351"/>
      <c r="Q119" s="351"/>
      <c r="R119" s="351"/>
      <c r="S119" s="414"/>
      <c r="W119" s="1241"/>
      <c r="X119" s="1179"/>
      <c r="AC119" s="1241"/>
      <c r="AD119" s="1179"/>
      <c r="AI119" s="1241"/>
      <c r="AO119" s="1241"/>
      <c r="AU119" s="1241"/>
      <c r="BA119" s="1241"/>
      <c r="BG119" s="1241"/>
      <c r="BM119" s="1241"/>
      <c r="BS119" s="1241"/>
      <c r="BY119" s="1241"/>
    </row>
    <row r="120" spans="1:77" s="367" customFormat="1" ht="14.25">
      <c r="A120" s="414"/>
      <c r="B120" s="414"/>
      <c r="C120" s="415"/>
      <c r="E120" s="414"/>
      <c r="F120" s="418"/>
      <c r="G120" s="418"/>
      <c r="H120" s="414"/>
      <c r="I120" s="414"/>
      <c r="J120" s="418"/>
      <c r="K120" s="418"/>
      <c r="L120" s="418"/>
      <c r="M120" s="418"/>
      <c r="N120" s="414"/>
      <c r="O120" s="418"/>
      <c r="P120" s="351"/>
      <c r="Q120" s="351"/>
      <c r="R120" s="351"/>
      <c r="S120" s="414"/>
      <c r="W120" s="1241"/>
      <c r="X120" s="1179"/>
      <c r="AC120" s="1241"/>
      <c r="AD120" s="1179"/>
      <c r="AI120" s="1241"/>
      <c r="AO120" s="1241"/>
      <c r="AU120" s="1241"/>
      <c r="BA120" s="1241"/>
      <c r="BG120" s="1241"/>
      <c r="BM120" s="1241"/>
      <c r="BS120" s="1241"/>
      <c r="BY120" s="1241"/>
    </row>
    <row r="121" spans="1:77" s="367" customFormat="1" ht="14.25">
      <c r="A121" s="414"/>
      <c r="B121" s="414"/>
      <c r="C121" s="415"/>
      <c r="E121" s="414"/>
      <c r="F121" s="418"/>
      <c r="G121" s="418"/>
      <c r="H121" s="414"/>
      <c r="I121" s="414"/>
      <c r="J121" s="418"/>
      <c r="K121" s="418"/>
      <c r="L121" s="418"/>
      <c r="M121" s="418"/>
      <c r="N121" s="414"/>
      <c r="O121" s="418"/>
      <c r="P121" s="351"/>
      <c r="Q121" s="351"/>
      <c r="R121" s="351"/>
      <c r="S121" s="414"/>
      <c r="W121" s="1241"/>
      <c r="X121" s="1179"/>
      <c r="AC121" s="1241"/>
      <c r="AD121" s="1179"/>
      <c r="AI121" s="1241"/>
      <c r="AO121" s="1241"/>
      <c r="AU121" s="1241"/>
      <c r="BA121" s="1241"/>
      <c r="BG121" s="1241"/>
      <c r="BM121" s="1241"/>
      <c r="BS121" s="1241"/>
      <c r="BY121" s="1241"/>
    </row>
    <row r="122" spans="1:77" s="367" customFormat="1" ht="14.25">
      <c r="A122" s="414"/>
      <c r="B122" s="414"/>
      <c r="C122" s="415"/>
      <c r="E122" s="414"/>
      <c r="F122" s="418"/>
      <c r="G122" s="418"/>
      <c r="H122" s="414"/>
      <c r="I122" s="414"/>
      <c r="J122" s="418"/>
      <c r="K122" s="418"/>
      <c r="L122" s="418"/>
      <c r="M122" s="418"/>
      <c r="N122" s="414"/>
      <c r="O122" s="418"/>
      <c r="P122" s="351"/>
      <c r="Q122" s="351"/>
      <c r="R122" s="351"/>
      <c r="S122" s="414"/>
      <c r="W122" s="1241"/>
      <c r="X122" s="1179"/>
      <c r="AC122" s="1241"/>
      <c r="AD122" s="1179"/>
      <c r="AI122" s="1241"/>
      <c r="AO122" s="1241"/>
      <c r="AU122" s="1241"/>
      <c r="BA122" s="1241"/>
      <c r="BG122" s="1241"/>
      <c r="BM122" s="1241"/>
      <c r="BS122" s="1241"/>
      <c r="BY122" s="1241"/>
    </row>
    <row r="123" spans="1:77" s="367" customFormat="1" ht="14.25">
      <c r="A123" s="414"/>
      <c r="B123" s="414"/>
      <c r="C123" s="415"/>
      <c r="E123" s="414"/>
      <c r="F123" s="418"/>
      <c r="G123" s="418"/>
      <c r="H123" s="414"/>
      <c r="I123" s="414"/>
      <c r="J123" s="418"/>
      <c r="K123" s="418"/>
      <c r="L123" s="418"/>
      <c r="M123" s="418"/>
      <c r="N123" s="414"/>
      <c r="O123" s="418"/>
      <c r="P123" s="351"/>
      <c r="Q123" s="351"/>
      <c r="R123" s="351"/>
      <c r="S123" s="414"/>
      <c r="W123" s="1241"/>
      <c r="X123" s="1179"/>
      <c r="AC123" s="1241"/>
      <c r="AD123" s="1179"/>
      <c r="AI123" s="1241"/>
      <c r="AO123" s="1241"/>
      <c r="AU123" s="1241"/>
      <c r="BA123" s="1241"/>
      <c r="BG123" s="1241"/>
      <c r="BM123" s="1241"/>
      <c r="BS123" s="1241"/>
      <c r="BY123" s="1241"/>
    </row>
    <row r="124" spans="1:77" s="367" customFormat="1" ht="14.25">
      <c r="A124" s="414"/>
      <c r="B124" s="414"/>
      <c r="C124" s="415"/>
      <c r="E124" s="414"/>
      <c r="F124" s="418"/>
      <c r="G124" s="418"/>
      <c r="H124" s="414"/>
      <c r="I124" s="414"/>
      <c r="J124" s="418"/>
      <c r="K124" s="418"/>
      <c r="L124" s="418"/>
      <c r="M124" s="418"/>
      <c r="N124" s="414"/>
      <c r="O124" s="418"/>
      <c r="P124" s="351"/>
      <c r="Q124" s="351"/>
      <c r="R124" s="351"/>
      <c r="S124" s="414"/>
      <c r="W124" s="1241"/>
      <c r="X124" s="1179"/>
      <c r="AC124" s="1241"/>
      <c r="AD124" s="1179"/>
      <c r="AI124" s="1241"/>
      <c r="AO124" s="1241"/>
      <c r="AU124" s="1241"/>
      <c r="BA124" s="1241"/>
      <c r="BG124" s="1241"/>
      <c r="BM124" s="1241"/>
      <c r="BS124" s="1241"/>
      <c r="BY124" s="1241"/>
    </row>
    <row r="125" spans="1:77" s="367" customFormat="1" ht="14.25">
      <c r="A125" s="414"/>
      <c r="B125" s="414"/>
      <c r="C125" s="415"/>
      <c r="E125" s="414"/>
      <c r="F125" s="418"/>
      <c r="G125" s="418"/>
      <c r="H125" s="414"/>
      <c r="I125" s="414"/>
      <c r="J125" s="418"/>
      <c r="K125" s="418"/>
      <c r="L125" s="418"/>
      <c r="M125" s="418"/>
      <c r="N125" s="414"/>
      <c r="O125" s="418"/>
      <c r="P125" s="351"/>
      <c r="Q125" s="351"/>
      <c r="R125" s="351"/>
      <c r="S125" s="414"/>
      <c r="W125" s="1241"/>
      <c r="X125" s="1179"/>
      <c r="AC125" s="1241"/>
      <c r="AD125" s="1179"/>
      <c r="AI125" s="1241"/>
      <c r="AO125" s="1241"/>
      <c r="AU125" s="1241"/>
      <c r="BA125" s="1241"/>
      <c r="BG125" s="1241"/>
      <c r="BM125" s="1241"/>
      <c r="BS125" s="1241"/>
      <c r="BY125" s="1241"/>
    </row>
    <row r="126" spans="1:77" s="367" customFormat="1" ht="14.25">
      <c r="A126" s="414"/>
      <c r="B126" s="414"/>
      <c r="C126" s="415"/>
      <c r="E126" s="414"/>
      <c r="F126" s="418"/>
      <c r="G126" s="418"/>
      <c r="H126" s="414"/>
      <c r="I126" s="414"/>
      <c r="J126" s="418"/>
      <c r="K126" s="418"/>
      <c r="L126" s="418"/>
      <c r="M126" s="418"/>
      <c r="N126" s="414"/>
      <c r="O126" s="418"/>
      <c r="P126" s="351"/>
      <c r="Q126" s="351"/>
      <c r="R126" s="351"/>
      <c r="S126" s="414"/>
      <c r="W126" s="1241"/>
      <c r="X126" s="1179"/>
      <c r="AC126" s="1241"/>
      <c r="AD126" s="1179"/>
      <c r="AI126" s="1241"/>
      <c r="AO126" s="1241"/>
      <c r="AU126" s="1241"/>
      <c r="BA126" s="1241"/>
      <c r="BG126" s="1241"/>
      <c r="BM126" s="1241"/>
      <c r="BS126" s="1241"/>
      <c r="BY126" s="1241"/>
    </row>
    <row r="127" spans="1:77" s="367" customFormat="1" ht="14.25">
      <c r="A127" s="414"/>
      <c r="B127" s="414"/>
      <c r="C127" s="415"/>
      <c r="E127" s="414"/>
      <c r="F127" s="418"/>
      <c r="G127" s="418"/>
      <c r="H127" s="414"/>
      <c r="I127" s="414"/>
      <c r="J127" s="418"/>
      <c r="K127" s="418"/>
      <c r="L127" s="418"/>
      <c r="M127" s="418"/>
      <c r="N127" s="414"/>
      <c r="O127" s="418"/>
      <c r="P127" s="351"/>
      <c r="Q127" s="351"/>
      <c r="R127" s="351"/>
      <c r="S127" s="414"/>
      <c r="W127" s="1241"/>
      <c r="X127" s="1179"/>
      <c r="AC127" s="1241"/>
      <c r="AD127" s="1179"/>
      <c r="AI127" s="1241"/>
      <c r="AO127" s="1241"/>
      <c r="AU127" s="1241"/>
      <c r="BA127" s="1241"/>
      <c r="BG127" s="1241"/>
      <c r="BM127" s="1241"/>
      <c r="BS127" s="1241"/>
      <c r="BY127" s="1241"/>
    </row>
    <row r="128" spans="1:77" s="367" customFormat="1" ht="14.25">
      <c r="A128" s="414"/>
      <c r="B128" s="414"/>
      <c r="C128" s="415"/>
      <c r="E128" s="414"/>
      <c r="F128" s="418"/>
      <c r="G128" s="418"/>
      <c r="H128" s="414"/>
      <c r="I128" s="414"/>
      <c r="J128" s="418"/>
      <c r="K128" s="418"/>
      <c r="L128" s="418"/>
      <c r="M128" s="418"/>
      <c r="N128" s="414"/>
      <c r="O128" s="418"/>
      <c r="P128" s="351"/>
      <c r="Q128" s="351"/>
      <c r="R128" s="351"/>
      <c r="S128" s="414"/>
      <c r="W128" s="1241"/>
      <c r="X128" s="1179"/>
      <c r="AC128" s="1241"/>
      <c r="AD128" s="1179"/>
      <c r="AI128" s="1241"/>
      <c r="AO128" s="1241"/>
      <c r="AU128" s="1241"/>
      <c r="BA128" s="1241"/>
      <c r="BG128" s="1241"/>
      <c r="BM128" s="1241"/>
      <c r="BS128" s="1241"/>
      <c r="BY128" s="1241"/>
    </row>
    <row r="129" spans="1:77" s="367" customFormat="1" ht="14.25">
      <c r="A129" s="414"/>
      <c r="B129" s="414"/>
      <c r="C129" s="415"/>
      <c r="E129" s="414"/>
      <c r="F129" s="418"/>
      <c r="G129" s="418"/>
      <c r="H129" s="414"/>
      <c r="I129" s="414"/>
      <c r="J129" s="418"/>
      <c r="K129" s="418"/>
      <c r="L129" s="418"/>
      <c r="M129" s="418"/>
      <c r="N129" s="414"/>
      <c r="O129" s="418"/>
      <c r="P129" s="351"/>
      <c r="Q129" s="351"/>
      <c r="R129" s="351"/>
      <c r="S129" s="414"/>
      <c r="W129" s="1241"/>
      <c r="X129" s="1179"/>
      <c r="AC129" s="1241"/>
      <c r="AD129" s="1179"/>
      <c r="AI129" s="1241"/>
      <c r="AO129" s="1241"/>
      <c r="AU129" s="1241"/>
      <c r="BA129" s="1241"/>
      <c r="BG129" s="1241"/>
      <c r="BM129" s="1241"/>
      <c r="BS129" s="1241"/>
      <c r="BY129" s="1241"/>
    </row>
    <row r="130" spans="1:77" s="367" customFormat="1" ht="14.25">
      <c r="A130" s="414"/>
      <c r="B130" s="414"/>
      <c r="C130" s="415"/>
      <c r="E130" s="414"/>
      <c r="F130" s="418"/>
      <c r="G130" s="418"/>
      <c r="H130" s="414"/>
      <c r="I130" s="414"/>
      <c r="J130" s="418"/>
      <c r="K130" s="418"/>
      <c r="L130" s="418"/>
      <c r="M130" s="418"/>
      <c r="N130" s="414"/>
      <c r="O130" s="418"/>
      <c r="P130" s="351"/>
      <c r="Q130" s="351"/>
      <c r="R130" s="351"/>
      <c r="S130" s="414"/>
      <c r="W130" s="1241"/>
      <c r="X130" s="1179"/>
      <c r="AC130" s="1241"/>
      <c r="AD130" s="1179"/>
      <c r="AI130" s="1241"/>
      <c r="AO130" s="1241"/>
      <c r="AU130" s="1241"/>
      <c r="BA130" s="1241"/>
      <c r="BG130" s="1241"/>
      <c r="BM130" s="1241"/>
      <c r="BS130" s="1241"/>
      <c r="BY130" s="1241"/>
    </row>
    <row r="131" spans="1:77" s="367" customFormat="1" ht="14.25">
      <c r="A131" s="414"/>
      <c r="B131" s="414"/>
      <c r="C131" s="415"/>
      <c r="E131" s="414"/>
      <c r="F131" s="418"/>
      <c r="G131" s="418"/>
      <c r="H131" s="414"/>
      <c r="I131" s="414"/>
      <c r="J131" s="418"/>
      <c r="K131" s="418"/>
      <c r="L131" s="418"/>
      <c r="M131" s="418"/>
      <c r="N131" s="414"/>
      <c r="O131" s="418"/>
      <c r="P131" s="351"/>
      <c r="Q131" s="351"/>
      <c r="R131" s="351"/>
      <c r="S131" s="414"/>
      <c r="W131" s="1241"/>
      <c r="X131" s="1179"/>
      <c r="AC131" s="1241"/>
      <c r="AD131" s="1179"/>
      <c r="AI131" s="1241"/>
      <c r="AO131" s="1241"/>
      <c r="AU131" s="1241"/>
      <c r="BA131" s="1241"/>
      <c r="BG131" s="1241"/>
      <c r="BM131" s="1241"/>
      <c r="BS131" s="1241"/>
      <c r="BY131" s="1241"/>
    </row>
    <row r="132" spans="1:77" s="367" customFormat="1" ht="14.25">
      <c r="A132" s="414"/>
      <c r="B132" s="414"/>
      <c r="C132" s="415"/>
      <c r="E132" s="414"/>
      <c r="F132" s="418"/>
      <c r="G132" s="418"/>
      <c r="H132" s="414"/>
      <c r="I132" s="414"/>
      <c r="J132" s="418"/>
      <c r="K132" s="418"/>
      <c r="L132" s="418"/>
      <c r="M132" s="418"/>
      <c r="N132" s="414"/>
      <c r="O132" s="418"/>
      <c r="P132" s="351"/>
      <c r="Q132" s="351"/>
      <c r="R132" s="351"/>
      <c r="S132" s="414"/>
      <c r="W132" s="1241"/>
      <c r="X132" s="1179"/>
      <c r="AC132" s="1241"/>
      <c r="AD132" s="1179"/>
      <c r="AI132" s="1241"/>
      <c r="AO132" s="1241"/>
      <c r="AU132" s="1241"/>
      <c r="BA132" s="1241"/>
      <c r="BG132" s="1241"/>
      <c r="BM132" s="1241"/>
      <c r="BS132" s="1241"/>
      <c r="BY132" s="1241"/>
    </row>
    <row r="133" spans="1:77" s="367" customFormat="1" ht="14.25">
      <c r="A133" s="414"/>
      <c r="B133" s="414"/>
      <c r="C133" s="415"/>
      <c r="E133" s="414"/>
      <c r="F133" s="418"/>
      <c r="G133" s="418"/>
      <c r="H133" s="414"/>
      <c r="I133" s="414"/>
      <c r="J133" s="418"/>
      <c r="K133" s="418"/>
      <c r="L133" s="418"/>
      <c r="M133" s="418"/>
      <c r="N133" s="414"/>
      <c r="O133" s="418"/>
      <c r="P133" s="351"/>
      <c r="Q133" s="351"/>
      <c r="R133" s="351"/>
      <c r="S133" s="414"/>
      <c r="W133" s="1241"/>
      <c r="X133" s="1179"/>
      <c r="AC133" s="1241"/>
      <c r="AD133" s="1179"/>
      <c r="AI133" s="1241"/>
      <c r="AO133" s="1241"/>
      <c r="AU133" s="1241"/>
      <c r="BA133" s="1241"/>
      <c r="BG133" s="1241"/>
      <c r="BM133" s="1241"/>
      <c r="BS133" s="1241"/>
      <c r="BY133" s="1241"/>
    </row>
    <row r="134" spans="1:77" s="367" customFormat="1" ht="14.25">
      <c r="A134" s="414"/>
      <c r="B134" s="414"/>
      <c r="C134" s="415"/>
      <c r="E134" s="414"/>
      <c r="F134" s="418"/>
      <c r="G134" s="418"/>
      <c r="H134" s="414"/>
      <c r="I134" s="414"/>
      <c r="J134" s="418"/>
      <c r="K134" s="418"/>
      <c r="L134" s="418"/>
      <c r="M134" s="418"/>
      <c r="N134" s="414"/>
      <c r="O134" s="418"/>
      <c r="P134" s="351"/>
      <c r="Q134" s="351"/>
      <c r="R134" s="351"/>
      <c r="S134" s="414"/>
      <c r="W134" s="1241"/>
      <c r="X134" s="1179"/>
      <c r="AC134" s="1241"/>
      <c r="AD134" s="1179"/>
      <c r="AI134" s="1241"/>
      <c r="AO134" s="1241"/>
      <c r="AU134" s="1241"/>
      <c r="BA134" s="1241"/>
      <c r="BG134" s="1241"/>
      <c r="BM134" s="1241"/>
      <c r="BS134" s="1241"/>
      <c r="BY134" s="1241"/>
    </row>
    <row r="135" spans="1:77" s="367" customFormat="1" ht="14.25">
      <c r="A135" s="414"/>
      <c r="B135" s="414"/>
      <c r="C135" s="415"/>
      <c r="E135" s="414"/>
      <c r="F135" s="418"/>
      <c r="G135" s="418"/>
      <c r="H135" s="414"/>
      <c r="I135" s="414"/>
      <c r="J135" s="418"/>
      <c r="K135" s="418"/>
      <c r="L135" s="418"/>
      <c r="M135" s="418"/>
      <c r="N135" s="414"/>
      <c r="O135" s="418"/>
      <c r="P135" s="351"/>
      <c r="Q135" s="351"/>
      <c r="R135" s="351"/>
      <c r="S135" s="414"/>
      <c r="W135" s="1241"/>
      <c r="X135" s="1179"/>
      <c r="AC135" s="1241"/>
      <c r="AD135" s="1179"/>
      <c r="AI135" s="1241"/>
      <c r="AO135" s="1241"/>
      <c r="AU135" s="1241"/>
      <c r="BA135" s="1241"/>
      <c r="BG135" s="1241"/>
      <c r="BM135" s="1241"/>
      <c r="BS135" s="1241"/>
      <c r="BY135" s="1241"/>
    </row>
    <row r="136" spans="1:77" s="367" customFormat="1" ht="14.25">
      <c r="A136" s="414"/>
      <c r="B136" s="414"/>
      <c r="C136" s="415"/>
      <c r="E136" s="414"/>
      <c r="F136" s="418"/>
      <c r="G136" s="418"/>
      <c r="H136" s="414"/>
      <c r="I136" s="414"/>
      <c r="J136" s="418"/>
      <c r="K136" s="418"/>
      <c r="L136" s="418"/>
      <c r="M136" s="418"/>
      <c r="N136" s="414"/>
      <c r="O136" s="418"/>
      <c r="P136" s="351"/>
      <c r="Q136" s="351"/>
      <c r="R136" s="351"/>
      <c r="S136" s="414"/>
      <c r="W136" s="1241"/>
      <c r="X136" s="1179"/>
      <c r="AC136" s="1241"/>
      <c r="AD136" s="1179"/>
      <c r="AI136" s="1241"/>
      <c r="AO136" s="1241"/>
      <c r="AU136" s="1241"/>
      <c r="BA136" s="1241"/>
      <c r="BG136" s="1241"/>
      <c r="BM136" s="1241"/>
      <c r="BS136" s="1241"/>
      <c r="BY136" s="1241"/>
    </row>
    <row r="137" spans="1:77" s="367" customFormat="1" ht="14.25">
      <c r="A137" s="414"/>
      <c r="B137" s="414"/>
      <c r="C137" s="415"/>
      <c r="E137" s="414"/>
      <c r="F137" s="418"/>
      <c r="G137" s="418"/>
      <c r="H137" s="414"/>
      <c r="I137" s="414"/>
      <c r="J137" s="418"/>
      <c r="K137" s="418"/>
      <c r="L137" s="418"/>
      <c r="M137" s="418"/>
      <c r="N137" s="414"/>
      <c r="O137" s="418"/>
      <c r="P137" s="351"/>
      <c r="Q137" s="351"/>
      <c r="R137" s="351"/>
      <c r="S137" s="414"/>
      <c r="W137" s="1241"/>
      <c r="X137" s="1179"/>
      <c r="AC137" s="1241"/>
      <c r="AD137" s="1179"/>
      <c r="AI137" s="1241"/>
      <c r="AO137" s="1241"/>
      <c r="AU137" s="1241"/>
      <c r="BA137" s="1241"/>
      <c r="BG137" s="1241"/>
      <c r="BM137" s="1241"/>
      <c r="BS137" s="1241"/>
      <c r="BY137" s="1241"/>
    </row>
    <row r="138" spans="1:77" s="367" customFormat="1" ht="14.25">
      <c r="A138" s="414"/>
      <c r="B138" s="414"/>
      <c r="C138" s="415"/>
      <c r="E138" s="414"/>
      <c r="F138" s="418"/>
      <c r="G138" s="418"/>
      <c r="H138" s="414"/>
      <c r="I138" s="414"/>
      <c r="J138" s="418"/>
      <c r="K138" s="418"/>
      <c r="L138" s="418"/>
      <c r="M138" s="418"/>
      <c r="N138" s="414"/>
      <c r="O138" s="418"/>
      <c r="P138" s="351"/>
      <c r="Q138" s="351"/>
      <c r="R138" s="351"/>
      <c r="S138" s="414"/>
      <c r="W138" s="1241"/>
      <c r="X138" s="1179"/>
      <c r="AC138" s="1241"/>
      <c r="AD138" s="1179"/>
      <c r="AI138" s="1241"/>
      <c r="AO138" s="1241"/>
      <c r="AU138" s="1241"/>
      <c r="BA138" s="1241"/>
      <c r="BG138" s="1241"/>
      <c r="BM138" s="1241"/>
      <c r="BS138" s="1241"/>
      <c r="BY138" s="1241"/>
    </row>
    <row r="139" spans="1:77" s="367" customFormat="1" ht="14.25">
      <c r="A139" s="414"/>
      <c r="B139" s="414"/>
      <c r="C139" s="415"/>
      <c r="E139" s="414"/>
      <c r="F139" s="418"/>
      <c r="G139" s="418"/>
      <c r="H139" s="414"/>
      <c r="I139" s="414"/>
      <c r="J139" s="418"/>
      <c r="K139" s="418"/>
      <c r="L139" s="418"/>
      <c r="M139" s="418"/>
      <c r="N139" s="414"/>
      <c r="O139" s="418"/>
      <c r="P139" s="351"/>
      <c r="Q139" s="351"/>
      <c r="R139" s="351"/>
      <c r="S139" s="414"/>
      <c r="W139" s="1241"/>
      <c r="X139" s="1179"/>
      <c r="AC139" s="1241"/>
      <c r="AD139" s="1179"/>
      <c r="AI139" s="1241"/>
      <c r="AO139" s="1241"/>
      <c r="AU139" s="1241"/>
      <c r="BA139" s="1241"/>
      <c r="BG139" s="1241"/>
      <c r="BM139" s="1241"/>
      <c r="BS139" s="1241"/>
      <c r="BY139" s="1241"/>
    </row>
    <row r="140" spans="1:77" s="367" customFormat="1" ht="14.25">
      <c r="A140" s="414"/>
      <c r="B140" s="414"/>
      <c r="C140" s="415"/>
      <c r="E140" s="414"/>
      <c r="F140" s="418"/>
      <c r="G140" s="418"/>
      <c r="H140" s="414"/>
      <c r="I140" s="414"/>
      <c r="J140" s="418"/>
      <c r="K140" s="418"/>
      <c r="L140" s="418"/>
      <c r="M140" s="418"/>
      <c r="N140" s="414"/>
      <c r="O140" s="418"/>
      <c r="P140" s="351"/>
      <c r="Q140" s="351"/>
      <c r="R140" s="351"/>
      <c r="S140" s="414"/>
      <c r="W140" s="1241"/>
      <c r="X140" s="1179"/>
      <c r="AC140" s="1241"/>
      <c r="AD140" s="1179"/>
      <c r="AI140" s="1241"/>
      <c r="AO140" s="1241"/>
      <c r="AU140" s="1241"/>
      <c r="BA140" s="1241"/>
      <c r="BG140" s="1241"/>
      <c r="BM140" s="1241"/>
      <c r="BS140" s="1241"/>
      <c r="BY140" s="1241"/>
    </row>
    <row r="141" spans="1:77" s="367" customFormat="1" ht="14.25">
      <c r="A141" s="414"/>
      <c r="B141" s="414"/>
      <c r="C141" s="415"/>
      <c r="E141" s="414"/>
      <c r="F141" s="418"/>
      <c r="G141" s="418"/>
      <c r="H141" s="414"/>
      <c r="I141" s="414"/>
      <c r="J141" s="418"/>
      <c r="K141" s="418"/>
      <c r="L141" s="418"/>
      <c r="M141" s="418"/>
      <c r="N141" s="414"/>
      <c r="O141" s="418"/>
      <c r="P141" s="351"/>
      <c r="Q141" s="351"/>
      <c r="R141" s="351"/>
      <c r="S141" s="414"/>
      <c r="W141" s="1241"/>
      <c r="X141" s="1179"/>
      <c r="AC141" s="1241"/>
      <c r="AD141" s="1179"/>
      <c r="AI141" s="1241"/>
      <c r="AO141" s="1241"/>
      <c r="AU141" s="1241"/>
      <c r="BA141" s="1241"/>
      <c r="BG141" s="1241"/>
      <c r="BM141" s="1241"/>
      <c r="BS141" s="1241"/>
      <c r="BY141" s="1241"/>
    </row>
    <row r="142" spans="1:77" s="367" customFormat="1" ht="14.25">
      <c r="A142" s="414"/>
      <c r="B142" s="414"/>
      <c r="C142" s="415"/>
      <c r="E142" s="414"/>
      <c r="F142" s="418"/>
      <c r="G142" s="418"/>
      <c r="H142" s="414"/>
      <c r="I142" s="414"/>
      <c r="J142" s="418"/>
      <c r="K142" s="418"/>
      <c r="L142" s="418"/>
      <c r="M142" s="418"/>
      <c r="N142" s="414"/>
      <c r="O142" s="418"/>
      <c r="P142" s="351"/>
      <c r="Q142" s="351"/>
      <c r="R142" s="351"/>
      <c r="S142" s="414"/>
      <c r="W142" s="1241"/>
      <c r="X142" s="1179"/>
      <c r="AC142" s="1241"/>
      <c r="AD142" s="1179"/>
      <c r="AI142" s="1241"/>
      <c r="AO142" s="1241"/>
      <c r="AU142" s="1241"/>
      <c r="BA142" s="1241"/>
      <c r="BG142" s="1241"/>
      <c r="BM142" s="1241"/>
      <c r="BS142" s="1241"/>
      <c r="BY142" s="1241"/>
    </row>
    <row r="143" spans="1:77" s="367" customFormat="1" ht="14.25">
      <c r="A143" s="414"/>
      <c r="B143" s="414"/>
      <c r="C143" s="415"/>
      <c r="E143" s="414"/>
      <c r="F143" s="418"/>
      <c r="G143" s="418"/>
      <c r="H143" s="414"/>
      <c r="I143" s="414"/>
      <c r="J143" s="418"/>
      <c r="K143" s="418"/>
      <c r="L143" s="418"/>
      <c r="M143" s="418"/>
      <c r="N143" s="414"/>
      <c r="O143" s="418"/>
      <c r="P143" s="351"/>
      <c r="Q143" s="351"/>
      <c r="R143" s="351"/>
      <c r="S143" s="414"/>
      <c r="W143" s="1241"/>
      <c r="X143" s="1179"/>
      <c r="AC143" s="1241"/>
      <c r="AD143" s="1179"/>
      <c r="AI143" s="1241"/>
      <c r="AO143" s="1241"/>
      <c r="AU143" s="1241"/>
      <c r="BA143" s="1241"/>
      <c r="BG143" s="1241"/>
      <c r="BM143" s="1241"/>
      <c r="BS143" s="1241"/>
      <c r="BY143" s="1241"/>
    </row>
    <row r="144" spans="1:77" s="367" customFormat="1" ht="14.25">
      <c r="A144" s="414"/>
      <c r="B144" s="414"/>
      <c r="C144" s="415"/>
      <c r="E144" s="414"/>
      <c r="F144" s="418"/>
      <c r="G144" s="418"/>
      <c r="H144" s="414"/>
      <c r="I144" s="414"/>
      <c r="J144" s="418"/>
      <c r="K144" s="418"/>
      <c r="L144" s="418"/>
      <c r="M144" s="418"/>
      <c r="N144" s="414"/>
      <c r="O144" s="418"/>
      <c r="P144" s="351"/>
      <c r="Q144" s="351"/>
      <c r="R144" s="351"/>
      <c r="S144" s="414"/>
      <c r="W144" s="1241"/>
      <c r="X144" s="1179"/>
      <c r="AC144" s="1241"/>
      <c r="AD144" s="1179"/>
      <c r="AI144" s="1241"/>
      <c r="AO144" s="1241"/>
      <c r="AU144" s="1241"/>
      <c r="BA144" s="1241"/>
      <c r="BG144" s="1241"/>
      <c r="BM144" s="1241"/>
      <c r="BS144" s="1241"/>
      <c r="BY144" s="1241"/>
    </row>
    <row r="145" spans="1:77" s="367" customFormat="1" ht="14.25">
      <c r="A145" s="414"/>
      <c r="B145" s="414"/>
      <c r="C145" s="415"/>
      <c r="E145" s="414"/>
      <c r="F145" s="418"/>
      <c r="G145" s="418"/>
      <c r="H145" s="414"/>
      <c r="I145" s="414"/>
      <c r="J145" s="418"/>
      <c r="K145" s="418"/>
      <c r="L145" s="418"/>
      <c r="M145" s="418"/>
      <c r="N145" s="414"/>
      <c r="O145" s="418"/>
      <c r="P145" s="351"/>
      <c r="Q145" s="351"/>
      <c r="R145" s="351"/>
      <c r="S145" s="414"/>
      <c r="W145" s="1241"/>
      <c r="X145" s="1179"/>
      <c r="AC145" s="1241"/>
      <c r="AD145" s="1179"/>
      <c r="AI145" s="1241"/>
      <c r="AO145" s="1241"/>
      <c r="AU145" s="1241"/>
      <c r="BA145" s="1241"/>
      <c r="BG145" s="1241"/>
      <c r="BM145" s="1241"/>
      <c r="BS145" s="1241"/>
      <c r="BY145" s="1241"/>
    </row>
    <row r="146" spans="1:77" s="367" customFormat="1" ht="14.25">
      <c r="A146" s="414"/>
      <c r="B146" s="414"/>
      <c r="C146" s="415"/>
      <c r="E146" s="414"/>
      <c r="F146" s="418"/>
      <c r="G146" s="418"/>
      <c r="H146" s="414"/>
      <c r="I146" s="414"/>
      <c r="J146" s="418"/>
      <c r="K146" s="418"/>
      <c r="L146" s="418"/>
      <c r="M146" s="418"/>
      <c r="N146" s="414"/>
      <c r="O146" s="418"/>
      <c r="P146" s="351"/>
      <c r="Q146" s="351"/>
      <c r="R146" s="351"/>
      <c r="S146" s="414"/>
      <c r="W146" s="1241"/>
      <c r="X146" s="1179"/>
      <c r="AC146" s="1241"/>
      <c r="AD146" s="1179"/>
      <c r="AI146" s="1241"/>
      <c r="AO146" s="1241"/>
      <c r="AU146" s="1241"/>
      <c r="BA146" s="1241"/>
      <c r="BG146" s="1241"/>
      <c r="BM146" s="1241"/>
      <c r="BS146" s="1241"/>
      <c r="BY146" s="1241"/>
    </row>
    <row r="147" spans="1:77" s="367" customFormat="1" ht="14.25">
      <c r="A147" s="414"/>
      <c r="B147" s="414"/>
      <c r="C147" s="415"/>
      <c r="E147" s="414"/>
      <c r="F147" s="418"/>
      <c r="G147" s="418"/>
      <c r="H147" s="414"/>
      <c r="I147" s="414"/>
      <c r="J147" s="418"/>
      <c r="K147" s="418"/>
      <c r="L147" s="418"/>
      <c r="M147" s="418"/>
      <c r="N147" s="414"/>
      <c r="O147" s="418"/>
      <c r="P147" s="351"/>
      <c r="Q147" s="351"/>
      <c r="R147" s="351"/>
      <c r="S147" s="414"/>
      <c r="W147" s="1241"/>
      <c r="X147" s="1179"/>
      <c r="AC147" s="1241"/>
      <c r="AD147" s="1179"/>
      <c r="AI147" s="1241"/>
      <c r="AO147" s="1241"/>
      <c r="AU147" s="1241"/>
      <c r="BA147" s="1241"/>
      <c r="BG147" s="1241"/>
      <c r="BM147" s="1241"/>
      <c r="BS147" s="1241"/>
      <c r="BY147" s="1241"/>
    </row>
    <row r="148" spans="1:77" s="367" customFormat="1" ht="14.25">
      <c r="A148" s="414"/>
      <c r="B148" s="414"/>
      <c r="C148" s="415"/>
      <c r="E148" s="414"/>
      <c r="F148" s="418"/>
      <c r="G148" s="418"/>
      <c r="H148" s="414"/>
      <c r="I148" s="414"/>
      <c r="J148" s="418"/>
      <c r="K148" s="418"/>
      <c r="L148" s="418"/>
      <c r="M148" s="418"/>
      <c r="N148" s="414"/>
      <c r="O148" s="418"/>
      <c r="P148" s="351"/>
      <c r="Q148" s="351"/>
      <c r="R148" s="351"/>
      <c r="S148" s="414"/>
      <c r="W148" s="1241"/>
      <c r="X148" s="1179"/>
      <c r="AC148" s="1241"/>
      <c r="AD148" s="1179"/>
      <c r="AI148" s="1241"/>
      <c r="AO148" s="1241"/>
      <c r="AU148" s="1241"/>
      <c r="BA148" s="1241"/>
      <c r="BG148" s="1241"/>
      <c r="BM148" s="1241"/>
      <c r="BS148" s="1241"/>
      <c r="BY148" s="1241"/>
    </row>
    <row r="149" spans="1:77" s="367" customFormat="1" ht="14.25">
      <c r="A149" s="414"/>
      <c r="B149" s="414"/>
      <c r="C149" s="415"/>
      <c r="E149" s="414"/>
      <c r="F149" s="418"/>
      <c r="G149" s="418"/>
      <c r="H149" s="414"/>
      <c r="I149" s="414"/>
      <c r="J149" s="418"/>
      <c r="K149" s="418"/>
      <c r="L149" s="418"/>
      <c r="M149" s="418"/>
      <c r="N149" s="414"/>
      <c r="O149" s="418"/>
      <c r="P149" s="351"/>
      <c r="Q149" s="351"/>
      <c r="R149" s="351"/>
      <c r="S149" s="414"/>
      <c r="W149" s="1241"/>
      <c r="X149" s="1179"/>
      <c r="AC149" s="1241"/>
      <c r="AD149" s="1179"/>
      <c r="AI149" s="1241"/>
      <c r="AO149" s="1241"/>
      <c r="AU149" s="1241"/>
      <c r="BA149" s="1241"/>
      <c r="BG149" s="1241"/>
      <c r="BM149" s="1241"/>
      <c r="BS149" s="1241"/>
      <c r="BY149" s="1241"/>
    </row>
    <row r="150" spans="1:77" s="367" customFormat="1" ht="14.25">
      <c r="A150" s="414"/>
      <c r="B150" s="414"/>
      <c r="C150" s="415"/>
      <c r="E150" s="414"/>
      <c r="F150" s="418"/>
      <c r="G150" s="418"/>
      <c r="H150" s="414"/>
      <c r="I150" s="414"/>
      <c r="J150" s="418"/>
      <c r="K150" s="418"/>
      <c r="L150" s="418"/>
      <c r="M150" s="418"/>
      <c r="N150" s="414"/>
      <c r="O150" s="418"/>
      <c r="P150" s="351"/>
      <c r="Q150" s="351"/>
      <c r="R150" s="351"/>
      <c r="S150" s="414"/>
      <c r="W150" s="1241"/>
      <c r="X150" s="1179"/>
      <c r="AC150" s="1241"/>
      <c r="AD150" s="1179"/>
      <c r="AI150" s="1241"/>
      <c r="AO150" s="1241"/>
      <c r="AU150" s="1241"/>
      <c r="BA150" s="1241"/>
      <c r="BG150" s="1241"/>
      <c r="BM150" s="1241"/>
      <c r="BS150" s="1241"/>
      <c r="BY150" s="1241"/>
    </row>
    <row r="151" spans="1:77" s="367" customFormat="1" ht="14.25">
      <c r="A151" s="414"/>
      <c r="B151" s="414"/>
      <c r="C151" s="415"/>
      <c r="E151" s="414"/>
      <c r="F151" s="418"/>
      <c r="G151" s="418"/>
      <c r="H151" s="414"/>
      <c r="I151" s="414"/>
      <c r="J151" s="418"/>
      <c r="K151" s="418"/>
      <c r="L151" s="418"/>
      <c r="M151" s="418"/>
      <c r="N151" s="414"/>
      <c r="O151" s="418"/>
      <c r="P151" s="351"/>
      <c r="Q151" s="351"/>
      <c r="R151" s="351"/>
      <c r="S151" s="414"/>
      <c r="W151" s="1241"/>
      <c r="X151" s="1179"/>
      <c r="AC151" s="1241"/>
      <c r="AD151" s="1179"/>
      <c r="AI151" s="1241"/>
      <c r="AO151" s="1241"/>
      <c r="AU151" s="1241"/>
      <c r="BA151" s="1241"/>
      <c r="BG151" s="1241"/>
      <c r="BM151" s="1241"/>
      <c r="BS151" s="1241"/>
      <c r="BY151" s="1241"/>
    </row>
    <row r="152" spans="1:77" s="367" customFormat="1" ht="14.25">
      <c r="A152" s="414"/>
      <c r="B152" s="414"/>
      <c r="C152" s="415"/>
      <c r="E152" s="414"/>
      <c r="F152" s="418"/>
      <c r="G152" s="418"/>
      <c r="H152" s="414"/>
      <c r="I152" s="414"/>
      <c r="J152" s="418"/>
      <c r="K152" s="418"/>
      <c r="L152" s="418"/>
      <c r="M152" s="418"/>
      <c r="N152" s="414"/>
      <c r="O152" s="418"/>
      <c r="P152" s="351"/>
      <c r="Q152" s="351"/>
      <c r="R152" s="351"/>
      <c r="S152" s="414"/>
      <c r="W152" s="1241"/>
      <c r="X152" s="1179"/>
      <c r="AC152" s="1241"/>
      <c r="AD152" s="1179"/>
      <c r="AI152" s="1241"/>
      <c r="AO152" s="1241"/>
      <c r="AU152" s="1241"/>
      <c r="BA152" s="1241"/>
      <c r="BG152" s="1241"/>
      <c r="BM152" s="1241"/>
      <c r="BS152" s="1241"/>
      <c r="BY152" s="1241"/>
    </row>
    <row r="153" spans="1:77" s="367" customFormat="1" ht="14.25">
      <c r="A153" s="414"/>
      <c r="B153" s="414"/>
      <c r="C153" s="415"/>
      <c r="E153" s="414"/>
      <c r="F153" s="418"/>
      <c r="G153" s="418"/>
      <c r="H153" s="414"/>
      <c r="I153" s="414"/>
      <c r="J153" s="418"/>
      <c r="K153" s="418"/>
      <c r="L153" s="418"/>
      <c r="M153" s="418"/>
      <c r="N153" s="414"/>
      <c r="O153" s="418"/>
      <c r="P153" s="351"/>
      <c r="Q153" s="351"/>
      <c r="R153" s="351"/>
      <c r="S153" s="414"/>
      <c r="W153" s="1241"/>
      <c r="X153" s="1179"/>
      <c r="AC153" s="1241"/>
      <c r="AD153" s="1179"/>
      <c r="AI153" s="1241"/>
      <c r="AO153" s="1241"/>
      <c r="AU153" s="1241"/>
      <c r="BA153" s="1241"/>
      <c r="BG153" s="1241"/>
      <c r="BM153" s="1241"/>
      <c r="BS153" s="1241"/>
      <c r="BY153" s="1241"/>
    </row>
    <row r="154" spans="1:77" s="367" customFormat="1" ht="14.25">
      <c r="A154" s="414"/>
      <c r="B154" s="414"/>
      <c r="C154" s="415"/>
      <c r="E154" s="414"/>
      <c r="F154" s="418"/>
      <c r="G154" s="418"/>
      <c r="H154" s="414"/>
      <c r="I154" s="414"/>
      <c r="J154" s="418"/>
      <c r="K154" s="418"/>
      <c r="L154" s="418"/>
      <c r="M154" s="418"/>
      <c r="N154" s="414"/>
      <c r="O154" s="418"/>
      <c r="P154" s="351"/>
      <c r="Q154" s="351"/>
      <c r="R154" s="351"/>
      <c r="S154" s="414"/>
      <c r="W154" s="1241"/>
      <c r="X154" s="1179"/>
      <c r="AC154" s="1241"/>
      <c r="AD154" s="1179"/>
      <c r="AI154" s="1241"/>
      <c r="AO154" s="1241"/>
      <c r="AU154" s="1241"/>
      <c r="BA154" s="1241"/>
      <c r="BG154" s="1241"/>
      <c r="BM154" s="1241"/>
      <c r="BS154" s="1241"/>
      <c r="BY154" s="1241"/>
    </row>
    <row r="155" spans="1:77" s="367" customFormat="1" ht="14.25">
      <c r="A155" s="414"/>
      <c r="B155" s="414"/>
      <c r="C155" s="415"/>
      <c r="E155" s="414"/>
      <c r="F155" s="418"/>
      <c r="G155" s="418"/>
      <c r="H155" s="414"/>
      <c r="I155" s="414"/>
      <c r="J155" s="418"/>
      <c r="K155" s="418"/>
      <c r="L155" s="418"/>
      <c r="M155" s="418"/>
      <c r="N155" s="414"/>
      <c r="O155" s="418"/>
      <c r="P155" s="351"/>
      <c r="Q155" s="351"/>
      <c r="R155" s="351"/>
      <c r="S155" s="414"/>
      <c r="W155" s="1241"/>
      <c r="X155" s="1179"/>
      <c r="AC155" s="1241"/>
      <c r="AD155" s="1179"/>
      <c r="AI155" s="1241"/>
      <c r="AO155" s="1241"/>
      <c r="AU155" s="1241"/>
      <c r="BA155" s="1241"/>
      <c r="BG155" s="1241"/>
      <c r="BM155" s="1241"/>
      <c r="BS155" s="1241"/>
      <c r="BY155" s="1241"/>
    </row>
    <row r="156" spans="1:77" s="367" customFormat="1" ht="14.25">
      <c r="A156" s="414"/>
      <c r="B156" s="414"/>
      <c r="C156" s="415"/>
      <c r="E156" s="414"/>
      <c r="F156" s="418"/>
      <c r="G156" s="418"/>
      <c r="H156" s="414"/>
      <c r="I156" s="414"/>
      <c r="J156" s="418"/>
      <c r="K156" s="418"/>
      <c r="L156" s="418"/>
      <c r="M156" s="418"/>
      <c r="N156" s="414"/>
      <c r="O156" s="418"/>
      <c r="P156" s="351"/>
      <c r="Q156" s="351"/>
      <c r="R156" s="351"/>
      <c r="S156" s="414"/>
      <c r="W156" s="1241"/>
      <c r="X156" s="1179"/>
      <c r="AC156" s="1241"/>
      <c r="AD156" s="1179"/>
      <c r="AI156" s="1241"/>
      <c r="AO156" s="1241"/>
      <c r="AU156" s="1241"/>
      <c r="BA156" s="1241"/>
      <c r="BG156" s="1241"/>
      <c r="BM156" s="1241"/>
      <c r="BS156" s="1241"/>
      <c r="BY156" s="1241"/>
    </row>
    <row r="157" spans="1:77" s="367" customFormat="1" ht="14.25">
      <c r="A157" s="414"/>
      <c r="B157" s="414"/>
      <c r="C157" s="415"/>
      <c r="E157" s="414"/>
      <c r="F157" s="418"/>
      <c r="G157" s="418"/>
      <c r="H157" s="414"/>
      <c r="I157" s="414"/>
      <c r="J157" s="418"/>
      <c r="K157" s="418"/>
      <c r="L157" s="418"/>
      <c r="M157" s="418"/>
      <c r="N157" s="414"/>
      <c r="O157" s="418"/>
      <c r="P157" s="351"/>
      <c r="Q157" s="351"/>
      <c r="R157" s="351"/>
      <c r="S157" s="414"/>
      <c r="W157" s="1241"/>
      <c r="X157" s="1179"/>
      <c r="AC157" s="1241"/>
      <c r="AD157" s="1179"/>
      <c r="AI157" s="1241"/>
      <c r="AO157" s="1241"/>
      <c r="AU157" s="1241"/>
      <c r="BA157" s="1241"/>
      <c r="BG157" s="1241"/>
      <c r="BM157" s="1241"/>
      <c r="BS157" s="1241"/>
      <c r="BY157" s="1241"/>
    </row>
    <row r="158" spans="1:77" s="367" customFormat="1" ht="14.25">
      <c r="A158" s="414"/>
      <c r="B158" s="414"/>
      <c r="C158" s="415"/>
      <c r="E158" s="414"/>
      <c r="F158" s="418"/>
      <c r="G158" s="418"/>
      <c r="H158" s="414"/>
      <c r="I158" s="414"/>
      <c r="J158" s="418"/>
      <c r="K158" s="418"/>
      <c r="L158" s="418"/>
      <c r="M158" s="418"/>
      <c r="N158" s="414"/>
      <c r="O158" s="418"/>
      <c r="P158" s="351"/>
      <c r="Q158" s="351"/>
      <c r="R158" s="351"/>
      <c r="S158" s="414"/>
      <c r="W158" s="1241"/>
      <c r="X158" s="1179"/>
      <c r="AC158" s="1241"/>
      <c r="AD158" s="1179"/>
      <c r="AI158" s="1241"/>
      <c r="AO158" s="1241"/>
      <c r="AU158" s="1241"/>
      <c r="BA158" s="1241"/>
      <c r="BG158" s="1241"/>
      <c r="BM158" s="1241"/>
      <c r="BS158" s="1241"/>
      <c r="BY158" s="1241"/>
    </row>
    <row r="159" spans="1:77" s="367" customFormat="1" ht="14.25">
      <c r="A159" s="414"/>
      <c r="B159" s="414"/>
      <c r="C159" s="415"/>
      <c r="E159" s="414"/>
      <c r="F159" s="418"/>
      <c r="G159" s="418"/>
      <c r="H159" s="414"/>
      <c r="I159" s="414"/>
      <c r="J159" s="418"/>
      <c r="K159" s="418"/>
      <c r="L159" s="418"/>
      <c r="M159" s="418"/>
      <c r="N159" s="414"/>
      <c r="O159" s="418"/>
      <c r="P159" s="351"/>
      <c r="Q159" s="351"/>
      <c r="R159" s="351"/>
      <c r="S159" s="414"/>
      <c r="W159" s="1241"/>
      <c r="X159" s="1179"/>
      <c r="AC159" s="1241"/>
      <c r="AD159" s="1179"/>
      <c r="AI159" s="1241"/>
      <c r="AO159" s="1241"/>
      <c r="AU159" s="1241"/>
      <c r="BA159" s="1241"/>
      <c r="BG159" s="1241"/>
      <c r="BM159" s="1241"/>
      <c r="BS159" s="1241"/>
      <c r="BY159" s="1241"/>
    </row>
    <row r="160" spans="1:77" s="367" customFormat="1" ht="14.25">
      <c r="A160" s="414"/>
      <c r="B160" s="414"/>
      <c r="C160" s="415"/>
      <c r="E160" s="414"/>
      <c r="F160" s="418"/>
      <c r="G160" s="418"/>
      <c r="H160" s="414"/>
      <c r="I160" s="414"/>
      <c r="J160" s="418"/>
      <c r="K160" s="418"/>
      <c r="L160" s="418"/>
      <c r="M160" s="418"/>
      <c r="N160" s="414"/>
      <c r="O160" s="418"/>
      <c r="P160" s="351"/>
      <c r="Q160" s="351"/>
      <c r="R160" s="351"/>
      <c r="S160" s="414"/>
      <c r="W160" s="1241"/>
      <c r="X160" s="1179"/>
      <c r="AC160" s="1241"/>
      <c r="AD160" s="1179"/>
      <c r="AI160" s="1241"/>
      <c r="AO160" s="1241"/>
      <c r="AU160" s="1241"/>
      <c r="BA160" s="1241"/>
      <c r="BG160" s="1241"/>
      <c r="BM160" s="1241"/>
      <c r="BS160" s="1241"/>
      <c r="BY160" s="1241"/>
    </row>
    <row r="161" spans="1:79" s="367" customFormat="1" ht="14.25">
      <c r="A161" s="414"/>
      <c r="B161" s="414"/>
      <c r="C161" s="415"/>
      <c r="E161" s="414"/>
      <c r="F161" s="418"/>
      <c r="G161" s="418"/>
      <c r="H161" s="414"/>
      <c r="I161" s="414"/>
      <c r="J161" s="418"/>
      <c r="K161" s="418"/>
      <c r="L161" s="418"/>
      <c r="M161" s="418"/>
      <c r="N161" s="414"/>
      <c r="O161" s="418"/>
      <c r="P161" s="351"/>
      <c r="Q161" s="351"/>
      <c r="R161" s="351"/>
      <c r="S161" s="414"/>
      <c r="W161" s="1241"/>
      <c r="X161" s="1179"/>
      <c r="AC161" s="1241"/>
      <c r="AD161" s="1179"/>
      <c r="AI161" s="1241"/>
      <c r="AO161" s="1241"/>
      <c r="AU161" s="1241"/>
      <c r="BA161" s="1241"/>
      <c r="BG161" s="1241"/>
      <c r="BM161" s="1241"/>
      <c r="BS161" s="1241"/>
      <c r="BY161" s="1241"/>
    </row>
    <row r="162" spans="1:79" s="367" customFormat="1" ht="14.25">
      <c r="A162" s="414"/>
      <c r="B162" s="414"/>
      <c r="C162" s="415"/>
      <c r="E162" s="414"/>
      <c r="F162" s="418"/>
      <c r="G162" s="418"/>
      <c r="H162" s="414"/>
      <c r="I162" s="414"/>
      <c r="J162" s="418"/>
      <c r="K162" s="418"/>
      <c r="L162" s="418"/>
      <c r="M162" s="418"/>
      <c r="N162" s="414"/>
      <c r="O162" s="418"/>
      <c r="P162" s="351"/>
      <c r="Q162" s="351"/>
      <c r="R162" s="351"/>
      <c r="S162" s="414"/>
      <c r="W162" s="1241"/>
      <c r="X162" s="1179"/>
      <c r="AC162" s="1241"/>
      <c r="AD162" s="1179"/>
      <c r="AI162" s="1241"/>
      <c r="AO162" s="1241"/>
      <c r="AU162" s="1241"/>
      <c r="BA162" s="1241"/>
      <c r="BG162" s="1241"/>
      <c r="BM162" s="1241"/>
      <c r="BS162" s="1241"/>
      <c r="BY162" s="1241"/>
    </row>
    <row r="163" spans="1:79" s="367" customFormat="1" ht="14.25">
      <c r="A163" s="414"/>
      <c r="B163" s="414"/>
      <c r="C163" s="415"/>
      <c r="E163" s="414"/>
      <c r="F163" s="418"/>
      <c r="G163" s="418"/>
      <c r="H163" s="414"/>
      <c r="I163" s="414"/>
      <c r="J163" s="418"/>
      <c r="K163" s="418"/>
      <c r="L163" s="418"/>
      <c r="M163" s="418"/>
      <c r="N163" s="414"/>
      <c r="O163" s="418"/>
      <c r="P163" s="351"/>
      <c r="Q163" s="351"/>
      <c r="R163" s="351"/>
      <c r="S163" s="414"/>
      <c r="W163" s="1241"/>
      <c r="X163" s="1179"/>
      <c r="AC163" s="1241"/>
      <c r="AD163" s="1179"/>
      <c r="AI163" s="1241"/>
      <c r="AO163" s="1241"/>
      <c r="AU163" s="1241"/>
      <c r="BA163" s="1241"/>
      <c r="BG163" s="1241"/>
      <c r="BM163" s="1241"/>
      <c r="BS163" s="1241"/>
      <c r="BY163" s="1241"/>
    </row>
    <row r="164" spans="1:79" s="367" customFormat="1" ht="14.25">
      <c r="A164" s="414"/>
      <c r="B164" s="414"/>
      <c r="C164" s="415"/>
      <c r="E164" s="414"/>
      <c r="F164" s="418"/>
      <c r="G164" s="418"/>
      <c r="H164" s="414"/>
      <c r="I164" s="414"/>
      <c r="J164" s="418"/>
      <c r="K164" s="418"/>
      <c r="L164" s="418"/>
      <c r="M164" s="418"/>
      <c r="N164" s="414"/>
      <c r="O164" s="418"/>
      <c r="P164" s="351"/>
      <c r="Q164" s="351"/>
      <c r="R164" s="351"/>
      <c r="S164" s="414"/>
      <c r="W164" s="1241"/>
      <c r="X164" s="1179"/>
      <c r="AC164" s="1241"/>
      <c r="AD164" s="1179"/>
      <c r="AI164" s="1241"/>
      <c r="AO164" s="1241"/>
      <c r="AU164" s="1241"/>
      <c r="BA164" s="1241"/>
      <c r="BG164" s="1241"/>
      <c r="BM164" s="1241"/>
      <c r="BS164" s="1241"/>
      <c r="BY164" s="1241"/>
    </row>
    <row r="165" spans="1:79" s="367" customFormat="1" ht="14.25">
      <c r="A165" s="414"/>
      <c r="B165" s="414"/>
      <c r="C165" s="415"/>
      <c r="E165" s="414"/>
      <c r="F165" s="418"/>
      <c r="G165" s="418"/>
      <c r="H165" s="414"/>
      <c r="I165" s="414"/>
      <c r="J165" s="418"/>
      <c r="K165" s="418"/>
      <c r="L165" s="418"/>
      <c r="M165" s="418"/>
      <c r="N165" s="414"/>
      <c r="O165" s="418"/>
      <c r="P165" s="351"/>
      <c r="Q165" s="351"/>
      <c r="R165" s="351"/>
      <c r="S165" s="414"/>
      <c r="W165" s="1241"/>
      <c r="X165" s="1179"/>
      <c r="AC165" s="1241"/>
      <c r="AD165" s="1179"/>
      <c r="AI165" s="1241"/>
      <c r="AO165" s="1241"/>
      <c r="AU165" s="1241"/>
      <c r="BA165" s="1241"/>
      <c r="BG165" s="1241"/>
      <c r="BM165" s="1241"/>
      <c r="BS165" s="1241"/>
      <c r="BY165" s="1241"/>
    </row>
    <row r="166" spans="1:79" s="367" customFormat="1" ht="14.25">
      <c r="A166" s="414"/>
      <c r="B166" s="414"/>
      <c r="C166" s="415"/>
      <c r="E166" s="414"/>
      <c r="F166" s="418"/>
      <c r="G166" s="418"/>
      <c r="H166" s="414"/>
      <c r="I166" s="414"/>
      <c r="J166" s="418"/>
      <c r="K166" s="418"/>
      <c r="L166" s="418"/>
      <c r="M166" s="418"/>
      <c r="N166" s="414"/>
      <c r="O166" s="418"/>
      <c r="P166" s="351"/>
      <c r="Q166" s="351"/>
      <c r="R166" s="351"/>
      <c r="S166" s="414"/>
      <c r="W166" s="1241"/>
      <c r="X166" s="1179"/>
      <c r="AC166" s="1241"/>
      <c r="AD166" s="1179"/>
      <c r="AI166" s="1241"/>
      <c r="AO166" s="1241"/>
      <c r="AU166" s="1241"/>
      <c r="BA166" s="1241"/>
      <c r="BG166" s="1241"/>
      <c r="BM166" s="1241"/>
      <c r="BS166" s="1241"/>
      <c r="BY166" s="1241"/>
    </row>
    <row r="167" spans="1:79" s="367" customFormat="1" ht="14.25">
      <c r="A167" s="414"/>
      <c r="B167" s="414"/>
      <c r="C167" s="415"/>
      <c r="E167" s="414"/>
      <c r="F167" s="418"/>
      <c r="G167" s="418"/>
      <c r="H167" s="414"/>
      <c r="I167" s="414"/>
      <c r="J167" s="418"/>
      <c r="K167" s="418"/>
      <c r="L167" s="418"/>
      <c r="M167" s="418"/>
      <c r="N167" s="414"/>
      <c r="O167" s="418"/>
      <c r="P167" s="351"/>
      <c r="Q167" s="351"/>
      <c r="R167" s="351"/>
      <c r="S167" s="414"/>
      <c r="W167" s="1241"/>
      <c r="X167" s="1179"/>
      <c r="AC167" s="1241"/>
      <c r="AD167" s="1179"/>
      <c r="AI167" s="1241"/>
      <c r="AO167" s="1241"/>
      <c r="AU167" s="1241"/>
      <c r="BA167" s="1241"/>
      <c r="BG167" s="1241"/>
      <c r="BM167" s="1241"/>
      <c r="BS167" s="1241"/>
      <c r="BY167" s="1241"/>
    </row>
    <row r="168" spans="1:79" s="367" customFormat="1" ht="14.25">
      <c r="A168" s="414"/>
      <c r="B168" s="414"/>
      <c r="C168" s="415"/>
      <c r="E168" s="414"/>
      <c r="F168" s="418"/>
      <c r="G168" s="418"/>
      <c r="H168" s="414"/>
      <c r="I168" s="414"/>
      <c r="J168" s="418"/>
      <c r="K168" s="418"/>
      <c r="L168" s="418"/>
      <c r="M168" s="418"/>
      <c r="N168" s="414"/>
      <c r="O168" s="418"/>
      <c r="P168" s="351"/>
      <c r="Q168" s="351"/>
      <c r="R168" s="351"/>
      <c r="S168" s="414"/>
      <c r="W168" s="1241"/>
      <c r="X168" s="1179"/>
      <c r="AC168" s="1241"/>
      <c r="AD168" s="1179"/>
      <c r="AI168" s="1241"/>
      <c r="AO168" s="1241"/>
      <c r="AU168" s="1241"/>
      <c r="BA168" s="1241"/>
      <c r="BG168" s="1241"/>
      <c r="BM168" s="1241"/>
      <c r="BS168" s="1241"/>
      <c r="BY168" s="1241"/>
    </row>
    <row r="169" spans="1:79" s="367" customFormat="1" ht="14.25">
      <c r="A169" s="414"/>
      <c r="B169" s="414"/>
      <c r="C169" s="415"/>
      <c r="E169" s="414"/>
      <c r="F169" s="418"/>
      <c r="G169" s="418"/>
      <c r="H169" s="414"/>
      <c r="I169" s="414"/>
      <c r="J169" s="418"/>
      <c r="K169" s="418"/>
      <c r="L169" s="418"/>
      <c r="M169" s="418"/>
      <c r="N169" s="414"/>
      <c r="O169" s="418"/>
      <c r="P169" s="351"/>
      <c r="Q169" s="351"/>
      <c r="R169" s="351"/>
      <c r="S169" s="414"/>
      <c r="W169" s="1241"/>
      <c r="X169" s="1179"/>
      <c r="AC169" s="1241"/>
      <c r="AD169" s="1179"/>
      <c r="AI169" s="1241"/>
      <c r="AO169" s="1241"/>
      <c r="AU169" s="1241"/>
      <c r="BA169" s="1241"/>
      <c r="BG169" s="1241"/>
      <c r="BM169" s="1241"/>
      <c r="BS169" s="1241"/>
      <c r="BY169" s="1241"/>
    </row>
    <row r="170" spans="1:79">
      <c r="A170" s="414"/>
      <c r="B170" s="414"/>
      <c r="C170" s="415"/>
      <c r="D170" s="367"/>
      <c r="E170" s="414"/>
      <c r="I170" s="414"/>
      <c r="J170" s="418"/>
      <c r="K170" s="418"/>
      <c r="L170" s="418"/>
      <c r="M170" s="418"/>
      <c r="N170" s="414"/>
      <c r="O170" s="418"/>
      <c r="P170" s="351"/>
      <c r="Q170" s="351"/>
      <c r="R170" s="351"/>
      <c r="S170" s="414"/>
      <c r="T170" s="367"/>
      <c r="U170" s="367"/>
      <c r="V170" s="367"/>
      <c r="W170" s="1241"/>
      <c r="Z170" s="367"/>
      <c r="AA170" s="367"/>
      <c r="AB170" s="367"/>
      <c r="AC170" s="1241"/>
      <c r="AF170" s="367"/>
      <c r="AG170" s="367"/>
      <c r="AH170" s="367"/>
      <c r="AI170" s="1241"/>
      <c r="AL170" s="367"/>
      <c r="AM170" s="367"/>
      <c r="AN170" s="367"/>
      <c r="AO170" s="1241"/>
      <c r="AR170" s="367"/>
      <c r="AS170" s="367"/>
      <c r="AT170" s="367"/>
      <c r="AU170" s="1241"/>
      <c r="AX170" s="367"/>
      <c r="AY170" s="367"/>
      <c r="AZ170" s="367"/>
      <c r="BA170" s="1241"/>
      <c r="BD170" s="367"/>
      <c r="BE170" s="367"/>
      <c r="BF170" s="367"/>
      <c r="BG170" s="1241"/>
      <c r="BJ170" s="367"/>
      <c r="BK170" s="367"/>
      <c r="BL170" s="367"/>
      <c r="BM170" s="1241"/>
      <c r="BP170" s="367"/>
      <c r="BQ170" s="367"/>
      <c r="BR170" s="367"/>
      <c r="BS170" s="1241"/>
      <c r="BV170" s="367"/>
      <c r="BW170" s="367"/>
      <c r="BX170" s="367"/>
      <c r="BY170" s="1241"/>
      <c r="CA170" s="367"/>
    </row>
    <row r="171" spans="1:79">
      <c r="P171" s="351"/>
      <c r="Q171" s="351"/>
      <c r="R171" s="351"/>
      <c r="T171" s="367"/>
      <c r="U171" s="367"/>
      <c r="V171" s="367"/>
      <c r="W171" s="1241"/>
      <c r="Z171" s="367"/>
      <c r="AA171" s="367"/>
      <c r="AB171" s="367"/>
      <c r="AC171" s="1241"/>
      <c r="AF171" s="367"/>
      <c r="AG171" s="367"/>
      <c r="AH171" s="367"/>
      <c r="AI171" s="1241"/>
      <c r="AL171" s="367"/>
      <c r="AM171" s="367"/>
      <c r="AN171" s="367"/>
      <c r="AO171" s="1241"/>
      <c r="AR171" s="367"/>
      <c r="AS171" s="367"/>
      <c r="AT171" s="367"/>
      <c r="AU171" s="1241"/>
      <c r="AX171" s="367"/>
      <c r="AY171" s="367"/>
      <c r="AZ171" s="367"/>
      <c r="BA171" s="1241"/>
      <c r="BD171" s="367"/>
      <c r="BE171" s="367"/>
      <c r="BF171" s="367"/>
      <c r="BG171" s="1241"/>
      <c r="BJ171" s="367"/>
      <c r="BK171" s="367"/>
      <c r="BL171" s="367"/>
      <c r="BM171" s="1241"/>
      <c r="BP171" s="367"/>
      <c r="BQ171" s="367"/>
      <c r="BR171" s="367"/>
      <c r="BS171" s="1241"/>
      <c r="BV171" s="367"/>
      <c r="BW171" s="367"/>
      <c r="BX171" s="367"/>
      <c r="BY171" s="1241"/>
      <c r="CA171" s="367"/>
    </row>
    <row r="172" spans="1:79">
      <c r="P172" s="351"/>
      <c r="Q172" s="351"/>
      <c r="R172" s="351"/>
      <c r="T172" s="367"/>
      <c r="U172" s="367"/>
      <c r="V172" s="367"/>
      <c r="W172" s="1241"/>
      <c r="Z172" s="367"/>
      <c r="AA172" s="367"/>
      <c r="AB172" s="367"/>
      <c r="AC172" s="1241"/>
      <c r="AF172" s="367"/>
      <c r="AG172" s="367"/>
      <c r="AH172" s="367"/>
      <c r="AI172" s="1241"/>
      <c r="AL172" s="367"/>
      <c r="AM172" s="367"/>
      <c r="AN172" s="367"/>
      <c r="AO172" s="1241"/>
      <c r="AR172" s="367"/>
      <c r="AS172" s="367"/>
      <c r="AT172" s="367"/>
      <c r="AU172" s="1241"/>
      <c r="AX172" s="367"/>
      <c r="AY172" s="367"/>
      <c r="AZ172" s="367"/>
      <c r="BA172" s="1241"/>
      <c r="BD172" s="367"/>
      <c r="BE172" s="367"/>
      <c r="BF172" s="367"/>
      <c r="BG172" s="1241"/>
      <c r="BJ172" s="367"/>
      <c r="BK172" s="367"/>
      <c r="BL172" s="367"/>
      <c r="BM172" s="1241"/>
      <c r="BP172" s="367"/>
      <c r="BQ172" s="367"/>
      <c r="BR172" s="367"/>
      <c r="BS172" s="1241"/>
      <c r="BV172" s="367"/>
      <c r="BW172" s="367"/>
      <c r="BX172" s="367"/>
      <c r="BY172" s="1241"/>
      <c r="CA172" s="367"/>
    </row>
    <row r="173" spans="1:79">
      <c r="P173" s="351"/>
      <c r="Q173" s="351"/>
      <c r="R173" s="351"/>
      <c r="T173" s="367"/>
      <c r="U173" s="367"/>
      <c r="V173" s="367"/>
      <c r="W173" s="1241"/>
      <c r="Z173" s="367"/>
      <c r="AA173" s="367"/>
      <c r="AB173" s="367"/>
      <c r="AC173" s="1241"/>
      <c r="AF173" s="367"/>
      <c r="AG173" s="367"/>
      <c r="AH173" s="367"/>
      <c r="AI173" s="1241"/>
      <c r="AL173" s="367"/>
      <c r="AM173" s="367"/>
      <c r="AN173" s="367"/>
      <c r="AO173" s="1241"/>
      <c r="AR173" s="367"/>
      <c r="AS173" s="367"/>
      <c r="AT173" s="367"/>
      <c r="AU173" s="1241"/>
      <c r="AX173" s="367"/>
      <c r="AY173" s="367"/>
      <c r="AZ173" s="367"/>
      <c r="BA173" s="1241"/>
      <c r="BD173" s="367"/>
      <c r="BE173" s="367"/>
      <c r="BF173" s="367"/>
      <c r="BG173" s="1241"/>
      <c r="BJ173" s="367"/>
      <c r="BK173" s="367"/>
      <c r="BL173" s="367"/>
      <c r="BM173" s="1241"/>
      <c r="BP173" s="367"/>
      <c r="BQ173" s="367"/>
      <c r="BR173" s="367"/>
      <c r="BS173" s="1241"/>
      <c r="BV173" s="367"/>
      <c r="BW173" s="367"/>
      <c r="BX173" s="367"/>
      <c r="BY173" s="1241"/>
      <c r="CA173" s="367"/>
    </row>
    <row r="174" spans="1:79">
      <c r="P174" s="351"/>
      <c r="Q174" s="351"/>
      <c r="R174" s="351"/>
      <c r="T174" s="367"/>
      <c r="U174" s="367"/>
      <c r="V174" s="367"/>
      <c r="W174" s="1241"/>
      <c r="Z174" s="367"/>
      <c r="AA174" s="367"/>
      <c r="AB174" s="367"/>
      <c r="AC174" s="1241"/>
      <c r="AF174" s="367"/>
      <c r="AG174" s="367"/>
      <c r="AH174" s="367"/>
      <c r="AI174" s="1241"/>
      <c r="AL174" s="367"/>
      <c r="AM174" s="367"/>
      <c r="AN174" s="367"/>
      <c r="AO174" s="1241"/>
      <c r="AR174" s="367"/>
      <c r="AS174" s="367"/>
      <c r="AT174" s="367"/>
      <c r="AU174" s="1241"/>
      <c r="AX174" s="367"/>
      <c r="AY174" s="367"/>
      <c r="AZ174" s="367"/>
      <c r="BA174" s="1241"/>
      <c r="BD174" s="367"/>
      <c r="BE174" s="367"/>
      <c r="BF174" s="367"/>
      <c r="BG174" s="1241"/>
      <c r="BJ174" s="367"/>
      <c r="BK174" s="367"/>
      <c r="BL174" s="367"/>
      <c r="BM174" s="1241"/>
      <c r="BP174" s="367"/>
      <c r="BQ174" s="367"/>
      <c r="BR174" s="367"/>
      <c r="BS174" s="1241"/>
      <c r="BV174" s="367"/>
      <c r="BW174" s="367"/>
      <c r="BX174" s="367"/>
      <c r="BY174" s="1241"/>
      <c r="CA174" s="367"/>
    </row>
    <row r="175" spans="1:79">
      <c r="P175" s="351"/>
      <c r="Q175" s="351"/>
      <c r="R175" s="351"/>
      <c r="T175" s="367"/>
      <c r="U175" s="367"/>
      <c r="V175" s="367"/>
      <c r="W175" s="1241"/>
      <c r="Z175" s="367"/>
      <c r="AA175" s="367"/>
      <c r="AB175" s="367"/>
      <c r="AC175" s="1241"/>
      <c r="AF175" s="367"/>
      <c r="AG175" s="367"/>
      <c r="AH175" s="367"/>
      <c r="AI175" s="1241"/>
      <c r="AL175" s="367"/>
      <c r="AM175" s="367"/>
      <c r="AN175" s="367"/>
      <c r="AO175" s="1241"/>
      <c r="AR175" s="367"/>
      <c r="AS175" s="367"/>
      <c r="AT175" s="367"/>
      <c r="AU175" s="1241"/>
      <c r="AX175" s="367"/>
      <c r="AY175" s="367"/>
      <c r="AZ175" s="367"/>
      <c r="BA175" s="1241"/>
      <c r="BD175" s="367"/>
      <c r="BE175" s="367"/>
      <c r="BF175" s="367"/>
      <c r="BG175" s="1241"/>
      <c r="BJ175" s="367"/>
      <c r="BK175" s="367"/>
      <c r="BL175" s="367"/>
      <c r="BM175" s="1241"/>
      <c r="BP175" s="367"/>
      <c r="BQ175" s="367"/>
      <c r="BR175" s="367"/>
      <c r="BS175" s="1241"/>
      <c r="BV175" s="367"/>
      <c r="BW175" s="367"/>
      <c r="BX175" s="367"/>
      <c r="BY175" s="1241"/>
      <c r="CA175" s="367"/>
    </row>
    <row r="176" spans="1:79">
      <c r="P176" s="351"/>
      <c r="Q176" s="351"/>
      <c r="R176" s="351"/>
      <c r="T176" s="367"/>
      <c r="U176" s="367"/>
      <c r="V176" s="367"/>
      <c r="W176" s="1241"/>
      <c r="Z176" s="367"/>
      <c r="AA176" s="367"/>
      <c r="AB176" s="367"/>
      <c r="AC176" s="1241"/>
      <c r="AF176" s="367"/>
      <c r="AG176" s="367"/>
      <c r="AH176" s="367"/>
      <c r="AI176" s="1241"/>
      <c r="AL176" s="367"/>
      <c r="AM176" s="367"/>
      <c r="AN176" s="367"/>
      <c r="AO176" s="1241"/>
      <c r="AR176" s="367"/>
      <c r="AS176" s="367"/>
      <c r="AT176" s="367"/>
      <c r="AU176" s="1241"/>
      <c r="AX176" s="367"/>
      <c r="AY176" s="367"/>
      <c r="AZ176" s="367"/>
      <c r="BA176" s="1241"/>
      <c r="BD176" s="367"/>
      <c r="BE176" s="367"/>
      <c r="BF176" s="367"/>
      <c r="BG176" s="1241"/>
      <c r="BJ176" s="367"/>
      <c r="BK176" s="367"/>
      <c r="BL176" s="367"/>
      <c r="BM176" s="1241"/>
      <c r="BP176" s="367"/>
      <c r="BQ176" s="367"/>
      <c r="BR176" s="367"/>
      <c r="BS176" s="1241"/>
      <c r="BV176" s="367"/>
      <c r="BW176" s="367"/>
      <c r="BX176" s="367"/>
      <c r="BY176" s="1241"/>
      <c r="CA176" s="367"/>
    </row>
    <row r="177" spans="16:79">
      <c r="P177" s="351"/>
      <c r="Q177" s="351"/>
      <c r="R177" s="351"/>
      <c r="T177" s="367"/>
      <c r="U177" s="367"/>
      <c r="V177" s="367"/>
      <c r="W177" s="1241"/>
      <c r="Z177" s="367"/>
      <c r="AA177" s="367"/>
      <c r="AB177" s="367"/>
      <c r="AC177" s="1241"/>
      <c r="AF177" s="367"/>
      <c r="AG177" s="367"/>
      <c r="AH177" s="367"/>
      <c r="AI177" s="1241"/>
      <c r="AL177" s="367"/>
      <c r="AM177" s="367"/>
      <c r="AN177" s="367"/>
      <c r="AO177" s="1241"/>
      <c r="AR177" s="367"/>
      <c r="AS177" s="367"/>
      <c r="AT177" s="367"/>
      <c r="AU177" s="1241"/>
      <c r="AX177" s="367"/>
      <c r="AY177" s="367"/>
      <c r="AZ177" s="367"/>
      <c r="BA177" s="1241"/>
      <c r="BD177" s="367"/>
      <c r="BE177" s="367"/>
      <c r="BF177" s="367"/>
      <c r="BG177" s="1241"/>
      <c r="BJ177" s="367"/>
      <c r="BK177" s="367"/>
      <c r="BL177" s="367"/>
      <c r="BM177" s="1241"/>
      <c r="BP177" s="367"/>
      <c r="BQ177" s="367"/>
      <c r="BR177" s="367"/>
      <c r="BS177" s="1241"/>
      <c r="BV177" s="367"/>
      <c r="BW177" s="367"/>
      <c r="BX177" s="367"/>
      <c r="BY177" s="1241"/>
      <c r="CA177" s="367"/>
    </row>
    <row r="178" spans="16:79">
      <c r="P178" s="351"/>
      <c r="Q178" s="351"/>
      <c r="R178" s="351"/>
      <c r="T178" s="367"/>
      <c r="U178" s="367"/>
      <c r="V178" s="367"/>
      <c r="W178" s="1241"/>
      <c r="Z178" s="367"/>
      <c r="AA178" s="367"/>
      <c r="AB178" s="367"/>
      <c r="AC178" s="1241"/>
      <c r="AF178" s="367"/>
      <c r="AG178" s="367"/>
      <c r="AH178" s="367"/>
      <c r="AI178" s="1241"/>
      <c r="AL178" s="367"/>
      <c r="AM178" s="367"/>
      <c r="AN178" s="367"/>
      <c r="AO178" s="1241"/>
      <c r="AR178" s="367"/>
      <c r="AS178" s="367"/>
      <c r="AT178" s="367"/>
      <c r="AU178" s="1241"/>
      <c r="AX178" s="367"/>
      <c r="AY178" s="367"/>
      <c r="AZ178" s="367"/>
      <c r="BA178" s="1241"/>
      <c r="BD178" s="367"/>
      <c r="BE178" s="367"/>
      <c r="BF178" s="367"/>
      <c r="BG178" s="1241"/>
      <c r="BJ178" s="367"/>
      <c r="BK178" s="367"/>
      <c r="BL178" s="367"/>
      <c r="BM178" s="1241"/>
      <c r="BP178" s="367"/>
      <c r="BQ178" s="367"/>
      <c r="BR178" s="367"/>
      <c r="BS178" s="1241"/>
      <c r="BV178" s="367"/>
      <c r="BW178" s="367"/>
      <c r="BX178" s="367"/>
      <c r="BY178" s="1241"/>
      <c r="CA178" s="367"/>
    </row>
    <row r="179" spans="16:79">
      <c r="P179" s="351"/>
      <c r="Q179" s="351"/>
      <c r="R179" s="351"/>
      <c r="T179" s="367"/>
      <c r="U179" s="367"/>
      <c r="V179" s="367"/>
      <c r="W179" s="1241"/>
      <c r="Z179" s="367"/>
      <c r="AA179" s="367"/>
      <c r="AB179" s="367"/>
      <c r="AC179" s="1241"/>
      <c r="AF179" s="367"/>
      <c r="AG179" s="367"/>
      <c r="AH179" s="367"/>
      <c r="AI179" s="1241"/>
      <c r="AL179" s="367"/>
      <c r="AM179" s="367"/>
      <c r="AN179" s="367"/>
      <c r="AO179" s="1241"/>
      <c r="AR179" s="367"/>
      <c r="AS179" s="367"/>
      <c r="AT179" s="367"/>
      <c r="AU179" s="1241"/>
      <c r="AX179" s="367"/>
      <c r="AY179" s="367"/>
      <c r="AZ179" s="367"/>
      <c r="BA179" s="1241"/>
      <c r="BD179" s="367"/>
      <c r="BE179" s="367"/>
      <c r="BF179" s="367"/>
      <c r="BG179" s="1241"/>
      <c r="BJ179" s="367"/>
      <c r="BK179" s="367"/>
      <c r="BL179" s="367"/>
      <c r="BM179" s="1241"/>
      <c r="BP179" s="367"/>
      <c r="BQ179" s="367"/>
      <c r="BR179" s="367"/>
      <c r="BS179" s="1241"/>
      <c r="BV179" s="367"/>
      <c r="BW179" s="367"/>
      <c r="BX179" s="367"/>
      <c r="BY179" s="1241"/>
      <c r="CA179" s="367"/>
    </row>
    <row r="180" spans="16:79">
      <c r="P180" s="351"/>
      <c r="Q180" s="351"/>
      <c r="R180" s="351"/>
      <c r="T180" s="367"/>
      <c r="U180" s="367"/>
      <c r="V180" s="367"/>
      <c r="W180" s="1241"/>
      <c r="Z180" s="367"/>
      <c r="AA180" s="367"/>
      <c r="AB180" s="367"/>
      <c r="AC180" s="1241"/>
      <c r="AF180" s="367"/>
      <c r="AG180" s="367"/>
      <c r="AH180" s="367"/>
      <c r="AI180" s="1241"/>
      <c r="AL180" s="367"/>
      <c r="AM180" s="367"/>
      <c r="AN180" s="367"/>
      <c r="AO180" s="1241"/>
      <c r="AR180" s="367"/>
      <c r="AS180" s="367"/>
      <c r="AT180" s="367"/>
      <c r="AU180" s="1241"/>
      <c r="AX180" s="367"/>
      <c r="AY180" s="367"/>
      <c r="AZ180" s="367"/>
      <c r="BA180" s="1241"/>
      <c r="BD180" s="367"/>
      <c r="BE180" s="367"/>
      <c r="BF180" s="367"/>
      <c r="BG180" s="1241"/>
      <c r="BJ180" s="367"/>
      <c r="BK180" s="367"/>
      <c r="BL180" s="367"/>
      <c r="BM180" s="1241"/>
      <c r="BP180" s="367"/>
      <c r="BQ180" s="367"/>
      <c r="BR180" s="367"/>
      <c r="BS180" s="1241"/>
      <c r="BV180" s="367"/>
      <c r="BW180" s="367"/>
      <c r="BX180" s="367"/>
      <c r="BY180" s="1241"/>
      <c r="CA180" s="367"/>
    </row>
    <row r="181" spans="16:79">
      <c r="P181" s="351"/>
      <c r="Q181" s="351"/>
      <c r="R181" s="351"/>
      <c r="T181" s="367"/>
      <c r="U181" s="367"/>
      <c r="V181" s="367"/>
      <c r="W181" s="1241"/>
      <c r="Z181" s="367"/>
      <c r="AA181" s="367"/>
      <c r="AB181" s="367"/>
      <c r="AC181" s="1241"/>
      <c r="AF181" s="367"/>
      <c r="AG181" s="367"/>
      <c r="AH181" s="367"/>
      <c r="AI181" s="1241"/>
      <c r="AL181" s="367"/>
      <c r="AM181" s="367"/>
      <c r="AN181" s="367"/>
      <c r="AO181" s="1241"/>
      <c r="AR181" s="367"/>
      <c r="AS181" s="367"/>
      <c r="AT181" s="367"/>
      <c r="AU181" s="1241"/>
      <c r="AX181" s="367"/>
      <c r="AY181" s="367"/>
      <c r="AZ181" s="367"/>
      <c r="BA181" s="1241"/>
      <c r="BD181" s="367"/>
      <c r="BE181" s="367"/>
      <c r="BF181" s="367"/>
      <c r="BG181" s="1241"/>
      <c r="BJ181" s="367"/>
      <c r="BK181" s="367"/>
      <c r="BL181" s="367"/>
      <c r="BM181" s="1241"/>
      <c r="BP181" s="367"/>
      <c r="BQ181" s="367"/>
      <c r="BR181" s="367"/>
      <c r="BS181" s="1241"/>
      <c r="BV181" s="367"/>
      <c r="BW181" s="367"/>
      <c r="BX181" s="367"/>
      <c r="BY181" s="1241"/>
      <c r="CA181" s="367"/>
    </row>
    <row r="182" spans="16:79">
      <c r="P182" s="351"/>
      <c r="Q182" s="351"/>
      <c r="R182" s="351"/>
      <c r="T182" s="367"/>
      <c r="U182" s="367"/>
      <c r="V182" s="367"/>
      <c r="W182" s="1241"/>
      <c r="Z182" s="367"/>
      <c r="AA182" s="367"/>
      <c r="AB182" s="367"/>
      <c r="AC182" s="1241"/>
      <c r="AF182" s="367"/>
      <c r="AG182" s="367"/>
      <c r="AH182" s="367"/>
      <c r="AI182" s="1241"/>
      <c r="AL182" s="367"/>
      <c r="AM182" s="367"/>
      <c r="AN182" s="367"/>
      <c r="AO182" s="1241"/>
      <c r="AR182" s="367"/>
      <c r="AS182" s="367"/>
      <c r="AT182" s="367"/>
      <c r="AU182" s="1241"/>
      <c r="AX182" s="367"/>
      <c r="AY182" s="367"/>
      <c r="AZ182" s="367"/>
      <c r="BA182" s="1241"/>
      <c r="BD182" s="367"/>
      <c r="BE182" s="367"/>
      <c r="BF182" s="367"/>
      <c r="BG182" s="1241"/>
      <c r="BJ182" s="367"/>
      <c r="BK182" s="367"/>
      <c r="BL182" s="367"/>
      <c r="BM182" s="1241"/>
      <c r="BP182" s="367"/>
      <c r="BQ182" s="367"/>
      <c r="BR182" s="367"/>
      <c r="BS182" s="1241"/>
      <c r="BV182" s="367"/>
      <c r="BW182" s="367"/>
      <c r="BX182" s="367"/>
      <c r="BY182" s="1241"/>
      <c r="CA182" s="367"/>
    </row>
    <row r="183" spans="16:79">
      <c r="P183" s="351"/>
      <c r="Q183" s="351"/>
      <c r="R183" s="351"/>
      <c r="T183" s="367"/>
      <c r="U183" s="367"/>
      <c r="V183" s="367"/>
      <c r="W183" s="1241"/>
      <c r="Z183" s="367"/>
      <c r="AA183" s="367"/>
      <c r="AB183" s="367"/>
      <c r="AC183" s="1241"/>
      <c r="AF183" s="367"/>
      <c r="AG183" s="367"/>
      <c r="AH183" s="367"/>
      <c r="AI183" s="1241"/>
      <c r="AL183" s="367"/>
      <c r="AM183" s="367"/>
      <c r="AN183" s="367"/>
      <c r="AO183" s="1241"/>
      <c r="AR183" s="367"/>
      <c r="AS183" s="367"/>
      <c r="AT183" s="367"/>
      <c r="AU183" s="1241"/>
      <c r="AX183" s="367"/>
      <c r="AY183" s="367"/>
      <c r="AZ183" s="367"/>
      <c r="BA183" s="1241"/>
      <c r="BD183" s="367"/>
      <c r="BE183" s="367"/>
      <c r="BF183" s="367"/>
      <c r="BG183" s="1241"/>
      <c r="BJ183" s="367"/>
      <c r="BK183" s="367"/>
      <c r="BL183" s="367"/>
      <c r="BM183" s="1241"/>
      <c r="BP183" s="367"/>
      <c r="BQ183" s="367"/>
      <c r="BR183" s="367"/>
      <c r="BS183" s="1241"/>
      <c r="BV183" s="367"/>
      <c r="BW183" s="367"/>
      <c r="BX183" s="367"/>
      <c r="BY183" s="1241"/>
      <c r="CA183" s="367"/>
    </row>
    <row r="184" spans="16:79">
      <c r="P184" s="351"/>
      <c r="Q184" s="351"/>
      <c r="R184" s="351"/>
      <c r="T184" s="367"/>
      <c r="U184" s="367"/>
      <c r="V184" s="367"/>
      <c r="W184" s="1241"/>
      <c r="Z184" s="367"/>
      <c r="AA184" s="367"/>
      <c r="AB184" s="367"/>
      <c r="AC184" s="1241"/>
      <c r="AF184" s="367"/>
      <c r="AG184" s="367"/>
      <c r="AH184" s="367"/>
      <c r="AI184" s="1241"/>
      <c r="AL184" s="367"/>
      <c r="AM184" s="367"/>
      <c r="AN184" s="367"/>
      <c r="AO184" s="1241"/>
      <c r="AR184" s="367"/>
      <c r="AS184" s="367"/>
      <c r="AT184" s="367"/>
      <c r="AU184" s="1241"/>
      <c r="AX184" s="367"/>
      <c r="AY184" s="367"/>
      <c r="AZ184" s="367"/>
      <c r="BA184" s="1241"/>
      <c r="BD184" s="367"/>
      <c r="BE184" s="367"/>
      <c r="BF184" s="367"/>
      <c r="BG184" s="1241"/>
      <c r="BJ184" s="367"/>
      <c r="BK184" s="367"/>
      <c r="BL184" s="367"/>
      <c r="BM184" s="1241"/>
      <c r="BP184" s="367"/>
      <c r="BQ184" s="367"/>
      <c r="BR184" s="367"/>
      <c r="BS184" s="1241"/>
      <c r="BV184" s="367"/>
      <c r="BW184" s="367"/>
      <c r="BX184" s="367"/>
      <c r="BY184" s="1241"/>
      <c r="CA184" s="367"/>
    </row>
    <row r="185" spans="16:79">
      <c r="P185" s="351"/>
      <c r="Q185" s="351"/>
      <c r="R185" s="351"/>
      <c r="T185" s="367"/>
      <c r="U185" s="367"/>
      <c r="V185" s="367"/>
      <c r="W185" s="1241"/>
      <c r="Z185" s="367"/>
      <c r="AA185" s="367"/>
      <c r="AB185" s="367"/>
      <c r="AC185" s="1241"/>
      <c r="AF185" s="367"/>
      <c r="AG185" s="367"/>
      <c r="AH185" s="367"/>
      <c r="AI185" s="1241"/>
      <c r="AL185" s="367"/>
      <c r="AM185" s="367"/>
      <c r="AN185" s="367"/>
      <c r="AO185" s="1241"/>
      <c r="AR185" s="367"/>
      <c r="AS185" s="367"/>
      <c r="AT185" s="367"/>
      <c r="AU185" s="1241"/>
      <c r="AX185" s="367"/>
      <c r="AY185" s="367"/>
      <c r="AZ185" s="367"/>
      <c r="BA185" s="1241"/>
      <c r="BD185" s="367"/>
      <c r="BE185" s="367"/>
      <c r="BF185" s="367"/>
      <c r="BG185" s="1241"/>
      <c r="BJ185" s="367"/>
      <c r="BK185" s="367"/>
      <c r="BL185" s="367"/>
      <c r="BM185" s="1241"/>
      <c r="BP185" s="367"/>
      <c r="BQ185" s="367"/>
      <c r="BR185" s="367"/>
      <c r="BS185" s="1241"/>
      <c r="BV185" s="367"/>
      <c r="BW185" s="367"/>
      <c r="BX185" s="367"/>
      <c r="BY185" s="1241"/>
      <c r="CA185" s="367"/>
    </row>
    <row r="186" spans="16:79">
      <c r="P186" s="351"/>
      <c r="Q186" s="351"/>
      <c r="R186" s="351"/>
      <c r="T186" s="367"/>
      <c r="U186" s="367"/>
      <c r="V186" s="367"/>
      <c r="W186" s="1241"/>
      <c r="Z186" s="367"/>
      <c r="AA186" s="367"/>
      <c r="AB186" s="367"/>
      <c r="AC186" s="1241"/>
      <c r="AF186" s="367"/>
      <c r="AG186" s="367"/>
      <c r="AH186" s="367"/>
      <c r="AI186" s="1241"/>
      <c r="AL186" s="367"/>
      <c r="AM186" s="367"/>
      <c r="AN186" s="367"/>
      <c r="AO186" s="1241"/>
      <c r="AR186" s="367"/>
      <c r="AS186" s="367"/>
      <c r="AT186" s="367"/>
      <c r="AU186" s="1241"/>
      <c r="AX186" s="367"/>
      <c r="AY186" s="367"/>
      <c r="AZ186" s="367"/>
      <c r="BA186" s="1241"/>
      <c r="BD186" s="367"/>
      <c r="BE186" s="367"/>
      <c r="BF186" s="367"/>
      <c r="BG186" s="1241"/>
      <c r="BJ186" s="367"/>
      <c r="BK186" s="367"/>
      <c r="BL186" s="367"/>
      <c r="BM186" s="1241"/>
      <c r="BP186" s="367"/>
      <c r="BQ186" s="367"/>
      <c r="BR186" s="367"/>
      <c r="BS186" s="1241"/>
      <c r="BV186" s="367"/>
      <c r="BW186" s="367"/>
      <c r="BX186" s="367"/>
      <c r="BY186" s="1241"/>
      <c r="CA186" s="367"/>
    </row>
    <row r="187" spans="16:79">
      <c r="P187" s="351"/>
      <c r="Q187" s="351"/>
      <c r="R187" s="351"/>
      <c r="T187" s="367"/>
      <c r="U187" s="367"/>
      <c r="V187" s="367"/>
      <c r="W187" s="1241"/>
      <c r="Z187" s="367"/>
      <c r="AA187" s="367"/>
      <c r="AB187" s="367"/>
      <c r="AC187" s="1241"/>
      <c r="AF187" s="367"/>
      <c r="AG187" s="367"/>
      <c r="AH187" s="367"/>
      <c r="AI187" s="1241"/>
      <c r="AL187" s="367"/>
      <c r="AM187" s="367"/>
      <c r="AN187" s="367"/>
      <c r="AO187" s="1241"/>
      <c r="AR187" s="367"/>
      <c r="AS187" s="367"/>
      <c r="AT187" s="367"/>
      <c r="AU187" s="1241"/>
      <c r="AX187" s="367"/>
      <c r="AY187" s="367"/>
      <c r="AZ187" s="367"/>
      <c r="BA187" s="1241"/>
      <c r="BD187" s="367"/>
      <c r="BE187" s="367"/>
      <c r="BF187" s="367"/>
      <c r="BG187" s="1241"/>
      <c r="BJ187" s="367"/>
      <c r="BK187" s="367"/>
      <c r="BL187" s="367"/>
      <c r="BM187" s="1241"/>
      <c r="BP187" s="367"/>
      <c r="BQ187" s="367"/>
      <c r="BR187" s="367"/>
      <c r="BS187" s="1241"/>
      <c r="BV187" s="367"/>
      <c r="BW187" s="367"/>
      <c r="BX187" s="367"/>
      <c r="BY187" s="1241"/>
      <c r="CA187" s="367"/>
    </row>
    <row r="188" spans="16:79">
      <c r="P188" s="351"/>
      <c r="Q188" s="351"/>
      <c r="R188" s="351"/>
      <c r="T188" s="367"/>
      <c r="U188" s="367"/>
      <c r="V188" s="367"/>
      <c r="W188" s="1241"/>
      <c r="Z188" s="367"/>
      <c r="AA188" s="367"/>
      <c r="AB188" s="367"/>
      <c r="AC188" s="1241"/>
      <c r="AF188" s="367"/>
      <c r="AG188" s="367"/>
      <c r="AH188" s="367"/>
      <c r="AI188" s="1241"/>
      <c r="AL188" s="367"/>
      <c r="AM188" s="367"/>
      <c r="AN188" s="367"/>
      <c r="AO188" s="1241"/>
      <c r="AR188" s="367"/>
      <c r="AS188" s="367"/>
      <c r="AT188" s="367"/>
      <c r="AU188" s="1241"/>
      <c r="AX188" s="367"/>
      <c r="AY188" s="367"/>
      <c r="AZ188" s="367"/>
      <c r="BA188" s="1241"/>
      <c r="BD188" s="367"/>
      <c r="BE188" s="367"/>
      <c r="BF188" s="367"/>
      <c r="BG188" s="1241"/>
      <c r="BJ188" s="367"/>
      <c r="BK188" s="367"/>
      <c r="BL188" s="367"/>
      <c r="BM188" s="1241"/>
      <c r="BP188" s="367"/>
      <c r="BQ188" s="367"/>
      <c r="BR188" s="367"/>
      <c r="BS188" s="1241"/>
      <c r="BV188" s="367"/>
      <c r="BW188" s="367"/>
      <c r="BX188" s="367"/>
      <c r="BY188" s="1241"/>
      <c r="CA188" s="367"/>
    </row>
    <row r="189" spans="16:79">
      <c r="P189" s="351"/>
      <c r="Q189" s="351"/>
      <c r="R189" s="351"/>
      <c r="T189" s="367"/>
      <c r="U189" s="367"/>
      <c r="V189" s="367"/>
      <c r="W189" s="1241"/>
      <c r="Z189" s="367"/>
      <c r="AA189" s="367"/>
      <c r="AB189" s="367"/>
      <c r="AC189" s="1241"/>
      <c r="AF189" s="367"/>
      <c r="AG189" s="367"/>
      <c r="AH189" s="367"/>
      <c r="AI189" s="1241"/>
      <c r="AL189" s="367"/>
      <c r="AM189" s="367"/>
      <c r="AN189" s="367"/>
      <c r="AO189" s="1241"/>
      <c r="AR189" s="367"/>
      <c r="AS189" s="367"/>
      <c r="AT189" s="367"/>
      <c r="AU189" s="1241"/>
      <c r="AX189" s="367"/>
      <c r="AY189" s="367"/>
      <c r="AZ189" s="367"/>
      <c r="BA189" s="1241"/>
      <c r="BD189" s="367"/>
      <c r="BE189" s="367"/>
      <c r="BF189" s="367"/>
      <c r="BG189" s="1241"/>
      <c r="BJ189" s="367"/>
      <c r="BK189" s="367"/>
      <c r="BL189" s="367"/>
      <c r="BM189" s="1241"/>
      <c r="BP189" s="367"/>
      <c r="BQ189" s="367"/>
      <c r="BR189" s="367"/>
      <c r="BS189" s="1241"/>
      <c r="BV189" s="367"/>
      <c r="BW189" s="367"/>
      <c r="BX189" s="367"/>
      <c r="BY189" s="1241"/>
      <c r="CA189" s="367"/>
    </row>
    <row r="190" spans="16:79">
      <c r="P190" s="351"/>
      <c r="Q190" s="351"/>
      <c r="R190" s="351"/>
      <c r="T190" s="367"/>
      <c r="U190" s="367"/>
      <c r="V190" s="367"/>
      <c r="W190" s="1241"/>
      <c r="Z190" s="367"/>
      <c r="AA190" s="367"/>
      <c r="AB190" s="367"/>
      <c r="AC190" s="1241"/>
      <c r="AF190" s="367"/>
      <c r="AG190" s="367"/>
      <c r="AH190" s="367"/>
      <c r="AI190" s="1241"/>
      <c r="AL190" s="367"/>
      <c r="AM190" s="367"/>
      <c r="AN190" s="367"/>
      <c r="AO190" s="1241"/>
      <c r="AR190" s="367"/>
      <c r="AS190" s="367"/>
      <c r="AT190" s="367"/>
      <c r="AU190" s="1241"/>
      <c r="AX190" s="367"/>
      <c r="AY190" s="367"/>
      <c r="AZ190" s="367"/>
      <c r="BA190" s="1241"/>
      <c r="BD190" s="367"/>
      <c r="BE190" s="367"/>
      <c r="BF190" s="367"/>
      <c r="BG190" s="1241"/>
      <c r="BJ190" s="367"/>
      <c r="BK190" s="367"/>
      <c r="BL190" s="367"/>
      <c r="BM190" s="1241"/>
      <c r="BP190" s="367"/>
      <c r="BQ190" s="367"/>
      <c r="BR190" s="367"/>
      <c r="BS190" s="1241"/>
      <c r="BV190" s="367"/>
      <c r="BW190" s="367"/>
      <c r="BX190" s="367"/>
      <c r="BY190" s="1241"/>
      <c r="CA190" s="367"/>
    </row>
    <row r="191" spans="16:79">
      <c r="P191" s="351"/>
      <c r="Q191" s="351"/>
      <c r="R191" s="351"/>
      <c r="T191" s="367"/>
      <c r="U191" s="367"/>
      <c r="V191" s="367"/>
      <c r="W191" s="1241"/>
      <c r="Z191" s="367"/>
      <c r="AA191" s="367"/>
      <c r="AB191" s="367"/>
      <c r="AC191" s="1241"/>
      <c r="AF191" s="367"/>
      <c r="AG191" s="367"/>
      <c r="AH191" s="367"/>
      <c r="AI191" s="1241"/>
      <c r="AL191" s="367"/>
      <c r="AM191" s="367"/>
      <c r="AN191" s="367"/>
      <c r="AO191" s="1241"/>
      <c r="AR191" s="367"/>
      <c r="AS191" s="367"/>
      <c r="AT191" s="367"/>
      <c r="AU191" s="1241"/>
      <c r="AX191" s="367"/>
      <c r="AY191" s="367"/>
      <c r="AZ191" s="367"/>
      <c r="BA191" s="1241"/>
      <c r="BD191" s="367"/>
      <c r="BE191" s="367"/>
      <c r="BF191" s="367"/>
      <c r="BG191" s="1241"/>
      <c r="BJ191" s="367"/>
      <c r="BK191" s="367"/>
      <c r="BL191" s="367"/>
      <c r="BM191" s="1241"/>
      <c r="BP191" s="367"/>
      <c r="BQ191" s="367"/>
      <c r="BR191" s="367"/>
      <c r="BS191" s="1241"/>
      <c r="BV191" s="367"/>
      <c r="BW191" s="367"/>
      <c r="BX191" s="367"/>
      <c r="BY191" s="1241"/>
      <c r="CA191" s="367"/>
    </row>
    <row r="192" spans="16:79">
      <c r="P192" s="351"/>
      <c r="Q192" s="351"/>
      <c r="R192" s="351"/>
      <c r="T192" s="367"/>
      <c r="U192" s="367"/>
      <c r="V192" s="367"/>
      <c r="W192" s="1241"/>
      <c r="Z192" s="367"/>
      <c r="AA192" s="367"/>
      <c r="AB192" s="367"/>
      <c r="AC192" s="1241"/>
      <c r="AF192" s="367"/>
      <c r="AG192" s="367"/>
      <c r="AH192" s="367"/>
      <c r="AI192" s="1241"/>
      <c r="AL192" s="367"/>
      <c r="AM192" s="367"/>
      <c r="AN192" s="367"/>
      <c r="AO192" s="1241"/>
      <c r="AR192" s="367"/>
      <c r="AS192" s="367"/>
      <c r="AT192" s="367"/>
      <c r="AU192" s="1241"/>
      <c r="AX192" s="367"/>
      <c r="AY192" s="367"/>
      <c r="AZ192" s="367"/>
      <c r="BA192" s="1241"/>
      <c r="BD192" s="367"/>
      <c r="BE192" s="367"/>
      <c r="BF192" s="367"/>
      <c r="BG192" s="1241"/>
      <c r="BJ192" s="367"/>
      <c r="BK192" s="367"/>
      <c r="BL192" s="367"/>
      <c r="BM192" s="1241"/>
      <c r="BP192" s="367"/>
      <c r="BQ192" s="367"/>
      <c r="BR192" s="367"/>
      <c r="BS192" s="1241"/>
      <c r="BV192" s="367"/>
      <c r="BW192" s="367"/>
      <c r="BX192" s="367"/>
      <c r="BY192" s="1241"/>
      <c r="CA192" s="367"/>
    </row>
    <row r="193" spans="16:79">
      <c r="P193" s="351"/>
      <c r="Q193" s="351"/>
      <c r="R193" s="351"/>
      <c r="T193" s="367"/>
      <c r="U193" s="367"/>
      <c r="V193" s="367"/>
      <c r="W193" s="1241"/>
      <c r="Z193" s="367"/>
      <c r="AA193" s="367"/>
      <c r="AB193" s="367"/>
      <c r="AC193" s="1241"/>
      <c r="AF193" s="367"/>
      <c r="AG193" s="367"/>
      <c r="AH193" s="367"/>
      <c r="AI193" s="1241"/>
      <c r="AL193" s="367"/>
      <c r="AM193" s="367"/>
      <c r="AN193" s="367"/>
      <c r="AO193" s="1241"/>
      <c r="AR193" s="367"/>
      <c r="AS193" s="367"/>
      <c r="AT193" s="367"/>
      <c r="AU193" s="1241"/>
      <c r="AX193" s="367"/>
      <c r="AY193" s="367"/>
      <c r="AZ193" s="367"/>
      <c r="BA193" s="1241"/>
      <c r="BD193" s="367"/>
      <c r="BE193" s="367"/>
      <c r="BF193" s="367"/>
      <c r="BG193" s="1241"/>
      <c r="BJ193" s="367"/>
      <c r="BK193" s="367"/>
      <c r="BL193" s="367"/>
      <c r="BM193" s="1241"/>
      <c r="BP193" s="367"/>
      <c r="BQ193" s="367"/>
      <c r="BR193" s="367"/>
      <c r="BS193" s="1241"/>
      <c r="BV193" s="367"/>
      <c r="BW193" s="367"/>
      <c r="BX193" s="367"/>
      <c r="BY193" s="1241"/>
      <c r="CA193" s="367"/>
    </row>
    <row r="194" spans="16:79">
      <c r="P194" s="351"/>
      <c r="Q194" s="351"/>
      <c r="R194" s="351"/>
      <c r="T194" s="367"/>
      <c r="U194" s="367"/>
      <c r="V194" s="367"/>
      <c r="W194" s="1241"/>
      <c r="Z194" s="367"/>
      <c r="AA194" s="367"/>
      <c r="AB194" s="367"/>
      <c r="AC194" s="1241"/>
      <c r="AF194" s="367"/>
      <c r="AG194" s="367"/>
      <c r="AH194" s="367"/>
      <c r="AI194" s="1241"/>
      <c r="AL194" s="367"/>
      <c r="AM194" s="367"/>
      <c r="AN194" s="367"/>
      <c r="AO194" s="1241"/>
      <c r="AR194" s="367"/>
      <c r="AS194" s="367"/>
      <c r="AT194" s="367"/>
      <c r="AU194" s="1241"/>
      <c r="AX194" s="367"/>
      <c r="AY194" s="367"/>
      <c r="AZ194" s="367"/>
      <c r="BA194" s="1241"/>
      <c r="BD194" s="367"/>
      <c r="BE194" s="367"/>
      <c r="BF194" s="367"/>
      <c r="BG194" s="1241"/>
      <c r="BJ194" s="367"/>
      <c r="BK194" s="367"/>
      <c r="BL194" s="367"/>
      <c r="BM194" s="1241"/>
      <c r="BP194" s="367"/>
      <c r="BQ194" s="367"/>
      <c r="BR194" s="367"/>
      <c r="BS194" s="1241"/>
      <c r="BV194" s="367"/>
      <c r="BW194" s="367"/>
      <c r="BX194" s="367"/>
      <c r="BY194" s="1241"/>
      <c r="CA194" s="367"/>
    </row>
    <row r="195" spans="16:79">
      <c r="P195" s="351"/>
      <c r="Q195" s="351"/>
      <c r="R195" s="351"/>
      <c r="T195" s="367"/>
      <c r="U195" s="367"/>
      <c r="V195" s="367"/>
      <c r="W195" s="1241"/>
      <c r="Z195" s="367"/>
      <c r="AA195" s="367"/>
      <c r="AB195" s="367"/>
      <c r="AC195" s="1241"/>
      <c r="AF195" s="367"/>
      <c r="AG195" s="367"/>
      <c r="AH195" s="367"/>
      <c r="AI195" s="1241"/>
      <c r="AL195" s="367"/>
      <c r="AM195" s="367"/>
      <c r="AN195" s="367"/>
      <c r="AO195" s="1241"/>
      <c r="AR195" s="367"/>
      <c r="AS195" s="367"/>
      <c r="AT195" s="367"/>
      <c r="AU195" s="1241"/>
      <c r="AX195" s="367"/>
      <c r="AY195" s="367"/>
      <c r="AZ195" s="367"/>
      <c r="BA195" s="1241"/>
      <c r="BD195" s="367"/>
      <c r="BE195" s="367"/>
      <c r="BF195" s="367"/>
      <c r="BG195" s="1241"/>
      <c r="BJ195" s="367"/>
      <c r="BK195" s="367"/>
      <c r="BL195" s="367"/>
      <c r="BM195" s="1241"/>
      <c r="BP195" s="367"/>
      <c r="BQ195" s="367"/>
      <c r="BR195" s="367"/>
      <c r="BS195" s="1241"/>
      <c r="BV195" s="367"/>
      <c r="BW195" s="367"/>
      <c r="BX195" s="367"/>
      <c r="BY195" s="1241"/>
      <c r="CA195" s="367"/>
    </row>
    <row r="196" spans="16:79">
      <c r="P196" s="351"/>
      <c r="Q196" s="351"/>
      <c r="R196" s="351"/>
      <c r="T196" s="367"/>
      <c r="U196" s="367"/>
      <c r="V196" s="367"/>
      <c r="W196" s="1241"/>
      <c r="Z196" s="367"/>
      <c r="AA196" s="367"/>
      <c r="AB196" s="367"/>
      <c r="AC196" s="1241"/>
      <c r="AF196" s="367"/>
      <c r="AG196" s="367"/>
      <c r="AH196" s="367"/>
      <c r="AI196" s="1241"/>
      <c r="AL196" s="367"/>
      <c r="AM196" s="367"/>
      <c r="AN196" s="367"/>
      <c r="AO196" s="1241"/>
      <c r="AR196" s="367"/>
      <c r="AS196" s="367"/>
      <c r="AT196" s="367"/>
      <c r="AU196" s="1241"/>
      <c r="AX196" s="367"/>
      <c r="AY196" s="367"/>
      <c r="AZ196" s="367"/>
      <c r="BA196" s="1241"/>
      <c r="BD196" s="367"/>
      <c r="BE196" s="367"/>
      <c r="BF196" s="367"/>
      <c r="BG196" s="1241"/>
      <c r="BJ196" s="367"/>
      <c r="BK196" s="367"/>
      <c r="BL196" s="367"/>
      <c r="BM196" s="1241"/>
      <c r="BP196" s="367"/>
      <c r="BQ196" s="367"/>
      <c r="BR196" s="367"/>
      <c r="BS196" s="1241"/>
      <c r="BV196" s="367"/>
      <c r="BW196" s="367"/>
      <c r="BX196" s="367"/>
      <c r="BY196" s="1241"/>
      <c r="CA196" s="367"/>
    </row>
    <row r="197" spans="16:79">
      <c r="P197" s="351"/>
      <c r="Q197" s="351"/>
      <c r="R197" s="351"/>
      <c r="T197" s="367"/>
      <c r="U197" s="367"/>
      <c r="V197" s="367"/>
      <c r="W197" s="1241"/>
      <c r="Z197" s="367"/>
      <c r="AA197" s="367"/>
      <c r="AB197" s="367"/>
      <c r="AC197" s="1241"/>
      <c r="AF197" s="367"/>
      <c r="AG197" s="367"/>
      <c r="AH197" s="367"/>
      <c r="AI197" s="1241"/>
      <c r="AL197" s="367"/>
      <c r="AM197" s="367"/>
      <c r="AN197" s="367"/>
      <c r="AO197" s="1241"/>
      <c r="AR197" s="367"/>
      <c r="AS197" s="367"/>
      <c r="AT197" s="367"/>
      <c r="AU197" s="1241"/>
      <c r="AX197" s="367"/>
      <c r="AY197" s="367"/>
      <c r="AZ197" s="367"/>
      <c r="BA197" s="1241"/>
      <c r="BD197" s="367"/>
      <c r="BE197" s="367"/>
      <c r="BF197" s="367"/>
      <c r="BG197" s="1241"/>
      <c r="BJ197" s="367"/>
      <c r="BK197" s="367"/>
      <c r="BL197" s="367"/>
      <c r="BM197" s="1241"/>
      <c r="BP197" s="367"/>
      <c r="BQ197" s="367"/>
      <c r="BR197" s="367"/>
      <c r="BS197" s="1241"/>
      <c r="BV197" s="367"/>
      <c r="BW197" s="367"/>
      <c r="BX197" s="367"/>
      <c r="BY197" s="1241"/>
      <c r="CA197" s="367"/>
    </row>
    <row r="198" spans="16:79">
      <c r="P198" s="351"/>
      <c r="Q198" s="351"/>
      <c r="R198" s="351"/>
      <c r="T198" s="367"/>
      <c r="U198" s="367"/>
      <c r="V198" s="367"/>
      <c r="W198" s="1241"/>
      <c r="Z198" s="367"/>
      <c r="AA198" s="367"/>
      <c r="AB198" s="367"/>
      <c r="AC198" s="1241"/>
      <c r="AF198" s="367"/>
      <c r="AG198" s="367"/>
      <c r="AH198" s="367"/>
      <c r="AI198" s="1241"/>
      <c r="AL198" s="367"/>
      <c r="AM198" s="367"/>
      <c r="AN198" s="367"/>
      <c r="AO198" s="1241"/>
      <c r="AR198" s="367"/>
      <c r="AS198" s="367"/>
      <c r="AT198" s="367"/>
      <c r="AU198" s="1241"/>
      <c r="AX198" s="367"/>
      <c r="AY198" s="367"/>
      <c r="AZ198" s="367"/>
      <c r="BA198" s="1241"/>
      <c r="BD198" s="367"/>
      <c r="BE198" s="367"/>
      <c r="BF198" s="367"/>
      <c r="BG198" s="1241"/>
      <c r="BJ198" s="367"/>
      <c r="BK198" s="367"/>
      <c r="BL198" s="367"/>
      <c r="BM198" s="1241"/>
      <c r="BP198" s="367"/>
      <c r="BQ198" s="367"/>
      <c r="BR198" s="367"/>
      <c r="BS198" s="1241"/>
      <c r="BV198" s="367"/>
      <c r="BW198" s="367"/>
      <c r="BX198" s="367"/>
      <c r="BY198" s="1241"/>
      <c r="CA198" s="367"/>
    </row>
    <row r="199" spans="16:79">
      <c r="P199" s="351"/>
      <c r="Q199" s="351"/>
      <c r="R199" s="351"/>
      <c r="T199" s="367"/>
      <c r="U199" s="367"/>
      <c r="V199" s="367"/>
      <c r="W199" s="1241"/>
      <c r="Z199" s="367"/>
      <c r="AA199" s="367"/>
      <c r="AB199" s="367"/>
      <c r="AC199" s="1241"/>
      <c r="AF199" s="367"/>
      <c r="AG199" s="367"/>
      <c r="AH199" s="367"/>
      <c r="AI199" s="1241"/>
      <c r="AL199" s="367"/>
      <c r="AM199" s="367"/>
      <c r="AN199" s="367"/>
      <c r="AO199" s="1241"/>
      <c r="AR199" s="367"/>
      <c r="AS199" s="367"/>
      <c r="AT199" s="367"/>
      <c r="AU199" s="1241"/>
      <c r="AX199" s="367"/>
      <c r="AY199" s="367"/>
      <c r="AZ199" s="367"/>
      <c r="BA199" s="1241"/>
      <c r="BD199" s="367"/>
      <c r="BE199" s="367"/>
      <c r="BF199" s="367"/>
      <c r="BG199" s="1241"/>
      <c r="BJ199" s="367"/>
      <c r="BK199" s="367"/>
      <c r="BL199" s="367"/>
      <c r="BM199" s="1241"/>
      <c r="BP199" s="367"/>
      <c r="BQ199" s="367"/>
      <c r="BR199" s="367"/>
      <c r="BS199" s="1241"/>
      <c r="BV199" s="367"/>
      <c r="BW199" s="367"/>
      <c r="BX199" s="367"/>
      <c r="BY199" s="1241"/>
      <c r="CA199" s="367"/>
    </row>
    <row r="200" spans="16:79">
      <c r="P200" s="351"/>
      <c r="Q200" s="351"/>
      <c r="R200" s="351"/>
      <c r="T200" s="367"/>
      <c r="U200" s="367"/>
      <c r="V200" s="367"/>
      <c r="W200" s="1241"/>
      <c r="Z200" s="367"/>
      <c r="AA200" s="367"/>
      <c r="AB200" s="367"/>
      <c r="AC200" s="1241"/>
      <c r="AF200" s="367"/>
      <c r="AG200" s="367"/>
      <c r="AH200" s="367"/>
      <c r="AI200" s="1241"/>
      <c r="AL200" s="367"/>
      <c r="AM200" s="367"/>
      <c r="AN200" s="367"/>
      <c r="AO200" s="1241"/>
      <c r="AR200" s="367"/>
      <c r="AS200" s="367"/>
      <c r="AT200" s="367"/>
      <c r="AU200" s="1241"/>
      <c r="AX200" s="367"/>
      <c r="AY200" s="367"/>
      <c r="AZ200" s="367"/>
      <c r="BA200" s="1241"/>
      <c r="BD200" s="367"/>
      <c r="BE200" s="367"/>
      <c r="BF200" s="367"/>
      <c r="BG200" s="1241"/>
      <c r="BJ200" s="367"/>
      <c r="BK200" s="367"/>
      <c r="BL200" s="367"/>
      <c r="BM200" s="1241"/>
      <c r="BP200" s="367"/>
      <c r="BQ200" s="367"/>
      <c r="BR200" s="367"/>
      <c r="BS200" s="1241"/>
      <c r="BV200" s="367"/>
      <c r="BW200" s="367"/>
      <c r="BX200" s="367"/>
      <c r="BY200" s="1241"/>
      <c r="CA200" s="367"/>
    </row>
    <row r="201" spans="16:79">
      <c r="P201" s="351"/>
      <c r="Q201" s="351"/>
      <c r="R201" s="351"/>
      <c r="T201" s="367"/>
      <c r="U201" s="367"/>
      <c r="V201" s="367"/>
      <c r="W201" s="1241"/>
      <c r="Z201" s="367"/>
      <c r="AA201" s="367"/>
      <c r="AB201" s="367"/>
      <c r="AC201" s="1241"/>
      <c r="AF201" s="367"/>
      <c r="AG201" s="367"/>
      <c r="AH201" s="367"/>
      <c r="AI201" s="1241"/>
      <c r="AL201" s="367"/>
      <c r="AM201" s="367"/>
      <c r="AN201" s="367"/>
      <c r="AO201" s="1241"/>
      <c r="AR201" s="367"/>
      <c r="AS201" s="367"/>
      <c r="AT201" s="367"/>
      <c r="AU201" s="1241"/>
      <c r="AX201" s="367"/>
      <c r="AY201" s="367"/>
      <c r="AZ201" s="367"/>
      <c r="BA201" s="1241"/>
      <c r="BD201" s="367"/>
      <c r="BE201" s="367"/>
      <c r="BF201" s="367"/>
      <c r="BG201" s="1241"/>
      <c r="BJ201" s="367"/>
      <c r="BK201" s="367"/>
      <c r="BL201" s="367"/>
      <c r="BM201" s="1241"/>
      <c r="BP201" s="367"/>
      <c r="BQ201" s="367"/>
      <c r="BR201" s="367"/>
      <c r="BS201" s="1241"/>
      <c r="BV201" s="367"/>
      <c r="BW201" s="367"/>
      <c r="BX201" s="367"/>
      <c r="BY201" s="1241"/>
      <c r="CA201" s="367"/>
    </row>
    <row r="202" spans="16:79">
      <c r="P202" s="351"/>
      <c r="Q202" s="351"/>
      <c r="R202" s="351"/>
      <c r="T202" s="367"/>
      <c r="U202" s="367"/>
      <c r="V202" s="367"/>
      <c r="W202" s="1241"/>
      <c r="Z202" s="367"/>
      <c r="AA202" s="367"/>
      <c r="AB202" s="367"/>
      <c r="AC202" s="1241"/>
      <c r="AF202" s="367"/>
      <c r="AG202" s="367"/>
      <c r="AH202" s="367"/>
      <c r="AI202" s="1241"/>
      <c r="AL202" s="367"/>
      <c r="AM202" s="367"/>
      <c r="AN202" s="367"/>
      <c r="AO202" s="1241"/>
      <c r="AR202" s="367"/>
      <c r="AS202" s="367"/>
      <c r="AT202" s="367"/>
      <c r="AU202" s="1241"/>
      <c r="AX202" s="367"/>
      <c r="AY202" s="367"/>
      <c r="AZ202" s="367"/>
      <c r="BA202" s="1241"/>
      <c r="BD202" s="367"/>
      <c r="BE202" s="367"/>
      <c r="BF202" s="367"/>
      <c r="BG202" s="1241"/>
      <c r="BJ202" s="367"/>
      <c r="BK202" s="367"/>
      <c r="BL202" s="367"/>
      <c r="BM202" s="1241"/>
      <c r="BP202" s="367"/>
      <c r="BQ202" s="367"/>
      <c r="BR202" s="367"/>
      <c r="BS202" s="1241"/>
      <c r="BV202" s="367"/>
      <c r="BW202" s="367"/>
      <c r="BX202" s="367"/>
      <c r="BY202" s="1241"/>
      <c r="CA202" s="367"/>
    </row>
    <row r="203" spans="16:79">
      <c r="P203" s="351"/>
      <c r="Q203" s="351"/>
      <c r="R203" s="351"/>
      <c r="T203" s="367"/>
      <c r="U203" s="367"/>
      <c r="V203" s="367"/>
      <c r="W203" s="1241"/>
      <c r="Z203" s="367"/>
      <c r="AA203" s="367"/>
      <c r="AB203" s="367"/>
      <c r="AC203" s="1241"/>
      <c r="AF203" s="367"/>
      <c r="AG203" s="367"/>
      <c r="AH203" s="367"/>
      <c r="AI203" s="1241"/>
      <c r="AL203" s="367"/>
      <c r="AM203" s="367"/>
      <c r="AN203" s="367"/>
      <c r="AO203" s="1241"/>
      <c r="AR203" s="367"/>
      <c r="AS203" s="367"/>
      <c r="AT203" s="367"/>
      <c r="AU203" s="1241"/>
      <c r="AX203" s="367"/>
      <c r="AY203" s="367"/>
      <c r="AZ203" s="367"/>
      <c r="BA203" s="1241"/>
      <c r="BD203" s="367"/>
      <c r="BE203" s="367"/>
      <c r="BF203" s="367"/>
      <c r="BG203" s="1241"/>
      <c r="BJ203" s="367"/>
      <c r="BK203" s="367"/>
      <c r="BL203" s="367"/>
      <c r="BM203" s="1241"/>
      <c r="BP203" s="367"/>
      <c r="BQ203" s="367"/>
      <c r="BR203" s="367"/>
      <c r="BS203" s="1241"/>
      <c r="BV203" s="367"/>
      <c r="BW203" s="367"/>
      <c r="BX203" s="367"/>
      <c r="BY203" s="1241"/>
      <c r="CA203" s="367"/>
    </row>
    <row r="204" spans="16:79">
      <c r="P204" s="351"/>
      <c r="Q204" s="351"/>
      <c r="R204" s="351"/>
      <c r="T204" s="367"/>
      <c r="U204" s="367"/>
      <c r="V204" s="367"/>
      <c r="W204" s="1241"/>
      <c r="Z204" s="367"/>
      <c r="AA204" s="367"/>
      <c r="AB204" s="367"/>
      <c r="AC204" s="1241"/>
      <c r="AF204" s="367"/>
      <c r="AG204" s="367"/>
      <c r="AH204" s="367"/>
      <c r="AI204" s="1241"/>
      <c r="AL204" s="367"/>
      <c r="AM204" s="367"/>
      <c r="AN204" s="367"/>
      <c r="AO204" s="1241"/>
      <c r="AR204" s="367"/>
      <c r="AS204" s="367"/>
      <c r="AT204" s="367"/>
      <c r="AU204" s="1241"/>
      <c r="AX204" s="367"/>
      <c r="AY204" s="367"/>
      <c r="AZ204" s="367"/>
      <c r="BA204" s="1241"/>
      <c r="BD204" s="367"/>
      <c r="BE204" s="367"/>
      <c r="BF204" s="367"/>
      <c r="BG204" s="1241"/>
      <c r="BJ204" s="367"/>
      <c r="BK204" s="367"/>
      <c r="BL204" s="367"/>
      <c r="BM204" s="1241"/>
      <c r="BP204" s="367"/>
      <c r="BQ204" s="367"/>
      <c r="BR204" s="367"/>
      <c r="BS204" s="1241"/>
      <c r="BV204" s="367"/>
      <c r="BW204" s="367"/>
      <c r="BX204" s="367"/>
      <c r="BY204" s="1241"/>
      <c r="CA204" s="367"/>
    </row>
    <row r="205" spans="16:79">
      <c r="P205" s="351"/>
      <c r="Q205" s="351"/>
      <c r="R205" s="351"/>
      <c r="T205" s="367"/>
      <c r="U205" s="367"/>
      <c r="V205" s="367"/>
      <c r="W205" s="1241"/>
      <c r="Z205" s="367"/>
      <c r="AA205" s="367"/>
      <c r="AB205" s="367"/>
      <c r="AC205" s="1241"/>
      <c r="AF205" s="367"/>
      <c r="AG205" s="367"/>
      <c r="AH205" s="367"/>
      <c r="AI205" s="1241"/>
      <c r="AL205" s="367"/>
      <c r="AM205" s="367"/>
      <c r="AN205" s="367"/>
      <c r="AO205" s="1241"/>
      <c r="AR205" s="367"/>
      <c r="AS205" s="367"/>
      <c r="AT205" s="367"/>
      <c r="AU205" s="1241"/>
      <c r="AX205" s="367"/>
      <c r="AY205" s="367"/>
      <c r="AZ205" s="367"/>
      <c r="BA205" s="1241"/>
      <c r="BD205" s="367"/>
      <c r="BE205" s="367"/>
      <c r="BF205" s="367"/>
      <c r="BG205" s="1241"/>
      <c r="BJ205" s="367"/>
      <c r="BK205" s="367"/>
      <c r="BL205" s="367"/>
      <c r="BM205" s="1241"/>
      <c r="BP205" s="367"/>
      <c r="BQ205" s="367"/>
      <c r="BR205" s="367"/>
      <c r="BS205" s="1241"/>
      <c r="BV205" s="367"/>
      <c r="BW205" s="367"/>
      <c r="BX205" s="367"/>
      <c r="BY205" s="1241"/>
      <c r="CA205" s="367"/>
    </row>
  </sheetData>
  <dataConsolidate/>
  <mergeCells count="174">
    <mergeCell ref="N38:N40"/>
    <mergeCell ref="K16:K18"/>
    <mergeCell ref="M16:M18"/>
    <mergeCell ref="I16:I18"/>
    <mergeCell ref="K25:K28"/>
    <mergeCell ref="M25:M28"/>
    <mergeCell ref="O38:O40"/>
    <mergeCell ref="T2:X2"/>
    <mergeCell ref="K31:K32"/>
    <mergeCell ref="M31:M32"/>
    <mergeCell ref="K29:K30"/>
    <mergeCell ref="M29:M30"/>
    <mergeCell ref="K34:K35"/>
    <mergeCell ref="M34:M35"/>
    <mergeCell ref="O16:O18"/>
    <mergeCell ref="P16:P18"/>
    <mergeCell ref="Q16:Q18"/>
    <mergeCell ref="R16:R18"/>
    <mergeCell ref="W16:W18"/>
    <mergeCell ref="Z2:AD2"/>
    <mergeCell ref="AF2:AJ2"/>
    <mergeCell ref="AL2:AP2"/>
    <mergeCell ref="AR2:AV2"/>
    <mergeCell ref="AX2:BB2"/>
    <mergeCell ref="BD2:BH2"/>
    <mergeCell ref="BJ2:BN2"/>
    <mergeCell ref="K38:K40"/>
    <mergeCell ref="A4:A6"/>
    <mergeCell ref="B4:B6"/>
    <mergeCell ref="J2:O2"/>
    <mergeCell ref="A29:A30"/>
    <mergeCell ref="B29:B30"/>
    <mergeCell ref="H29:H30"/>
    <mergeCell ref="I29:I30"/>
    <mergeCell ref="U29:U30"/>
    <mergeCell ref="W29:W30"/>
    <mergeCell ref="AO25:AO28"/>
    <mergeCell ref="AS25:AS28"/>
    <mergeCell ref="AU25:AU28"/>
    <mergeCell ref="H25:H28"/>
    <mergeCell ref="I25:I28"/>
    <mergeCell ref="U25:U28"/>
    <mergeCell ref="W25:W28"/>
    <mergeCell ref="BP2:BT2"/>
    <mergeCell ref="BV2:BZ2"/>
    <mergeCell ref="A19:A21"/>
    <mergeCell ref="B19:B21"/>
    <mergeCell ref="A22:A24"/>
    <mergeCell ref="B22:B24"/>
    <mergeCell ref="A25:A28"/>
    <mergeCell ref="B25:B28"/>
    <mergeCell ref="A7:A10"/>
    <mergeCell ref="B7:B10"/>
    <mergeCell ref="A13:A15"/>
    <mergeCell ref="B13:B15"/>
    <mergeCell ref="A16:A18"/>
    <mergeCell ref="B16:B18"/>
    <mergeCell ref="BY25:BY28"/>
    <mergeCell ref="AY25:AY28"/>
    <mergeCell ref="BA25:BA28"/>
    <mergeCell ref="BE25:BE28"/>
    <mergeCell ref="BG25:BG28"/>
    <mergeCell ref="BK25:BK28"/>
    <mergeCell ref="BM25:BM28"/>
    <mergeCell ref="AG25:AG28"/>
    <mergeCell ref="AI25:AI28"/>
    <mergeCell ref="AM25:AM28"/>
    <mergeCell ref="AA25:AA28"/>
    <mergeCell ref="AA29:AA30"/>
    <mergeCell ref="AC29:AC30"/>
    <mergeCell ref="AG29:AG30"/>
    <mergeCell ref="AI29:AI30"/>
    <mergeCell ref="AM29:AM30"/>
    <mergeCell ref="AO29:AO30"/>
    <mergeCell ref="BQ25:BQ28"/>
    <mergeCell ref="BS25:BS28"/>
    <mergeCell ref="BW25:BW28"/>
    <mergeCell ref="AC25:AC28"/>
    <mergeCell ref="BK29:BK30"/>
    <mergeCell ref="BM29:BM30"/>
    <mergeCell ref="BQ29:BQ30"/>
    <mergeCell ref="BS29:BS30"/>
    <mergeCell ref="BW29:BW30"/>
    <mergeCell ref="BY29:BY30"/>
    <mergeCell ref="AS29:AS30"/>
    <mergeCell ref="AU29:AU30"/>
    <mergeCell ref="AY29:AY30"/>
    <mergeCell ref="BA29:BA30"/>
    <mergeCell ref="BE29:BE30"/>
    <mergeCell ref="BG29:BG30"/>
    <mergeCell ref="BS31:BS32"/>
    <mergeCell ref="BW31:BW32"/>
    <mergeCell ref="BY31:BY32"/>
    <mergeCell ref="AS31:AS32"/>
    <mergeCell ref="AU31:AU32"/>
    <mergeCell ref="AY31:AY32"/>
    <mergeCell ref="BA31:BA32"/>
    <mergeCell ref="BE31:BE32"/>
    <mergeCell ref="BG31:BG32"/>
    <mergeCell ref="BK31:BK32"/>
    <mergeCell ref="BM31:BM32"/>
    <mergeCell ref="BQ31:BQ32"/>
    <mergeCell ref="A31:A32"/>
    <mergeCell ref="B31:B32"/>
    <mergeCell ref="H31:H32"/>
    <mergeCell ref="I31:I32"/>
    <mergeCell ref="U31:U32"/>
    <mergeCell ref="W31:W32"/>
    <mergeCell ref="AU34:AU35"/>
    <mergeCell ref="AY34:AY35"/>
    <mergeCell ref="BA34:BA35"/>
    <mergeCell ref="AA31:AA32"/>
    <mergeCell ref="AC31:AC32"/>
    <mergeCell ref="AG31:AG32"/>
    <mergeCell ref="AI31:AI32"/>
    <mergeCell ref="AM31:AM32"/>
    <mergeCell ref="AO31:AO32"/>
    <mergeCell ref="BY38:BY40"/>
    <mergeCell ref="AY38:AY40"/>
    <mergeCell ref="BA38:BA40"/>
    <mergeCell ref="BE34:BE35"/>
    <mergeCell ref="W34:W35"/>
    <mergeCell ref="AA34:AA35"/>
    <mergeCell ref="AC34:AC35"/>
    <mergeCell ref="AG34:AG35"/>
    <mergeCell ref="AI34:AI35"/>
    <mergeCell ref="AM34:AM35"/>
    <mergeCell ref="AG38:AG40"/>
    <mergeCell ref="AI38:AI40"/>
    <mergeCell ref="AM38:AM40"/>
    <mergeCell ref="AO38:AO40"/>
    <mergeCell ref="AS38:AS40"/>
    <mergeCell ref="AU38:AU40"/>
    <mergeCell ref="BE38:BE40"/>
    <mergeCell ref="BG38:BG40"/>
    <mergeCell ref="BK38:BK40"/>
    <mergeCell ref="BM38:BM40"/>
    <mergeCell ref="BY34:BY35"/>
    <mergeCell ref="BG34:BG35"/>
    <mergeCell ref="BK34:BK35"/>
    <mergeCell ref="BM34:BM35"/>
    <mergeCell ref="BQ34:BQ35"/>
    <mergeCell ref="BS34:BS35"/>
    <mergeCell ref="BW34:BW35"/>
    <mergeCell ref="AO34:AO35"/>
    <mergeCell ref="AS34:AS35"/>
    <mergeCell ref="BQ38:BQ40"/>
    <mergeCell ref="BS38:BS40"/>
    <mergeCell ref="BW38:BW40"/>
    <mergeCell ref="A38:A40"/>
    <mergeCell ref="B38:B40"/>
    <mergeCell ref="H38:H40"/>
    <mergeCell ref="G38:G40"/>
    <mergeCell ref="I38:I40"/>
    <mergeCell ref="U38:U40"/>
    <mergeCell ref="W38:W40"/>
    <mergeCell ref="AA38:AA40"/>
    <mergeCell ref="AC38:AC40"/>
    <mergeCell ref="A34:A35"/>
    <mergeCell ref="B34:B35"/>
    <mergeCell ref="H34:H35"/>
    <mergeCell ref="G34:G35"/>
    <mergeCell ref="I34:I35"/>
    <mergeCell ref="U34:U35"/>
    <mergeCell ref="M38:M40"/>
    <mergeCell ref="AC16:AC18"/>
    <mergeCell ref="AI16:AI18"/>
    <mergeCell ref="AO16:AO18"/>
    <mergeCell ref="AU16:AU18"/>
    <mergeCell ref="BA16:BA18"/>
    <mergeCell ref="BG16:BG18"/>
    <mergeCell ref="BM16:BM18"/>
    <mergeCell ref="BS16:BS18"/>
    <mergeCell ref="BY16:BY18"/>
  </mergeCells>
  <phoneticPr fontId="3" type="noConversion"/>
  <conditionalFormatting sqref="X4:X40 AD4:AD40 BZ4:BZ40 AJ4:AJ40 AP4:AP40 AV4:AV40 BB4:BB40 BH4:BH40 BN4:BN40 BT4:BT40">
    <cfRule type="cellIs" dxfId="196" priority="128" operator="lessThan">
      <formula>-0.3</formula>
    </cfRule>
    <cfRule type="cellIs" dxfId="195" priority="129" operator="greaterThan">
      <formula>0.3</formula>
    </cfRule>
  </conditionalFormatting>
  <conditionalFormatting sqref="U4 AA4 AG4 AM4 AS4 AY4 BE4 BK4 BQ4 BW4 W4 AC4 AI4 AO4 AU4 BA4 BG4 BM4 BS4 BY4">
    <cfRule type="cellIs" dxfId="194" priority="127" operator="notEqual">
      <formula>$I$4</formula>
    </cfRule>
  </conditionalFormatting>
  <conditionalFormatting sqref="U7 AA7 AG7 AM7 AS7 AY7 BE7 BK7 BQ7 BW7 W7 AC7 AI7 AO7 AU7 BA7 BG7 BM7 BS7 BY7">
    <cfRule type="cellIs" dxfId="193" priority="126" operator="notEqual">
      <formula>$I$7</formula>
    </cfRule>
  </conditionalFormatting>
  <conditionalFormatting sqref="U11 AA11 AG11 AM11 AS11 AY11 BE11 BK11 BQ11 BW11 W11 AC11 AI11 AO11 AU11 BA11 BG11 BM11 BS11 BY11">
    <cfRule type="cellIs" dxfId="192" priority="125" operator="notEqual">
      <formula>$I$11</formula>
    </cfRule>
  </conditionalFormatting>
  <conditionalFormatting sqref="U13 AA13 AG13 AM13 AS13 AY13 BE13 BK13 BQ13 BW13 W13 AC13 AI13 AO13 AU13 BA13 BG13 BM13 BS13 BY13">
    <cfRule type="cellIs" dxfId="191" priority="124" operator="notEqual">
      <formula>$I$13</formula>
    </cfRule>
  </conditionalFormatting>
  <conditionalFormatting sqref="U19 AA19 AG19 AM19 AS19 AY19 BE19 BK19 BQ19 BW19 W19 AC19 AI19 AO19 AU19 BA19 BG19 BM19 BS19 BY19">
    <cfRule type="cellIs" dxfId="190" priority="123" operator="notEqual">
      <formula>$I$19</formula>
    </cfRule>
  </conditionalFormatting>
  <conditionalFormatting sqref="U22 AA22 AG22 AM22 AS22 AY22 BE22 BK22 BQ22 BW22 W22 AC22 AI22 AO22 AU22 BA22 BG22 BM22 BS22 BY22">
    <cfRule type="cellIs" dxfId="189" priority="122" operator="notEqual">
      <formula>$I$22</formula>
    </cfRule>
  </conditionalFormatting>
  <conditionalFormatting sqref="U25:U28 AA25:AA28 AG25:AG28 AM25:AM28 AS25:AS28 AY25:AY28 BE25:BE28 BK25:BK28 BQ25:BQ28 BW25:BW28 W25:W28 AC25:AC28 AI25:AI28 AO25:AO28 AU25:AU28 BA25:BA28 BG25:BG28 BM25:BM28 BS25:BS28 BY25:BY28">
    <cfRule type="cellIs" dxfId="188" priority="121" operator="notEqual">
      <formula>$I$25</formula>
    </cfRule>
  </conditionalFormatting>
  <conditionalFormatting sqref="U29:U30 AA29:AA30 AG29:AG30 AM29:AM30 AS29:AS30 AY29:AY30 BE29:BE30 BK29:BK30 BQ29:BQ30 BW29:BW30 W29:W30 AC29:AC30 AI29:AI30 AO29:AO30 AU29:AU30 BA29:BA30 BG29:BG30 BM29:BM30 BS29:BS30 BY29:BY30">
    <cfRule type="cellIs" dxfId="187" priority="120" operator="notEqual">
      <formula>$I$29</formula>
    </cfRule>
  </conditionalFormatting>
  <conditionalFormatting sqref="U31:U32 AA31:AA32 AG31:AG32 AM31:AM32 AS31:AS32 AY31:AY32 BE31:BE32 BK31:BK32 BQ31:BQ32 BW31:BW32 W31:W32 AC31:AC32 AI31:AI32 AO31:AO32 AU31:AU32 BA31:BA32 BG31:BG32 BM31:BM32 BS31:BS32 BY31:BY32">
    <cfRule type="cellIs" dxfId="186" priority="119" operator="notEqual">
      <formula>$I$31</formula>
    </cfRule>
  </conditionalFormatting>
  <conditionalFormatting sqref="U34:U35 AA34:AA35 AG34:AG35 AM34:AM35 AS34:AS35 AY34:AY35 BE34:BE35 BK34:BK35 BQ34:BQ35 BW34:BW35 W34:W35 AC34:AC35 AI34:AI35 AO34:AO35 AU34:AU35 BA34:BA35 BG34:BG35 BM34:BM35 BS34:BS35 BY34:BY35">
    <cfRule type="cellIs" dxfId="185" priority="118" operator="notEqual">
      <formula>$I$34</formula>
    </cfRule>
  </conditionalFormatting>
  <conditionalFormatting sqref="BZ4:BZ40 X4:X40 AD4:AD40 AJ4:AJ40 AP4:AP40 AV4:AV40 BB4:BB40 BH4:BH40 BN4:BN40 BT4:BT40">
    <cfRule type="cellIs" dxfId="184" priority="116" stopIfTrue="1" operator="lessThanOrEqual">
      <formula>-0.3</formula>
    </cfRule>
    <cfRule type="cellIs" dxfId="183" priority="117" stopIfTrue="1" operator="greaterThanOrEqual">
      <formula>0.3</formula>
    </cfRule>
  </conditionalFormatting>
  <conditionalFormatting sqref="O34:R38 O19:R32 O5:R16">
    <cfRule type="expression" dxfId="182" priority="14">
      <formula>$O5&lt;&gt;0</formula>
    </cfRule>
  </conditionalFormatting>
  <conditionalFormatting sqref="O4:R4">
    <cfRule type="expression" dxfId="181" priority="13">
      <formula>$O4&lt;&gt;0</formula>
    </cfRule>
  </conditionalFormatting>
  <conditionalFormatting sqref="O19:R32 O5:R16">
    <cfRule type="expression" dxfId="180" priority="12">
      <formula>$O5&lt;&gt;0</formula>
    </cfRule>
  </conditionalFormatting>
  <conditionalFormatting sqref="P34:R40 P5:R16 P19:R32">
    <cfRule type="expression" dxfId="179" priority="11">
      <formula>$I5&gt;$M5</formula>
    </cfRule>
  </conditionalFormatting>
  <conditionalFormatting sqref="P4:R4 R34:R40 R5:R16 R19:R32">
    <cfRule type="expression" dxfId="178" priority="9">
      <formula>$I4&gt;$M4</formula>
    </cfRule>
  </conditionalFormatting>
  <conditionalFormatting sqref="Q34:Q40 Q5:Q16 Q19:Q32">
    <cfRule type="expression" dxfId="177" priority="8">
      <formula>$I5&gt;$M5</formula>
    </cfRule>
  </conditionalFormatting>
  <conditionalFormatting sqref="R34:R40 R5:R16 R19:R32">
    <cfRule type="expression" dxfId="176" priority="7">
      <formula>$I5&gt;$M5</formula>
    </cfRule>
  </conditionalFormatting>
  <conditionalFormatting sqref="N4:N40">
    <cfRule type="cellIs" dxfId="175" priority="5" operator="lessThan">
      <formula>0</formula>
    </cfRule>
    <cfRule type="cellIs" dxfId="174" priority="6" operator="greaterThan">
      <formula>0</formula>
    </cfRule>
  </conditionalFormatting>
  <conditionalFormatting sqref="O16">
    <cfRule type="expression" dxfId="173" priority="3">
      <formula>$I16&gt;$M16</formula>
    </cfRule>
  </conditionalFormatting>
  <conditionalFormatting sqref="O7">
    <cfRule type="expression" dxfId="172" priority="2">
      <formula>$I7&gt;$M7</formula>
    </cfRule>
  </conditionalFormatting>
  <conditionalFormatting sqref="O4">
    <cfRule type="expression" dxfId="171" priority="1">
      <formula>$I4&gt;$M4</formula>
    </cfRule>
  </conditionalFormatting>
  <dataValidations disablePrompts="1" count="1">
    <dataValidation type="list" allowBlank="1" showInputMessage="1" showErrorMessage="1" sqref="A36:B37 A12:B12">
      <formula1>#REF!</formula1>
    </dataValidation>
  </dataValidations>
  <hyperlinks>
    <hyperlink ref="D52" location="权重!A1" display="权重!A1"/>
    <hyperlink ref="D53" location="目录!A1" display="目录!A1"/>
  </hyperlinks>
  <pageMargins left="0.7" right="0.7" top="0.75" bottom="0.75" header="0.3" footer="0.3"/>
  <pageSetup paperSize="9" orientation="portrait" horizontalDpi="4294967295" verticalDpi="4294967295"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0"/>
  <sheetViews>
    <sheetView workbookViewId="0">
      <selection activeCell="C22" sqref="C22"/>
    </sheetView>
  </sheetViews>
  <sheetFormatPr defaultRowHeight="13.5"/>
  <cols>
    <col min="1" max="1" width="7.25" bestFit="1" customWidth="1"/>
    <col min="2" max="2" width="27.125" bestFit="1" customWidth="1"/>
    <col min="3" max="3" width="64.875" customWidth="1"/>
  </cols>
  <sheetData>
    <row r="1" spans="1:3" ht="14.25" thickBot="1">
      <c r="A1" s="147" t="s">
        <v>1102</v>
      </c>
      <c r="B1" s="148" t="s">
        <v>1355</v>
      </c>
    </row>
    <row r="2" spans="1:3" ht="14.25" thickBot="1">
      <c r="A2" s="149" t="s">
        <v>1356</v>
      </c>
      <c r="B2" s="150" t="s">
        <v>1357</v>
      </c>
      <c r="C2">
        <v>1</v>
      </c>
    </row>
    <row r="3" spans="1:3" ht="14.25" thickBot="1">
      <c r="A3" s="149" t="s">
        <v>1358</v>
      </c>
      <c r="B3" s="150" t="s">
        <v>1359</v>
      </c>
      <c r="C3">
        <v>13</v>
      </c>
    </row>
    <row r="4" spans="1:3" ht="14.25" thickBot="1">
      <c r="A4" s="186" t="s">
        <v>1360</v>
      </c>
      <c r="B4" s="187" t="s">
        <v>1361</v>
      </c>
      <c r="C4" s="188">
        <v>614</v>
      </c>
    </row>
    <row r="5" spans="1:3" ht="14.25" thickBot="1">
      <c r="A5" s="186" t="s">
        <v>1362</v>
      </c>
      <c r="B5" s="187" t="s">
        <v>1363</v>
      </c>
      <c r="C5" s="188">
        <v>59</v>
      </c>
    </row>
    <row r="6" spans="1:3" ht="14.25" thickBot="1">
      <c r="A6" s="186" t="s">
        <v>1364</v>
      </c>
      <c r="B6" s="187" t="s">
        <v>1365</v>
      </c>
      <c r="C6" s="188">
        <v>0</v>
      </c>
    </row>
    <row r="8" spans="1:3" ht="14.25" thickBot="1"/>
    <row r="9" spans="1:3" ht="14.25" thickBot="1">
      <c r="A9" s="147" t="s">
        <v>1102</v>
      </c>
      <c r="B9" s="148" t="s">
        <v>1366</v>
      </c>
      <c r="C9" s="148" t="s">
        <v>1367</v>
      </c>
    </row>
    <row r="10" spans="1:3" ht="14.25" thickBot="1">
      <c r="A10" s="151" t="s">
        <v>1368</v>
      </c>
      <c r="B10" s="150" t="s">
        <v>1369</v>
      </c>
      <c r="C10" s="150" t="s">
        <v>1370</v>
      </c>
    </row>
    <row r="11" spans="1:3" ht="14.25" thickBot="1">
      <c r="A11" s="151" t="s">
        <v>1371</v>
      </c>
      <c r="B11" s="150" t="s">
        <v>1369</v>
      </c>
      <c r="C11" s="150" t="s">
        <v>1372</v>
      </c>
    </row>
    <row r="12" spans="1:3" ht="14.25" thickBot="1">
      <c r="A12" s="151" t="s">
        <v>1358</v>
      </c>
      <c r="B12" s="150" t="s">
        <v>1369</v>
      </c>
      <c r="C12" s="150" t="s">
        <v>1373</v>
      </c>
    </row>
    <row r="13" spans="1:3" ht="14.25" thickBot="1">
      <c r="A13" s="151" t="s">
        <v>1374</v>
      </c>
      <c r="B13" s="150" t="s">
        <v>1369</v>
      </c>
      <c r="C13" s="150" t="s">
        <v>1375</v>
      </c>
    </row>
    <row r="14" spans="1:3" ht="14.25" thickBot="1">
      <c r="A14" s="151" t="s">
        <v>1364</v>
      </c>
      <c r="B14" s="150" t="s">
        <v>1369</v>
      </c>
      <c r="C14" s="150" t="s">
        <v>1376</v>
      </c>
    </row>
    <row r="15" spans="1:3" ht="14.25" thickBot="1">
      <c r="A15" s="151" t="s">
        <v>1377</v>
      </c>
      <c r="B15" s="150" t="s">
        <v>1378</v>
      </c>
      <c r="C15" s="150" t="s">
        <v>1379</v>
      </c>
    </row>
    <row r="16" spans="1:3" ht="14.25">
      <c r="A16" s="152"/>
    </row>
    <row r="17" spans="1:3">
      <c r="A17" s="1714" t="s">
        <v>1380</v>
      </c>
      <c r="B17" s="1714"/>
      <c r="C17" s="1714"/>
    </row>
    <row r="18" spans="1:3" ht="34.15" customHeight="1">
      <c r="A18" s="1715" t="s">
        <v>1381</v>
      </c>
      <c r="B18" s="1715"/>
      <c r="C18" s="1715"/>
    </row>
    <row r="19" spans="1:3" ht="61.9" customHeight="1">
      <c r="A19" s="1715" t="s">
        <v>1382</v>
      </c>
      <c r="B19" s="1715"/>
      <c r="C19" s="1715"/>
    </row>
    <row r="20" spans="1:3" ht="15.75">
      <c r="A20" s="153"/>
    </row>
  </sheetData>
  <mergeCells count="3">
    <mergeCell ref="A17:C17"/>
    <mergeCell ref="A18:C18"/>
    <mergeCell ref="A19:C19"/>
  </mergeCells>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I13"/>
  <sheetViews>
    <sheetView workbookViewId="0">
      <selection activeCell="G34" sqref="G34"/>
    </sheetView>
  </sheetViews>
  <sheetFormatPr defaultRowHeight="13.5" outlineLevelCol="1"/>
  <cols>
    <col min="1" max="1" width="13.875" bestFit="1" customWidth="1"/>
    <col min="2" max="3" width="9.5" customWidth="1" outlineLevel="1"/>
    <col min="4" max="4" width="8.5" customWidth="1" outlineLevel="1"/>
    <col min="5" max="5" width="9.625" customWidth="1" outlineLevel="1"/>
    <col min="6" max="6" width="10.5" bestFit="1" customWidth="1"/>
    <col min="7" max="7" width="9.5" bestFit="1" customWidth="1"/>
  </cols>
  <sheetData>
    <row r="1" spans="1:9">
      <c r="A1" s="155"/>
      <c r="B1" s="1717" t="s">
        <v>1383</v>
      </c>
      <c r="C1" s="1717"/>
      <c r="D1" s="1716" t="s">
        <v>1384</v>
      </c>
      <c r="E1" s="1716"/>
      <c r="F1" s="172" t="s">
        <v>1404</v>
      </c>
      <c r="G1" s="172" t="s">
        <v>1391</v>
      </c>
    </row>
    <row r="2" spans="1:9">
      <c r="A2" s="155"/>
      <c r="B2" s="159" t="s">
        <v>491</v>
      </c>
      <c r="C2" s="156" t="s">
        <v>1385</v>
      </c>
      <c r="D2" s="157" t="s">
        <v>491</v>
      </c>
      <c r="E2" s="158" t="s">
        <v>1385</v>
      </c>
      <c r="F2" s="160" t="s">
        <v>1386</v>
      </c>
      <c r="G2" s="160" t="s">
        <v>1386</v>
      </c>
    </row>
    <row r="3" spans="1:9">
      <c r="A3" s="155" t="s">
        <v>1079</v>
      </c>
      <c r="B3" s="162" t="e">
        <f>'OR10-资金运用'!#REF!</f>
        <v>#REF!</v>
      </c>
      <c r="C3" s="162" t="e">
        <f>'OR10-资金运用'!#REF!</f>
        <v>#REF!</v>
      </c>
      <c r="D3" s="170"/>
      <c r="E3" s="170"/>
      <c r="F3" s="161" t="e">
        <f t="shared" ref="F3:F13" si="0">SUM(B3,D3)/SUM(C3,E3)*100</f>
        <v>#REF!</v>
      </c>
      <c r="G3" s="161">
        <v>100</v>
      </c>
    </row>
    <row r="4" spans="1:9">
      <c r="A4" s="155" t="s">
        <v>1387</v>
      </c>
      <c r="B4" s="162">
        <f>'OR15-准备金再保险'!Z26</f>
        <v>70.734848484848484</v>
      </c>
      <c r="C4" s="162">
        <f>'OR15-准备金再保险'!Z27</f>
        <v>73.5</v>
      </c>
      <c r="D4" s="170"/>
      <c r="E4" s="170"/>
      <c r="F4" s="161">
        <f t="shared" si="0"/>
        <v>96.237889095031946</v>
      </c>
      <c r="G4" s="161">
        <f>'OR15-准备金再保险'!AC29</f>
        <v>97.10884353741497</v>
      </c>
    </row>
    <row r="5" spans="1:9">
      <c r="A5" s="155" t="s">
        <v>1390</v>
      </c>
      <c r="B5" s="162" t="e">
        <f>'OR10-资金运用'!#REF!+'OR02-销售承保'!#REF!*0.3+信息系统!K140+'OR12-财务管理'!#REF!*0.6</f>
        <v>#REF!</v>
      </c>
      <c r="C5" s="162" t="e">
        <f>'OR10-资金运用'!#REF!+'OR02-销售承保'!#REF!*0.3+信息系统!K141+'OR12-财务管理'!#REF!*0.6</f>
        <v>#REF!</v>
      </c>
      <c r="D5" s="170" t="e">
        <f>'OR04-分公司销售、承保、保全'!#REF!*0.7+'OR08-分公司理赔'!#REF!*0.7+'OR13-分公司财务管理'!#REF!*0.4</f>
        <v>#REF!</v>
      </c>
      <c r="E5" s="170" t="e">
        <f>'OR04-分公司销售、承保、保全'!#REF!*0.7+'OR08-分公司理赔'!#REF!*0.7+'OR13-分公司财务管理'!#REF!*0.4</f>
        <v>#REF!</v>
      </c>
      <c r="F5" s="161" t="e">
        <f t="shared" si="0"/>
        <v>#REF!</v>
      </c>
      <c r="G5" s="161">
        <v>90.464396284829661</v>
      </c>
      <c r="I5" s="46"/>
    </row>
    <row r="6" spans="1:9">
      <c r="A6" s="155" t="s">
        <v>1395</v>
      </c>
      <c r="B6" s="162" t="e">
        <f>'OR12-财务管理'!#REF!*0.6+'OR10-资金运用'!#REF!</f>
        <v>#REF!</v>
      </c>
      <c r="C6" s="162" t="e">
        <f>'OR12-财务管理'!#REF!*0.6+'OR10-资金运用'!#REF!</f>
        <v>#REF!</v>
      </c>
      <c r="D6" s="170" t="e">
        <f>'OR13-分公司财务管理'!#REF!*0.4</f>
        <v>#REF!</v>
      </c>
      <c r="E6" s="170" t="e">
        <f>'OR13-分公司财务管理'!#REF!*0.4</f>
        <v>#REF!</v>
      </c>
      <c r="F6" s="161" t="e">
        <f t="shared" si="0"/>
        <v>#REF!</v>
      </c>
      <c r="G6" s="161">
        <v>91.01045296167247</v>
      </c>
      <c r="H6" s="171"/>
      <c r="I6" s="46"/>
    </row>
    <row r="7" spans="1:9">
      <c r="A7" s="155" t="s">
        <v>1396</v>
      </c>
      <c r="B7" s="162" t="e">
        <f>'OR12-财务管理'!#REF!*0.6</f>
        <v>#REF!</v>
      </c>
      <c r="C7" s="162" t="e">
        <f>'OR12-财务管理'!#REF!*0.6</f>
        <v>#REF!</v>
      </c>
      <c r="D7" s="170" t="e">
        <f>'OR13-分公司财务管理'!#REF!*0.4</f>
        <v>#REF!</v>
      </c>
      <c r="E7" s="170" t="e">
        <f>'OR13-分公司财务管理'!#REF!*0.4</f>
        <v>#REF!</v>
      </c>
      <c r="F7" s="161" t="e">
        <f t="shared" si="0"/>
        <v>#REF!</v>
      </c>
      <c r="G7" s="161">
        <v>94.684287812041106</v>
      </c>
      <c r="H7" s="171"/>
      <c r="I7" s="46"/>
    </row>
    <row r="8" spans="1:9">
      <c r="A8" s="155" t="s">
        <v>1397</v>
      </c>
      <c r="B8" s="162" t="e">
        <f>'OR02-销售承保'!#REF!*0.3+'OR06-理赔保全'!#REF!*0.3</f>
        <v>#REF!</v>
      </c>
      <c r="C8" s="162" t="e">
        <f>'OR02-销售承保'!#REF!*0.3+'OR06-理赔保全'!#REF!*0.3</f>
        <v>#REF!</v>
      </c>
      <c r="D8" s="170" t="e">
        <f>'OR04-分公司销售、承保、保全'!#REF!*0.7+'OR08-分公司理赔'!#REF!*0.7</f>
        <v>#REF!</v>
      </c>
      <c r="E8" s="170" t="e">
        <f>'OR04-分公司销售、承保、保全'!#REF!*0.7+'OR08-分公司理赔'!#REF!*0.7</f>
        <v>#REF!</v>
      </c>
      <c r="F8" s="161" t="e">
        <f t="shared" si="0"/>
        <v>#REF!</v>
      </c>
      <c r="G8" s="161">
        <v>95.43035010751835</v>
      </c>
      <c r="I8" s="46"/>
    </row>
    <row r="9" spans="1:9">
      <c r="A9" s="155" t="s">
        <v>1398</v>
      </c>
      <c r="B9" s="162" t="e">
        <f>'OR02-销售承保'!#REF!*0.3</f>
        <v>#REF!</v>
      </c>
      <c r="C9" s="162" t="e">
        <f>'OR02-销售承保'!#REF!*0.3</f>
        <v>#REF!</v>
      </c>
      <c r="D9" s="170" t="e">
        <f>'OR04-分公司销售、承保、保全'!#REF!*0.7+'OR13-分公司财务管理'!#REF!*0.4</f>
        <v>#REF!</v>
      </c>
      <c r="E9" s="170" t="e">
        <f>'OR04-分公司销售、承保、保全'!#REF!*0.7+'OR13-分公司财务管理'!#REF!*0.4</f>
        <v>#REF!</v>
      </c>
      <c r="F9" s="161" t="e">
        <f t="shared" si="0"/>
        <v>#REF!</v>
      </c>
      <c r="G9" s="161">
        <v>86.250155968065926</v>
      </c>
      <c r="I9" s="46"/>
    </row>
    <row r="10" spans="1:9">
      <c r="A10" s="155" t="s">
        <v>1399</v>
      </c>
      <c r="B10" s="162" t="e">
        <f>'OR02-销售承保'!#REF!*0.3</f>
        <v>#REF!</v>
      </c>
      <c r="C10" s="162" t="e">
        <f>'OR02-销售承保'!#REF!*0.3</f>
        <v>#REF!</v>
      </c>
      <c r="D10" s="170" t="e">
        <f>'OR04-分公司销售、承保、保全'!#REF!*0.7+'OR13-分公司财务管理'!#REF!*0.4</f>
        <v>#REF!</v>
      </c>
      <c r="E10" s="170" t="e">
        <f>'OR04-分公司销售、承保、保全'!#REF!*0.7+'OR13-分公司财务管理'!#REF!*0.4</f>
        <v>#REF!</v>
      </c>
      <c r="F10" s="161" t="e">
        <f t="shared" si="0"/>
        <v>#REF!</v>
      </c>
      <c r="G10" s="161">
        <v>97.499170658563486</v>
      </c>
      <c r="I10" s="46"/>
    </row>
    <row r="11" spans="1:9">
      <c r="A11" s="155" t="s">
        <v>1400</v>
      </c>
      <c r="B11" s="162" t="e">
        <f>'OR02-销售承保'!#REF!*0.3+'OR12-财务管理'!#REF!*0.6</f>
        <v>#REF!</v>
      </c>
      <c r="C11" s="162" t="e">
        <f>'OR02-销售承保'!#REF!*0.3+'OR12-财务管理'!#REF!*0.6</f>
        <v>#REF!</v>
      </c>
      <c r="D11" s="170" t="e">
        <f>'OR04-分公司销售、承保、保全'!#REF!*0.7+'OR13-分公司财务管理'!#REF!*0.4</f>
        <v>#REF!</v>
      </c>
      <c r="E11" s="170" t="e">
        <f>'OR04-分公司销售、承保、保全'!#REF!*0.7+'OR13-分公司财务管理'!#REF!*0.4</f>
        <v>#REF!</v>
      </c>
      <c r="F11" s="161" t="e">
        <f t="shared" si="0"/>
        <v>#REF!</v>
      </c>
      <c r="G11" s="161">
        <v>82.561444413977981</v>
      </c>
      <c r="I11" s="46"/>
    </row>
    <row r="12" spans="1:9">
      <c r="A12" s="155" t="s">
        <v>1401</v>
      </c>
      <c r="B12" s="162" t="e">
        <f>'OR02-销售承保'!#REF!*0.3</f>
        <v>#REF!</v>
      </c>
      <c r="C12" s="162" t="e">
        <f>'OR02-销售承保'!#REF!*0.3</f>
        <v>#REF!</v>
      </c>
      <c r="D12" s="170" t="e">
        <f>'OR04-分公司销售、承保、保全'!#REF!*0.7+'OR13-分公司财务管理'!#REF!*0.4</f>
        <v>#REF!</v>
      </c>
      <c r="E12" s="170" t="e">
        <f>'OR04-分公司销售、承保、保全'!#REF!*0.7+'OR13-分公司财务管理'!#REF!*0.4</f>
        <v>#REF!</v>
      </c>
      <c r="F12" s="161" t="e">
        <f t="shared" si="0"/>
        <v>#REF!</v>
      </c>
      <c r="G12" s="161">
        <v>95.714618716001496</v>
      </c>
      <c r="I12" s="46"/>
    </row>
    <row r="13" spans="1:9">
      <c r="A13" s="155" t="s">
        <v>1402</v>
      </c>
      <c r="B13" s="162" t="e">
        <f>'OR02-销售承保'!#REF!*0.3</f>
        <v>#REF!</v>
      </c>
      <c r="C13" s="162" t="e">
        <f>'OR02-销售承保'!#REF!*0.3</f>
        <v>#REF!</v>
      </c>
      <c r="D13" s="170" t="e">
        <f>'OR04-分公司销售、承保、保全'!#REF!*0.7+'OR13-分公司财务管理'!#REF!*0.4</f>
        <v>#REF!</v>
      </c>
      <c r="E13" s="170" t="e">
        <f>'OR04-分公司销售、承保、保全'!#REF!*0.7+'OR13-分公司财务管理'!#REF!*0.4</f>
        <v>#REF!</v>
      </c>
      <c r="F13" s="161" t="e">
        <f t="shared" si="0"/>
        <v>#REF!</v>
      </c>
      <c r="G13" s="161">
        <v>98.835828523506478</v>
      </c>
      <c r="I13" s="46"/>
    </row>
  </sheetData>
  <mergeCells count="2">
    <mergeCell ref="D1:E1"/>
    <mergeCell ref="B1:C1"/>
  </mergeCells>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CD205"/>
  <sheetViews>
    <sheetView workbookViewId="0">
      <pane xSplit="18" ySplit="3" topLeftCell="S19" activePane="bottomRight" state="frozenSplit"/>
      <selection activeCell="C1" sqref="C1"/>
      <selection pane="topRight" activeCell="V1" sqref="V1"/>
      <selection pane="bottomLeft" activeCell="C10" sqref="C10"/>
      <selection pane="bottomRight" activeCell="AB46" sqref="AB46"/>
    </sheetView>
  </sheetViews>
  <sheetFormatPr defaultColWidth="8.875" defaultRowHeight="16.5" outlineLevelCol="3"/>
  <cols>
    <col min="1" max="1" width="22.125" style="435" hidden="1" customWidth="1" outlineLevel="3"/>
    <col min="2" max="2" width="31.75" style="435" hidden="1" customWidth="1" outlineLevel="2"/>
    <col min="3" max="3" width="5.625" style="358" customWidth="1" collapsed="1"/>
    <col min="4" max="4" width="40.5" style="447" customWidth="1"/>
    <col min="5" max="5" width="17.5" style="435" hidden="1" customWidth="1" outlineLevel="2"/>
    <col min="6" max="6" width="5.5" style="435" hidden="1" customWidth="1" outlineLevel="3"/>
    <col min="7" max="7" width="10.5" style="417" hidden="1" customWidth="1" outlineLevel="3"/>
    <col min="8" max="8" width="10.5" style="435" hidden="1" customWidth="1" outlineLevel="2"/>
    <col min="9" max="9" width="8.625" style="435" customWidth="1" collapsed="1"/>
    <col min="10" max="10" width="13.375" style="621" hidden="1" customWidth="1" outlineLevel="1"/>
    <col min="11" max="11" width="9.25" style="621" hidden="1" customWidth="1" outlineLevel="1"/>
    <col min="12" max="12" width="13.625" style="621" hidden="1" customWidth="1" outlineLevel="1"/>
    <col min="13" max="13" width="9.75" style="621" hidden="1" customWidth="1" outlineLevel="1"/>
    <col min="14" max="14" width="6.75" style="435" hidden="1" customWidth="1" outlineLevel="1"/>
    <col min="15" max="15" width="7" style="435" hidden="1" customWidth="1" outlineLevel="1"/>
    <col min="16" max="16" width="6.375" style="352" hidden="1" customWidth="1" outlineLevel="1"/>
    <col min="17" max="17" width="8" style="352" hidden="1" customWidth="1" outlineLevel="1"/>
    <col min="18" max="18" width="8.125" style="352" customWidth="1" collapsed="1"/>
    <col min="19" max="19" width="4.25" style="435" customWidth="1"/>
    <col min="20" max="20" width="9.75" style="447" hidden="1" customWidth="1" outlineLevel="2"/>
    <col min="21" max="21" width="9" style="447" hidden="1" customWidth="1" outlineLevel="2"/>
    <col min="22" max="22" width="10.25" style="447" customWidth="1" collapsed="1"/>
    <col min="23" max="23" width="9" style="1246" customWidth="1"/>
    <col min="24" max="24" width="11.5" style="1193" bestFit="1" customWidth="1"/>
    <col min="25" max="25" width="4" style="447" customWidth="1"/>
    <col min="26" max="26" width="11.5" style="448" hidden="1" customWidth="1" outlineLevel="1"/>
    <col min="27" max="27" width="9" style="448" hidden="1" customWidth="1" outlineLevel="1"/>
    <col min="28" max="28" width="11.75" style="448" customWidth="1" collapsed="1"/>
    <col min="29" max="29" width="9" style="1254" customWidth="1"/>
    <col min="30" max="30" width="8.875" style="1197" customWidth="1"/>
    <col min="31" max="31" width="4.375" style="448" customWidth="1"/>
    <col min="32" max="32" width="11.5" style="447" hidden="1" customWidth="1" outlineLevel="1"/>
    <col min="33" max="33" width="9" style="447" hidden="1" customWidth="1" outlineLevel="1"/>
    <col min="34" max="34" width="11.5" style="447" customWidth="1" collapsed="1"/>
    <col min="35" max="35" width="8.125" style="1246" customWidth="1"/>
    <col min="36" max="36" width="7.5" style="1193" customWidth="1"/>
    <col min="37" max="37" width="3.875" style="447" customWidth="1"/>
    <col min="38" max="38" width="11.5" style="448" hidden="1" customWidth="1" outlineLevel="1"/>
    <col min="39" max="39" width="9" style="448" hidden="1" customWidth="1" outlineLevel="1"/>
    <col min="40" max="40" width="11.5" style="448" customWidth="1" collapsed="1"/>
    <col min="41" max="41" width="9" style="1254" customWidth="1"/>
    <col min="42" max="42" width="9.25" style="1197" customWidth="1"/>
    <col min="43" max="43" width="3.75" style="448" customWidth="1"/>
    <col min="44" max="44" width="11.5" style="447" hidden="1" customWidth="1" outlineLevel="1"/>
    <col min="45" max="45" width="9" style="447" hidden="1" customWidth="1" outlineLevel="1"/>
    <col min="46" max="46" width="11.5" style="447" customWidth="1" collapsed="1"/>
    <col min="47" max="47" width="9" style="1246" customWidth="1"/>
    <col min="48" max="48" width="9.25" style="1193" customWidth="1"/>
    <col min="49" max="49" width="3.5" style="447" customWidth="1"/>
    <col min="50" max="50" width="11.5" style="448" hidden="1" customWidth="1" outlineLevel="1"/>
    <col min="51" max="51" width="9" style="448" hidden="1" customWidth="1" outlineLevel="1"/>
    <col min="52" max="52" width="9.75" style="448" customWidth="1" collapsed="1"/>
    <col min="53" max="53" width="9" style="1254" customWidth="1"/>
    <col min="54" max="54" width="9.25" style="1197" customWidth="1"/>
    <col min="55" max="55" width="3.375" style="448" customWidth="1"/>
    <col min="56" max="56" width="11.5" style="447" hidden="1" customWidth="1" outlineLevel="1"/>
    <col min="57" max="57" width="9" style="447" hidden="1" customWidth="1" outlineLevel="1"/>
    <col min="58" max="58" width="11.125" style="447" customWidth="1" collapsed="1"/>
    <col min="59" max="59" width="9" style="1246" customWidth="1"/>
    <col min="60" max="60" width="9.25" style="1193" customWidth="1"/>
    <col min="61" max="61" width="3.875" style="447" customWidth="1"/>
    <col min="62" max="62" width="11.5" style="448" hidden="1" customWidth="1" outlineLevel="1"/>
    <col min="63" max="63" width="9" style="448" hidden="1" customWidth="1" outlineLevel="1"/>
    <col min="64" max="64" width="11.125" style="448" customWidth="1" collapsed="1"/>
    <col min="65" max="65" width="9" style="448" customWidth="1"/>
    <col min="66" max="66" width="9.25" style="1197" customWidth="1"/>
    <col min="67" max="67" width="4.125" style="448" customWidth="1"/>
    <col min="68" max="68" width="11.5" style="447" hidden="1" customWidth="1" outlineLevel="1"/>
    <col min="69" max="69" width="9" style="447" hidden="1" customWidth="1" outlineLevel="1"/>
    <col min="70" max="70" width="8.625" style="447" customWidth="1" collapsed="1"/>
    <col min="71" max="71" width="9" style="447" customWidth="1"/>
    <col min="72" max="72" width="9.25" style="1193" customWidth="1"/>
    <col min="73" max="73" width="4" style="447" customWidth="1"/>
    <col min="74" max="74" width="11.5" style="448" hidden="1" customWidth="1" outlineLevel="1"/>
    <col min="75" max="75" width="9" style="448" hidden="1" customWidth="1" outlineLevel="1"/>
    <col min="76" max="76" width="9.625" style="448" customWidth="1" collapsed="1"/>
    <col min="77" max="77" width="9" style="448" customWidth="1"/>
    <col min="78" max="78" width="7.5" style="1197" customWidth="1"/>
    <col min="79" max="79" width="9" style="448" customWidth="1"/>
    <col min="80" max="80" width="8.875" style="447" customWidth="1"/>
    <col min="81" max="16384" width="8.875" style="447"/>
  </cols>
  <sheetData>
    <row r="1" spans="1:78">
      <c r="A1" s="861"/>
      <c r="B1" s="445"/>
      <c r="C1" s="861" t="s">
        <v>1213</v>
      </c>
      <c r="D1" s="446"/>
      <c r="E1" s="445"/>
      <c r="F1" s="445"/>
      <c r="G1" s="445"/>
      <c r="H1" s="445"/>
      <c r="I1" s="445"/>
      <c r="J1" s="445"/>
      <c r="K1" s="445"/>
      <c r="L1" s="364" t="s">
        <v>1637</v>
      </c>
      <c r="M1" s="445"/>
      <c r="N1" s="445"/>
      <c r="O1" s="445"/>
      <c r="P1" s="348"/>
      <c r="Q1" s="348"/>
      <c r="R1" s="348"/>
      <c r="S1" s="445"/>
    </row>
    <row r="2" spans="1:78" ht="14.25">
      <c r="A2" s="445"/>
      <c r="B2" s="445"/>
      <c r="E2" s="445"/>
      <c r="F2" s="445"/>
      <c r="G2" s="445"/>
      <c r="H2" s="445"/>
      <c r="J2" s="1731" t="s">
        <v>1503</v>
      </c>
      <c r="K2" s="1731"/>
      <c r="L2" s="1731"/>
      <c r="M2" s="1731"/>
      <c r="N2" s="1731"/>
      <c r="O2" s="1731"/>
      <c r="P2" s="1731"/>
      <c r="Q2" s="1731"/>
      <c r="R2" s="1731"/>
      <c r="S2" s="450"/>
      <c r="T2" s="1731" t="s">
        <v>1081</v>
      </c>
      <c r="U2" s="1731"/>
      <c r="V2" s="1731"/>
      <c r="W2" s="1731"/>
      <c r="X2" s="1731"/>
      <c r="Y2" s="450"/>
      <c r="Z2" s="1731" t="s">
        <v>1082</v>
      </c>
      <c r="AA2" s="1731"/>
      <c r="AB2" s="1731"/>
      <c r="AC2" s="1731"/>
      <c r="AD2" s="1731"/>
      <c r="AE2" s="450"/>
      <c r="AF2" s="1731" t="s">
        <v>1083</v>
      </c>
      <c r="AG2" s="1731"/>
      <c r="AH2" s="1731"/>
      <c r="AI2" s="1731"/>
      <c r="AJ2" s="1731"/>
      <c r="AK2" s="450"/>
      <c r="AL2" s="1731" t="s">
        <v>1084</v>
      </c>
      <c r="AM2" s="1731"/>
      <c r="AN2" s="1731"/>
      <c r="AO2" s="1731"/>
      <c r="AP2" s="1731"/>
      <c r="AQ2" s="450"/>
      <c r="AR2" s="1731" t="s">
        <v>1085</v>
      </c>
      <c r="AS2" s="1731"/>
      <c r="AT2" s="1731"/>
      <c r="AU2" s="1731"/>
      <c r="AV2" s="1731"/>
      <c r="AW2" s="450"/>
      <c r="AX2" s="1731" t="s">
        <v>1086</v>
      </c>
      <c r="AY2" s="1731"/>
      <c r="AZ2" s="1731"/>
      <c r="BA2" s="1731"/>
      <c r="BB2" s="1731"/>
      <c r="BC2" s="450"/>
      <c r="BD2" s="1731" t="s">
        <v>1087</v>
      </c>
      <c r="BE2" s="1731"/>
      <c r="BF2" s="1731"/>
      <c r="BG2" s="1731"/>
      <c r="BH2" s="1731"/>
      <c r="BI2" s="450"/>
      <c r="BJ2" s="1731" t="s">
        <v>1088</v>
      </c>
      <c r="BK2" s="1731"/>
      <c r="BL2" s="1731"/>
      <c r="BM2" s="1731"/>
      <c r="BN2" s="1731"/>
      <c r="BO2" s="450"/>
      <c r="BP2" s="1731" t="s">
        <v>1089</v>
      </c>
      <c r="BQ2" s="1731"/>
      <c r="BR2" s="1731"/>
      <c r="BS2" s="1731"/>
      <c r="BT2" s="1731"/>
      <c r="BU2" s="450"/>
      <c r="BV2" s="1731" t="s">
        <v>1214</v>
      </c>
      <c r="BW2" s="1731"/>
      <c r="BX2" s="1731"/>
      <c r="BY2" s="1731"/>
      <c r="BZ2" s="1731"/>
    </row>
    <row r="3" spans="1:78" ht="13.5" customHeight="1">
      <c r="A3" s="450" t="s">
        <v>392</v>
      </c>
      <c r="B3" s="450" t="s">
        <v>413</v>
      </c>
      <c r="C3" s="450" t="s">
        <v>183</v>
      </c>
      <c r="D3" s="450" t="s">
        <v>182</v>
      </c>
      <c r="E3" s="450" t="s">
        <v>1467</v>
      </c>
      <c r="F3" s="450" t="s">
        <v>1095</v>
      </c>
      <c r="G3" s="450" t="s">
        <v>391</v>
      </c>
      <c r="H3" s="450" t="s">
        <v>646</v>
      </c>
      <c r="I3" s="1369" t="s">
        <v>485</v>
      </c>
      <c r="J3" s="450" t="s">
        <v>2177</v>
      </c>
      <c r="K3" s="450" t="s">
        <v>2429</v>
      </c>
      <c r="L3" s="451" t="s">
        <v>2428</v>
      </c>
      <c r="M3" s="450" t="s">
        <v>2430</v>
      </c>
      <c r="N3" s="450" t="s">
        <v>1097</v>
      </c>
      <c r="O3" s="450" t="s">
        <v>462</v>
      </c>
      <c r="P3" s="341" t="s">
        <v>1580</v>
      </c>
      <c r="Q3" s="341" t="s">
        <v>1581</v>
      </c>
      <c r="R3" s="341" t="s">
        <v>2381</v>
      </c>
      <c r="S3" s="450"/>
      <c r="T3" s="450" t="str">
        <f>J3</f>
        <v>Q2</v>
      </c>
      <c r="U3" s="450" t="str">
        <f>K3</f>
        <v>Q2得分</v>
      </c>
      <c r="V3" s="451" t="str">
        <f>L3</f>
        <v>Q3</v>
      </c>
      <c r="W3" s="1402" t="str">
        <f>M3</f>
        <v>Q3得分</v>
      </c>
      <c r="X3" s="1403" t="s">
        <v>1096</v>
      </c>
      <c r="Y3" s="450"/>
      <c r="Z3" s="450" t="str">
        <f>T3</f>
        <v>Q2</v>
      </c>
      <c r="AA3" s="450" t="str">
        <f>U3</f>
        <v>Q2得分</v>
      </c>
      <c r="AB3" s="451" t="str">
        <f>V3</f>
        <v>Q3</v>
      </c>
      <c r="AC3" s="1402" t="str">
        <f>W3</f>
        <v>Q3得分</v>
      </c>
      <c r="AD3" s="1403" t="s">
        <v>1096</v>
      </c>
      <c r="AE3" s="450"/>
      <c r="AF3" s="450" t="str">
        <f>Z3</f>
        <v>Q2</v>
      </c>
      <c r="AG3" s="450" t="str">
        <f>AA3</f>
        <v>Q2得分</v>
      </c>
      <c r="AH3" s="451" t="str">
        <f>AB3</f>
        <v>Q3</v>
      </c>
      <c r="AI3" s="1402" t="str">
        <f>AC3</f>
        <v>Q3得分</v>
      </c>
      <c r="AJ3" s="1403" t="s">
        <v>1096</v>
      </c>
      <c r="AK3" s="450"/>
      <c r="AL3" s="450" t="str">
        <f>AF3</f>
        <v>Q2</v>
      </c>
      <c r="AM3" s="450" t="str">
        <f>AG3</f>
        <v>Q2得分</v>
      </c>
      <c r="AN3" s="451" t="str">
        <f>AH3</f>
        <v>Q3</v>
      </c>
      <c r="AO3" s="1402" t="str">
        <f>AI3</f>
        <v>Q3得分</v>
      </c>
      <c r="AP3" s="1403" t="s">
        <v>1096</v>
      </c>
      <c r="AQ3" s="450"/>
      <c r="AR3" s="450" t="str">
        <f>AL3</f>
        <v>Q2</v>
      </c>
      <c r="AS3" s="450" t="str">
        <f>AM3</f>
        <v>Q2得分</v>
      </c>
      <c r="AT3" s="451" t="str">
        <f>AN3</f>
        <v>Q3</v>
      </c>
      <c r="AU3" s="1402" t="str">
        <f>AO3</f>
        <v>Q3得分</v>
      </c>
      <c r="AV3" s="1403" t="s">
        <v>1096</v>
      </c>
      <c r="AW3" s="450"/>
      <c r="AX3" s="450" t="str">
        <f>AR3</f>
        <v>Q2</v>
      </c>
      <c r="AY3" s="450" t="str">
        <f>AS3</f>
        <v>Q2得分</v>
      </c>
      <c r="AZ3" s="451" t="str">
        <f>AT3</f>
        <v>Q3</v>
      </c>
      <c r="BA3" s="1402" t="str">
        <f>AU3</f>
        <v>Q3得分</v>
      </c>
      <c r="BB3" s="1403" t="s">
        <v>1096</v>
      </c>
      <c r="BC3" s="450"/>
      <c r="BD3" s="450" t="str">
        <f>AX3</f>
        <v>Q2</v>
      </c>
      <c r="BE3" s="450" t="str">
        <f>AY3</f>
        <v>Q2得分</v>
      </c>
      <c r="BF3" s="451" t="str">
        <f>AZ3</f>
        <v>Q3</v>
      </c>
      <c r="BG3" s="1402" t="str">
        <f>BA3</f>
        <v>Q3得分</v>
      </c>
      <c r="BH3" s="1403" t="s">
        <v>1096</v>
      </c>
      <c r="BI3" s="450"/>
      <c r="BJ3" s="450" t="str">
        <f>BD3</f>
        <v>Q2</v>
      </c>
      <c r="BK3" s="450" t="str">
        <f>BE3</f>
        <v>Q2得分</v>
      </c>
      <c r="BL3" s="451" t="str">
        <f>BF3</f>
        <v>Q3</v>
      </c>
      <c r="BM3" s="450" t="str">
        <f>BG3</f>
        <v>Q3得分</v>
      </c>
      <c r="BN3" s="1403" t="s">
        <v>1096</v>
      </c>
      <c r="BO3" s="450"/>
      <c r="BP3" s="450" t="str">
        <f>BJ3</f>
        <v>Q2</v>
      </c>
      <c r="BQ3" s="450" t="str">
        <f>BK3</f>
        <v>Q2得分</v>
      </c>
      <c r="BR3" s="451" t="str">
        <f>BL3</f>
        <v>Q3</v>
      </c>
      <c r="BS3" s="450" t="str">
        <f>BM3</f>
        <v>Q3得分</v>
      </c>
      <c r="BT3" s="1403" t="s">
        <v>1096</v>
      </c>
      <c r="BU3" s="450"/>
      <c r="BV3" s="450" t="str">
        <f>BP3</f>
        <v>Q2</v>
      </c>
      <c r="BW3" s="450" t="str">
        <f>BQ3</f>
        <v>Q2得分</v>
      </c>
      <c r="BX3" s="451" t="str">
        <f>BR3</f>
        <v>Q3</v>
      </c>
      <c r="BY3" s="450" t="str">
        <f>BS3</f>
        <v>Q3得分</v>
      </c>
      <c r="BZ3" s="1403" t="s">
        <v>1096</v>
      </c>
    </row>
    <row r="4" spans="1:78" ht="14.25">
      <c r="A4" s="1368" t="s">
        <v>1215</v>
      </c>
      <c r="B4" s="1368" t="s">
        <v>1216</v>
      </c>
      <c r="C4" s="590">
        <v>1</v>
      </c>
      <c r="D4" s="453" t="s">
        <v>2123</v>
      </c>
      <c r="E4" s="454" t="s">
        <v>205</v>
      </c>
      <c r="F4" s="1366"/>
      <c r="G4" s="1367" t="s">
        <v>396</v>
      </c>
      <c r="H4" s="1366" t="s">
        <v>231</v>
      </c>
      <c r="I4" s="1363">
        <v>5</v>
      </c>
      <c r="J4" s="458">
        <f t="shared" ref="J4:M5" si="0">AVERAGE(BV4,BP4,BJ4,BD4,AX4,AR4,AL4,AF4,Z4,T4)</f>
        <v>15.9</v>
      </c>
      <c r="K4" s="458">
        <f t="shared" si="0"/>
        <v>5</v>
      </c>
      <c r="L4" s="458">
        <f t="shared" si="0"/>
        <v>16.100000000000001</v>
      </c>
      <c r="M4" s="458">
        <f t="shared" si="0"/>
        <v>5</v>
      </c>
      <c r="N4" s="598">
        <f>M4-K4</f>
        <v>0</v>
      </c>
      <c r="O4" s="596">
        <f t="shared" ref="O4:O48" si="1">I4-M4</f>
        <v>0</v>
      </c>
      <c r="P4" s="459">
        <f>O4*0.4</f>
        <v>0</v>
      </c>
      <c r="Q4" s="459">
        <f>P4/9</f>
        <v>0</v>
      </c>
      <c r="R4" s="459">
        <f>Q4/2</f>
        <v>0</v>
      </c>
      <c r="S4" s="399"/>
      <c r="T4" s="1368">
        <v>11</v>
      </c>
      <c r="U4" s="1364">
        <f>IF(T4&gt;5,5,0)</f>
        <v>5</v>
      </c>
      <c r="V4" s="1368">
        <v>11</v>
      </c>
      <c r="W4" s="1365">
        <f>IF(V4&gt;5,5,0)</f>
        <v>5</v>
      </c>
      <c r="X4" s="22">
        <f t="shared" ref="X4:X14" si="2">IF(AND(T4=0,V4&lt;&gt;0),1,IF(AND(T4=0,V4=0),0,V4/T4-1))</f>
        <v>0</v>
      </c>
      <c r="Y4" s="399"/>
      <c r="Z4" s="1368">
        <v>18</v>
      </c>
      <c r="AA4" s="1368">
        <f>IF(Z4&gt;5,5,0)</f>
        <v>5</v>
      </c>
      <c r="AB4" s="1368">
        <v>18</v>
      </c>
      <c r="AC4" s="1365">
        <f>IF(AB4&gt;5,5,0)</f>
        <v>5</v>
      </c>
      <c r="AD4" s="22">
        <f t="shared" ref="AD4:AD14" si="3">IF(AND(Z4=0,AB4&lt;&gt;0),1,IF(AND(Z4=0,AB4=0),0,AB4/Z4-1))</f>
        <v>0</v>
      </c>
      <c r="AE4" s="399"/>
      <c r="AF4" s="1368">
        <v>14</v>
      </c>
      <c r="AG4" s="1368">
        <f>IF(AF4&gt;5,5,0)</f>
        <v>5</v>
      </c>
      <c r="AH4" s="1368">
        <v>14</v>
      </c>
      <c r="AI4" s="1370">
        <f>IF(AH4&gt;5,5,0)</f>
        <v>5</v>
      </c>
      <c r="AJ4" s="22">
        <f t="shared" ref="AJ4:AJ14" si="4">IF(AND(AF4=0,AH4&lt;&gt;0),1,IF(AND(AF4=0,AH4=0),0,AH4/AF4-1))</f>
        <v>0</v>
      </c>
      <c r="AK4" s="399"/>
      <c r="AL4" s="1368">
        <v>27</v>
      </c>
      <c r="AM4" s="1368">
        <f>IF(AL4&gt;5,5,0)</f>
        <v>5</v>
      </c>
      <c r="AN4" s="1368">
        <v>28</v>
      </c>
      <c r="AO4" s="1401">
        <f>IF(AN4&gt;5,5,0)</f>
        <v>5</v>
      </c>
      <c r="AP4" s="22">
        <f t="shared" ref="AP4:AP14" si="5">IF(AND(AL4=0,AN4&lt;&gt;0),1,IF(AND(AL4=0,AN4=0),0,AN4/AL4-1))</f>
        <v>3.7037037037036979E-2</v>
      </c>
      <c r="AQ4" s="460"/>
      <c r="AR4" s="384">
        <v>14</v>
      </c>
      <c r="AS4" s="384">
        <f>IF(AR4&gt;5,5,0)</f>
        <v>5</v>
      </c>
      <c r="AT4" s="384">
        <v>14</v>
      </c>
      <c r="AU4" s="1203">
        <f>IF(AT4&gt;5,5,0)</f>
        <v>5</v>
      </c>
      <c r="AV4" s="22">
        <f t="shared" ref="AV4:AV14" si="6">IF(AND(AR4=0,AT4&lt;&gt;0),1,IF(AND(AR4=0,AT4=0),0,AT4/AR4-1))</f>
        <v>0</v>
      </c>
      <c r="AW4" s="460"/>
      <c r="AX4" s="384">
        <v>13</v>
      </c>
      <c r="AY4" s="384">
        <f>IF(AX4&gt;5,5,0)</f>
        <v>5</v>
      </c>
      <c r="AZ4" s="384">
        <v>13</v>
      </c>
      <c r="BA4" s="1203">
        <f>IF(AZ4&gt;5,5,0)</f>
        <v>5</v>
      </c>
      <c r="BB4" s="22">
        <f t="shared" ref="BB4:BB14" si="7">IF(AND(AX4=0,AZ4&lt;&gt;0),1,IF(AND(AX4=0,AZ4=0),0,AZ4/AX4-1))</f>
        <v>0</v>
      </c>
      <c r="BC4" s="460"/>
      <c r="BD4" s="384">
        <v>19</v>
      </c>
      <c r="BE4" s="384">
        <f>IF(BD4&gt;5,5,0)</f>
        <v>5</v>
      </c>
      <c r="BF4" s="384">
        <v>19</v>
      </c>
      <c r="BG4" s="1203">
        <f>IF(BF4&gt;5,5,0)</f>
        <v>5</v>
      </c>
      <c r="BH4" s="22">
        <f t="shared" ref="BH4:BH14" si="8">IF(AND(BD4=0,BF4&lt;&gt;0),1,IF(AND(BD4=0,BF4=0),0,BF4/BD4-1))</f>
        <v>0</v>
      </c>
      <c r="BI4" s="460"/>
      <c r="BJ4" s="384">
        <v>17</v>
      </c>
      <c r="BK4" s="384">
        <f>IF(BJ4&gt;5,5,0)</f>
        <v>5</v>
      </c>
      <c r="BL4" s="384">
        <v>17</v>
      </c>
      <c r="BM4" s="1203">
        <f>IF(BL4&gt;5,5,0)</f>
        <v>5</v>
      </c>
      <c r="BN4" s="22">
        <f t="shared" ref="BN4:BN14" si="9">IF(AND(BJ4=0,BL4&lt;&gt;0),1,IF(AND(BJ4=0,BL4=0),0,BL4/BJ4-1))</f>
        <v>0</v>
      </c>
      <c r="BO4" s="460"/>
      <c r="BP4" s="384">
        <v>18</v>
      </c>
      <c r="BQ4" s="384">
        <f>IF(BP4&gt;5,5,0)</f>
        <v>5</v>
      </c>
      <c r="BR4" s="384">
        <v>19</v>
      </c>
      <c r="BS4" s="1203">
        <f>IF(BR4&gt;5,5,0)</f>
        <v>5</v>
      </c>
      <c r="BT4" s="22">
        <f t="shared" ref="BT4:BT14" si="10">IF(AND(BP4=0,BR4&lt;&gt;0),1,IF(AND(BP4=0,BR4=0),0,BR4/BP4-1))</f>
        <v>5.555555555555558E-2</v>
      </c>
      <c r="BU4" s="460"/>
      <c r="BV4" s="384">
        <v>8</v>
      </c>
      <c r="BW4" s="384">
        <f>IF(BV4&gt;5,5,0)</f>
        <v>5</v>
      </c>
      <c r="BX4" s="384">
        <v>8</v>
      </c>
      <c r="BY4" s="1239">
        <f>IF(BX4&gt;5,5,0)</f>
        <v>5</v>
      </c>
      <c r="BZ4" s="1173">
        <f t="shared" ref="BZ4:BZ14" si="11">IF(AND(BV4=0,BX4&lt;&gt;0),1,IF(AND(BV4=0,BX4=0),0,BX4/BV4-1))</f>
        <v>0</v>
      </c>
    </row>
    <row r="5" spans="1:78" ht="14.25">
      <c r="A5" s="1732" t="s">
        <v>1662</v>
      </c>
      <c r="B5" s="1683" t="s">
        <v>2403</v>
      </c>
      <c r="C5" s="1362">
        <v>2</v>
      </c>
      <c r="D5" s="1495" t="s">
        <v>1678</v>
      </c>
      <c r="E5" s="395"/>
      <c r="F5" s="1366"/>
      <c r="G5" s="1367" t="s">
        <v>400</v>
      </c>
      <c r="H5" s="1366" t="s">
        <v>231</v>
      </c>
      <c r="I5" s="1363">
        <v>2</v>
      </c>
      <c r="J5" s="1324">
        <f t="shared" si="0"/>
        <v>8.0952380952380956E-2</v>
      </c>
      <c r="K5" s="461">
        <f t="shared" si="0"/>
        <v>1.8</v>
      </c>
      <c r="L5" s="1324">
        <f t="shared" si="0"/>
        <v>0.12083333333333332</v>
      </c>
      <c r="M5" s="382">
        <f t="shared" si="0"/>
        <v>1.4</v>
      </c>
      <c r="N5" s="449">
        <f t="shared" ref="N5:N53" si="12">M5-K5</f>
        <v>-0.40000000000000013</v>
      </c>
      <c r="O5" s="596">
        <f t="shared" si="1"/>
        <v>0.60000000000000009</v>
      </c>
      <c r="P5" s="459">
        <f t="shared" ref="P5:P53" si="13">O5*0.4</f>
        <v>0.24000000000000005</v>
      </c>
      <c r="Q5" s="459">
        <f t="shared" ref="Q5:Q58" si="14">P5/9</f>
        <v>2.6666666666666672E-2</v>
      </c>
      <c r="R5" s="459">
        <f t="shared" ref="R5:R58" si="15">Q5/2</f>
        <v>1.3333333333333336E-2</v>
      </c>
      <c r="S5" s="399"/>
      <c r="T5" s="22">
        <v>0.5</v>
      </c>
      <c r="U5" s="1364">
        <f>IF(T5&lt;=0.2,2,0)</f>
        <v>0</v>
      </c>
      <c r="V5" s="22">
        <f>IF(SUM(V7:V8)=0,"",V6/SUM(V7:V8))</f>
        <v>0.33333333333333331</v>
      </c>
      <c r="W5" s="1247">
        <f>IF(V5&lt;=0.2,2,0)</f>
        <v>0</v>
      </c>
      <c r="X5" s="22">
        <f t="shared" si="2"/>
        <v>-0.33333333333333337</v>
      </c>
      <c r="Y5" s="399"/>
      <c r="Z5" s="22">
        <v>0.14285714285714285</v>
      </c>
      <c r="AA5" s="1368">
        <f>IF(Z5&lt;=0.2,2,0)</f>
        <v>2</v>
      </c>
      <c r="AB5" s="22">
        <f>IF(SUM(AB7:AB8)=0,"",AB6/SUM(AB7:AB8))</f>
        <v>0.375</v>
      </c>
      <c r="AC5" s="1365">
        <f>IF(AB5&lt;=0.2,2,0)</f>
        <v>0</v>
      </c>
      <c r="AD5" s="22">
        <f t="shared" si="3"/>
        <v>1.625</v>
      </c>
      <c r="AE5" s="399"/>
      <c r="AF5" s="22">
        <v>0</v>
      </c>
      <c r="AG5" s="1368">
        <f>IF(AF5&lt;=0.2,2,0)</f>
        <v>2</v>
      </c>
      <c r="AH5" s="22">
        <f>IF(SUM(AH7:AH8)=0,"",AH6/SUM(AH7:AH8))</f>
        <v>0</v>
      </c>
      <c r="AI5" s="1370">
        <f>IF(AH5&lt;=0.2,2,0)</f>
        <v>2</v>
      </c>
      <c r="AJ5" s="22">
        <f t="shared" si="4"/>
        <v>0</v>
      </c>
      <c r="AK5" s="399"/>
      <c r="AL5" s="22">
        <v>0</v>
      </c>
      <c r="AM5" s="1368">
        <f>IF(AL5&lt;=0.2,2,0)</f>
        <v>2</v>
      </c>
      <c r="AN5" s="22">
        <f>IF(SUM(AN7:AN8)=0,"",AN6/SUM(AN7:AN8))</f>
        <v>0</v>
      </c>
      <c r="AO5" s="1401">
        <f>IF(AN5&lt;=0.2,2,0)</f>
        <v>2</v>
      </c>
      <c r="AP5" s="22">
        <f t="shared" si="5"/>
        <v>0</v>
      </c>
      <c r="AQ5" s="460"/>
      <c r="AR5" s="22">
        <v>0</v>
      </c>
      <c r="AS5" s="384">
        <f>IF(AR5&lt;=0.2,2,0)</f>
        <v>2</v>
      </c>
      <c r="AT5" s="22">
        <f>IF(SUM(AT7:AT8)=0,"",AT6/SUM(AT7:AT8))</f>
        <v>0</v>
      </c>
      <c r="AU5" s="1203">
        <f>IF(AT5&lt;=0.2,2,0)</f>
        <v>2</v>
      </c>
      <c r="AV5" s="22">
        <f t="shared" si="6"/>
        <v>0</v>
      </c>
      <c r="AW5" s="460"/>
      <c r="AX5" s="22">
        <v>0</v>
      </c>
      <c r="AY5" s="384">
        <f>IF(AX5&lt;=0.2,2,0)</f>
        <v>2</v>
      </c>
      <c r="AZ5" s="22">
        <f>IF(SUM(AZ7:AZ8)=0,"",AZ6/SUM(AZ7:AZ8))</f>
        <v>0</v>
      </c>
      <c r="BA5" s="1203">
        <f>IF(AZ5&lt;=0.2,2,0)</f>
        <v>2</v>
      </c>
      <c r="BB5" s="22">
        <f t="shared" si="7"/>
        <v>0</v>
      </c>
      <c r="BC5" s="460"/>
      <c r="BD5" s="384">
        <v>0</v>
      </c>
      <c r="BE5" s="384">
        <f>IF(BD5&lt;=0.2,2,0)</f>
        <v>2</v>
      </c>
      <c r="BF5" s="22">
        <f>IF(SUM(BF7:BF8)=0,"",BF6/SUM(BF7:BF8))</f>
        <v>0</v>
      </c>
      <c r="BG5" s="1203">
        <f>IF(BF5&lt;=0.2,2,0)</f>
        <v>2</v>
      </c>
      <c r="BH5" s="22">
        <f t="shared" si="8"/>
        <v>0</v>
      </c>
      <c r="BI5" s="460"/>
      <c r="BJ5" s="22">
        <v>0.16666666666666666</v>
      </c>
      <c r="BK5" s="384">
        <f>IF(BJ5&lt;=0.2,2,0)</f>
        <v>2</v>
      </c>
      <c r="BL5" s="22">
        <f>IF(SUM(BL7:BL8)=0,"",BL6/SUM(BL7:BL8))</f>
        <v>0.33333333333333331</v>
      </c>
      <c r="BM5" s="1203">
        <f>IF(BL5&lt;=0.2,2,0)</f>
        <v>0</v>
      </c>
      <c r="BN5" s="22">
        <f t="shared" si="9"/>
        <v>1</v>
      </c>
      <c r="BO5" s="460"/>
      <c r="BP5" s="22">
        <v>0</v>
      </c>
      <c r="BQ5" s="384">
        <f>IF(BP5&lt;=0.2,2,0)</f>
        <v>2</v>
      </c>
      <c r="BR5" s="22">
        <f>IF(SUM(BR7:BR8)=0,"",BR6/SUM(BR7:BR8))</f>
        <v>0</v>
      </c>
      <c r="BS5" s="1203">
        <f>IF(BR5&lt;=0.2,2,0)</f>
        <v>2</v>
      </c>
      <c r="BT5" s="22">
        <f t="shared" si="10"/>
        <v>0</v>
      </c>
      <c r="BU5" s="460"/>
      <c r="BV5" s="22">
        <v>0</v>
      </c>
      <c r="BW5" s="384">
        <f>IF(BV5&lt;=0.2,2,0)</f>
        <v>2</v>
      </c>
      <c r="BX5" s="22">
        <f>IF(SUM(BX7:BX8)=0,"",BX6/SUM(BX7:BX8))</f>
        <v>0.16666666666666666</v>
      </c>
      <c r="BY5" s="1239">
        <f>IF(BX5&lt;=0.2,2,0)</f>
        <v>2</v>
      </c>
      <c r="BZ5" s="1173">
        <f t="shared" si="11"/>
        <v>1</v>
      </c>
    </row>
    <row r="6" spans="1:78" ht="19.5" customHeight="1">
      <c r="A6" s="1683"/>
      <c r="B6" s="1683"/>
      <c r="C6" s="1371">
        <v>2.1</v>
      </c>
      <c r="D6" s="1371" t="s">
        <v>113</v>
      </c>
      <c r="E6" s="454" t="s">
        <v>205</v>
      </c>
      <c r="F6" s="1366"/>
      <c r="G6" s="1367"/>
      <c r="H6" s="1366"/>
      <c r="I6" s="1367"/>
      <c r="J6" s="458">
        <f t="shared" ref="J6:J14" si="16">AVERAGE(BV6,BP6,BJ6,BD6,AX6,AR6,AL6,AF6,Z6,T6)</f>
        <v>0.4</v>
      </c>
      <c r="K6" s="458"/>
      <c r="L6" s="458">
        <f t="shared" ref="L6:L14" si="17">AVERAGE(BX6,BR6,BL6,BF6,AZ6,AT6,AN6,AH6,AB6,V6)</f>
        <v>0.7</v>
      </c>
      <c r="M6" s="458"/>
      <c r="N6" s="462">
        <f t="shared" si="12"/>
        <v>0</v>
      </c>
      <c r="O6" s="596">
        <f t="shared" si="1"/>
        <v>0</v>
      </c>
      <c r="P6" s="459">
        <f t="shared" si="13"/>
        <v>0</v>
      </c>
      <c r="Q6" s="459">
        <f t="shared" si="14"/>
        <v>0</v>
      </c>
      <c r="R6" s="459">
        <f t="shared" si="15"/>
        <v>0</v>
      </c>
      <c r="S6" s="399"/>
      <c r="T6" s="1368">
        <v>2</v>
      </c>
      <c r="U6" s="462"/>
      <c r="V6" s="1368">
        <v>1</v>
      </c>
      <c r="W6" s="1370"/>
      <c r="X6" s="22">
        <f t="shared" si="2"/>
        <v>-0.5</v>
      </c>
      <c r="Y6" s="399"/>
      <c r="Z6" s="1368">
        <v>1</v>
      </c>
      <c r="AA6" s="1368"/>
      <c r="AB6" s="1368">
        <v>3</v>
      </c>
      <c r="AC6" s="1365"/>
      <c r="AD6" s="22">
        <f t="shared" si="3"/>
        <v>2</v>
      </c>
      <c r="AE6" s="399"/>
      <c r="AF6" s="1368">
        <v>0</v>
      </c>
      <c r="AG6" s="1368"/>
      <c r="AH6" s="1368">
        <v>0</v>
      </c>
      <c r="AI6" s="1370"/>
      <c r="AJ6" s="22">
        <f t="shared" si="4"/>
        <v>0</v>
      </c>
      <c r="AK6" s="399"/>
      <c r="AL6" s="1368">
        <v>0</v>
      </c>
      <c r="AM6" s="1368"/>
      <c r="AN6" s="1368">
        <v>0</v>
      </c>
      <c r="AO6" s="1401"/>
      <c r="AP6" s="22">
        <f t="shared" si="5"/>
        <v>0</v>
      </c>
      <c r="AQ6" s="460"/>
      <c r="AR6" s="384">
        <v>0</v>
      </c>
      <c r="AS6" s="384"/>
      <c r="AT6" s="384">
        <v>0</v>
      </c>
      <c r="AU6" s="1203"/>
      <c r="AV6" s="22">
        <f t="shared" si="6"/>
        <v>0</v>
      </c>
      <c r="AW6" s="460"/>
      <c r="AX6" s="384">
        <v>0</v>
      </c>
      <c r="AY6" s="384"/>
      <c r="AZ6" s="384">
        <v>0</v>
      </c>
      <c r="BA6" s="1203"/>
      <c r="BB6" s="22">
        <f t="shared" si="7"/>
        <v>0</v>
      </c>
      <c r="BC6" s="460"/>
      <c r="BD6" s="384">
        <v>0</v>
      </c>
      <c r="BE6" s="384"/>
      <c r="BF6" s="384">
        <v>0</v>
      </c>
      <c r="BG6" s="1203"/>
      <c r="BH6" s="22">
        <f t="shared" si="8"/>
        <v>0</v>
      </c>
      <c r="BI6" s="460"/>
      <c r="BJ6" s="384">
        <v>1</v>
      </c>
      <c r="BK6" s="384"/>
      <c r="BL6" s="384">
        <v>2</v>
      </c>
      <c r="BM6" s="1203"/>
      <c r="BN6" s="22">
        <f t="shared" si="9"/>
        <v>1</v>
      </c>
      <c r="BO6" s="460"/>
      <c r="BP6" s="384">
        <v>0</v>
      </c>
      <c r="BQ6" s="384"/>
      <c r="BR6" s="384">
        <v>0</v>
      </c>
      <c r="BS6" s="1203"/>
      <c r="BT6" s="22">
        <f t="shared" si="10"/>
        <v>0</v>
      </c>
      <c r="BU6" s="460"/>
      <c r="BV6" s="384">
        <v>0</v>
      </c>
      <c r="BW6" s="384"/>
      <c r="BX6" s="384">
        <v>1</v>
      </c>
      <c r="BY6" s="1256"/>
      <c r="BZ6" s="1173">
        <f t="shared" si="11"/>
        <v>1</v>
      </c>
    </row>
    <row r="7" spans="1:78" ht="21" customHeight="1">
      <c r="A7" s="1683"/>
      <c r="B7" s="1683"/>
      <c r="C7" s="1371">
        <v>2.2000000000000002</v>
      </c>
      <c r="D7" s="1371" t="s">
        <v>114</v>
      </c>
      <c r="E7" s="454" t="s">
        <v>205</v>
      </c>
      <c r="F7" s="1366"/>
      <c r="G7" s="1367"/>
      <c r="H7" s="1366"/>
      <c r="I7" s="1367"/>
      <c r="J7" s="458">
        <f t="shared" si="16"/>
        <v>3.8</v>
      </c>
      <c r="K7" s="458"/>
      <c r="L7" s="458">
        <f t="shared" si="17"/>
        <v>3.7</v>
      </c>
      <c r="M7" s="458"/>
      <c r="N7" s="462">
        <f t="shared" si="12"/>
        <v>0</v>
      </c>
      <c r="O7" s="596">
        <f t="shared" si="1"/>
        <v>0</v>
      </c>
      <c r="P7" s="459">
        <f t="shared" si="13"/>
        <v>0</v>
      </c>
      <c r="Q7" s="459">
        <f t="shared" si="14"/>
        <v>0</v>
      </c>
      <c r="R7" s="459">
        <f t="shared" si="15"/>
        <v>0</v>
      </c>
      <c r="S7" s="399"/>
      <c r="T7" s="1368">
        <v>3</v>
      </c>
      <c r="U7" s="462"/>
      <c r="V7" s="1368">
        <v>1</v>
      </c>
      <c r="W7" s="1365"/>
      <c r="X7" s="22">
        <f t="shared" si="2"/>
        <v>-0.66666666666666674</v>
      </c>
      <c r="Y7" s="399"/>
      <c r="Z7" s="1368">
        <v>5</v>
      </c>
      <c r="AA7" s="1368"/>
      <c r="AB7" s="1368">
        <v>5</v>
      </c>
      <c r="AC7" s="1365"/>
      <c r="AD7" s="22">
        <f t="shared" si="3"/>
        <v>0</v>
      </c>
      <c r="AE7" s="399"/>
      <c r="AF7" s="1368">
        <v>5</v>
      </c>
      <c r="AG7" s="1368"/>
      <c r="AH7" s="1368">
        <v>5</v>
      </c>
      <c r="AI7" s="1370"/>
      <c r="AJ7" s="22">
        <f t="shared" si="4"/>
        <v>0</v>
      </c>
      <c r="AK7" s="399"/>
      <c r="AL7" s="1368">
        <v>2</v>
      </c>
      <c r="AM7" s="1368"/>
      <c r="AN7" s="1368">
        <v>2</v>
      </c>
      <c r="AO7" s="1401"/>
      <c r="AP7" s="22">
        <f t="shared" si="5"/>
        <v>0</v>
      </c>
      <c r="AQ7" s="460"/>
      <c r="AR7" s="384">
        <v>5</v>
      </c>
      <c r="AS7" s="384"/>
      <c r="AT7" s="384">
        <v>5</v>
      </c>
      <c r="AU7" s="1203"/>
      <c r="AV7" s="22">
        <f t="shared" si="6"/>
        <v>0</v>
      </c>
      <c r="AW7" s="460"/>
      <c r="AX7" s="384">
        <v>5</v>
      </c>
      <c r="AY7" s="384"/>
      <c r="AZ7" s="384">
        <v>5</v>
      </c>
      <c r="BA7" s="1203"/>
      <c r="BB7" s="22">
        <f t="shared" si="7"/>
        <v>0</v>
      </c>
      <c r="BC7" s="460"/>
      <c r="BD7" s="384">
        <v>3</v>
      </c>
      <c r="BE7" s="384"/>
      <c r="BF7" s="384">
        <v>3</v>
      </c>
      <c r="BG7" s="1203"/>
      <c r="BH7" s="22">
        <f t="shared" si="8"/>
        <v>0</v>
      </c>
      <c r="BI7" s="460"/>
      <c r="BJ7" s="384">
        <v>4</v>
      </c>
      <c r="BK7" s="384"/>
      <c r="BL7" s="384">
        <v>4</v>
      </c>
      <c r="BM7" s="1203"/>
      <c r="BN7" s="22">
        <f t="shared" si="9"/>
        <v>0</v>
      </c>
      <c r="BO7" s="460"/>
      <c r="BP7" s="384">
        <v>3</v>
      </c>
      <c r="BQ7" s="384"/>
      <c r="BR7" s="384">
        <v>3</v>
      </c>
      <c r="BS7" s="1203"/>
      <c r="BT7" s="22">
        <f t="shared" si="10"/>
        <v>0</v>
      </c>
      <c r="BU7" s="460"/>
      <c r="BV7" s="384">
        <v>3</v>
      </c>
      <c r="BW7" s="384"/>
      <c r="BX7" s="384">
        <v>4</v>
      </c>
      <c r="BY7" s="1256"/>
      <c r="BZ7" s="1173">
        <f t="shared" si="11"/>
        <v>0.33333333333333326</v>
      </c>
    </row>
    <row r="8" spans="1:78" ht="18.75" customHeight="1">
      <c r="A8" s="1683"/>
      <c r="B8" s="1683"/>
      <c r="C8" s="1371">
        <v>2.2999999999999998</v>
      </c>
      <c r="D8" s="1371" t="s">
        <v>115</v>
      </c>
      <c r="E8" s="454" t="s">
        <v>205</v>
      </c>
      <c r="F8" s="1366"/>
      <c r="G8" s="1367"/>
      <c r="H8" s="1366"/>
      <c r="I8" s="1367"/>
      <c r="J8" s="458">
        <f t="shared" si="16"/>
        <v>0.8</v>
      </c>
      <c r="K8" s="458"/>
      <c r="L8" s="458">
        <f t="shared" si="17"/>
        <v>1.1000000000000001</v>
      </c>
      <c r="M8" s="458"/>
      <c r="N8" s="462">
        <f t="shared" si="12"/>
        <v>0</v>
      </c>
      <c r="O8" s="596">
        <f t="shared" si="1"/>
        <v>0</v>
      </c>
      <c r="P8" s="459">
        <f t="shared" si="13"/>
        <v>0</v>
      </c>
      <c r="Q8" s="459">
        <f t="shared" si="14"/>
        <v>0</v>
      </c>
      <c r="R8" s="459">
        <f t="shared" si="15"/>
        <v>0</v>
      </c>
      <c r="S8" s="399"/>
      <c r="T8" s="1368">
        <v>1</v>
      </c>
      <c r="U8" s="462"/>
      <c r="V8" s="1368">
        <v>2</v>
      </c>
      <c r="W8" s="1365"/>
      <c r="X8" s="22">
        <f t="shared" si="2"/>
        <v>1</v>
      </c>
      <c r="Y8" s="399"/>
      <c r="Z8" s="1368">
        <v>2</v>
      </c>
      <c r="AA8" s="1368"/>
      <c r="AB8" s="1368">
        <v>3</v>
      </c>
      <c r="AC8" s="1365"/>
      <c r="AD8" s="22">
        <f t="shared" si="3"/>
        <v>0.5</v>
      </c>
      <c r="AE8" s="399"/>
      <c r="AF8" s="1368">
        <v>0</v>
      </c>
      <c r="AG8" s="1368"/>
      <c r="AH8" s="1368">
        <v>0</v>
      </c>
      <c r="AI8" s="1370"/>
      <c r="AJ8" s="22">
        <f t="shared" si="4"/>
        <v>0</v>
      </c>
      <c r="AK8" s="399"/>
      <c r="AL8" s="1368">
        <v>1</v>
      </c>
      <c r="AM8" s="1368"/>
      <c r="AN8" s="1368">
        <v>1</v>
      </c>
      <c r="AO8" s="1401"/>
      <c r="AP8" s="22">
        <f t="shared" si="5"/>
        <v>0</v>
      </c>
      <c r="AQ8" s="460"/>
      <c r="AR8" s="384">
        <v>0</v>
      </c>
      <c r="AS8" s="384"/>
      <c r="AT8" s="384">
        <v>0</v>
      </c>
      <c r="AU8" s="1203"/>
      <c r="AV8" s="22">
        <f t="shared" si="6"/>
        <v>0</v>
      </c>
      <c r="AW8" s="460"/>
      <c r="AX8" s="384">
        <v>0</v>
      </c>
      <c r="AY8" s="384"/>
      <c r="AZ8" s="384">
        <v>0</v>
      </c>
      <c r="BA8" s="1203"/>
      <c r="BB8" s="22">
        <f t="shared" si="7"/>
        <v>0</v>
      </c>
      <c r="BC8" s="460"/>
      <c r="BD8" s="384">
        <v>0</v>
      </c>
      <c r="BE8" s="384"/>
      <c r="BF8" s="384">
        <v>0</v>
      </c>
      <c r="BG8" s="1203"/>
      <c r="BH8" s="22">
        <f t="shared" si="8"/>
        <v>0</v>
      </c>
      <c r="BI8" s="460"/>
      <c r="BJ8" s="384">
        <v>2</v>
      </c>
      <c r="BK8" s="384"/>
      <c r="BL8" s="384">
        <v>2</v>
      </c>
      <c r="BM8" s="1203"/>
      <c r="BN8" s="22">
        <f t="shared" si="9"/>
        <v>0</v>
      </c>
      <c r="BO8" s="460"/>
      <c r="BP8" s="384">
        <v>0</v>
      </c>
      <c r="BQ8" s="384"/>
      <c r="BR8" s="384">
        <v>1</v>
      </c>
      <c r="BS8" s="1203"/>
      <c r="BT8" s="22">
        <f t="shared" si="10"/>
        <v>1</v>
      </c>
      <c r="BU8" s="460"/>
      <c r="BV8" s="384">
        <v>2</v>
      </c>
      <c r="BW8" s="384"/>
      <c r="BX8" s="384">
        <v>2</v>
      </c>
      <c r="BY8" s="1256"/>
      <c r="BZ8" s="1173">
        <f t="shared" si="11"/>
        <v>0</v>
      </c>
    </row>
    <row r="9" spans="1:78" ht="15.75" customHeight="1">
      <c r="A9" s="1683" t="s">
        <v>1999</v>
      </c>
      <c r="B9" s="1683" t="s">
        <v>1218</v>
      </c>
      <c r="C9" s="1362">
        <v>3</v>
      </c>
      <c r="D9" s="1328" t="s">
        <v>1217</v>
      </c>
      <c r="E9" s="395"/>
      <c r="F9" s="455"/>
      <c r="G9" s="456" t="s">
        <v>396</v>
      </c>
      <c r="H9" s="455" t="s">
        <v>231</v>
      </c>
      <c r="I9" s="457">
        <v>2</v>
      </c>
      <c r="J9" s="1329">
        <f t="shared" si="16"/>
        <v>0.96</v>
      </c>
      <c r="K9" s="461">
        <f>AVERAGE(BW9,BQ9,BK9,BE9,AY9,AS9,AM9,AG9,AA9,U9)</f>
        <v>1.6</v>
      </c>
      <c r="L9" s="1329">
        <f t="shared" si="17"/>
        <v>0.95500000000000007</v>
      </c>
      <c r="M9" s="461">
        <f>AVERAGE(BY9,BS9,BM9,BG9,BA9,AU9,AO9,AI9,AC9,W9)</f>
        <v>1.6</v>
      </c>
      <c r="N9" s="463">
        <f t="shared" si="12"/>
        <v>0</v>
      </c>
      <c r="O9" s="396">
        <f t="shared" si="1"/>
        <v>0.39999999999999991</v>
      </c>
      <c r="P9" s="459">
        <f t="shared" si="13"/>
        <v>0.15999999999999998</v>
      </c>
      <c r="Q9" s="459">
        <f t="shared" si="14"/>
        <v>1.7777777777777774E-2</v>
      </c>
      <c r="R9" s="459">
        <f t="shared" si="15"/>
        <v>8.8888888888888871E-3</v>
      </c>
      <c r="S9" s="460"/>
      <c r="T9" s="22">
        <v>1</v>
      </c>
      <c r="U9" s="362">
        <f>IF(T9=1,2,0)</f>
        <v>2</v>
      </c>
      <c r="V9" s="22">
        <f>IF(V11=0,"",V10/V11)</f>
        <v>1</v>
      </c>
      <c r="W9" s="1239">
        <f>IF(V9=1,2,0)</f>
        <v>2</v>
      </c>
      <c r="X9" s="22">
        <f t="shared" si="2"/>
        <v>0</v>
      </c>
      <c r="Y9" s="460"/>
      <c r="Z9" s="22">
        <v>1</v>
      </c>
      <c r="AA9" s="384">
        <f>IF(Z9=1,2,0)</f>
        <v>2</v>
      </c>
      <c r="AB9" s="22">
        <f>IF(AB11=0,"",AB10/AB11)</f>
        <v>1</v>
      </c>
      <c r="AC9" s="1239">
        <f>IF(AB9=1,2,0)</f>
        <v>2</v>
      </c>
      <c r="AD9" s="22">
        <f t="shared" si="3"/>
        <v>0</v>
      </c>
      <c r="AE9" s="460"/>
      <c r="AF9" s="22">
        <v>0.8</v>
      </c>
      <c r="AG9" s="384">
        <f>IF(AF9=1,2,0)</f>
        <v>0</v>
      </c>
      <c r="AH9" s="22">
        <f>IF(AH11=0,"",AH10/AH11)</f>
        <v>0.8</v>
      </c>
      <c r="AI9" s="1203">
        <f>IF(AH9=1,2,0)</f>
        <v>0</v>
      </c>
      <c r="AJ9" s="22">
        <f t="shared" si="4"/>
        <v>0</v>
      </c>
      <c r="AK9" s="460"/>
      <c r="AL9" s="22">
        <v>1</v>
      </c>
      <c r="AM9" s="384">
        <f>IF(AL9=1,2,0)</f>
        <v>2</v>
      </c>
      <c r="AN9" s="22">
        <f>IF(AN11=0,"",AN10/AN11)</f>
        <v>1</v>
      </c>
      <c r="AO9" s="1203">
        <f>IF(AN9=1,2,0)</f>
        <v>2</v>
      </c>
      <c r="AP9" s="22">
        <f t="shared" si="5"/>
        <v>0</v>
      </c>
      <c r="AQ9" s="460"/>
      <c r="AR9" s="22">
        <v>1</v>
      </c>
      <c r="AS9" s="384">
        <f>IF(AR9=1,2,0)</f>
        <v>2</v>
      </c>
      <c r="AT9" s="22">
        <f>IF(AT11=0,"",AT10/AT11)</f>
        <v>1</v>
      </c>
      <c r="AU9" s="1203">
        <f>IF(AT9=1,2,0)</f>
        <v>2</v>
      </c>
      <c r="AV9" s="22">
        <f t="shared" si="6"/>
        <v>0</v>
      </c>
      <c r="AW9" s="460"/>
      <c r="AX9" s="22">
        <v>1</v>
      </c>
      <c r="AY9" s="384">
        <f>IF(AX9=1,2,0)</f>
        <v>2</v>
      </c>
      <c r="AZ9" s="22">
        <f>IF(AZ11=0,"",AZ10/AZ11)</f>
        <v>1</v>
      </c>
      <c r="BA9" s="1203">
        <f>IF(AZ9=1,2,0)</f>
        <v>2</v>
      </c>
      <c r="BB9" s="22">
        <f t="shared" si="7"/>
        <v>0</v>
      </c>
      <c r="BC9" s="460"/>
      <c r="BD9" s="22">
        <v>1</v>
      </c>
      <c r="BE9" s="384">
        <f>IF(BD9=1,2,0)</f>
        <v>2</v>
      </c>
      <c r="BF9" s="22">
        <f>IF(BF11=0,"",BF10/BF11)</f>
        <v>1</v>
      </c>
      <c r="BG9" s="1203">
        <f>IF(BF9=1,2,0)</f>
        <v>2</v>
      </c>
      <c r="BH9" s="22">
        <f t="shared" si="8"/>
        <v>0</v>
      </c>
      <c r="BI9" s="460"/>
      <c r="BJ9" s="22">
        <v>0.8</v>
      </c>
      <c r="BK9" s="384">
        <f>IF(BJ9=1,2,0)</f>
        <v>0</v>
      </c>
      <c r="BL9" s="22">
        <f>IF(BL11=0,"",BL10/BL11)</f>
        <v>0.75</v>
      </c>
      <c r="BM9" s="1203">
        <f>IF(BL9=1,2,0)</f>
        <v>0</v>
      </c>
      <c r="BN9" s="22">
        <f t="shared" si="9"/>
        <v>-6.25E-2</v>
      </c>
      <c r="BO9" s="460"/>
      <c r="BP9" s="22">
        <v>1</v>
      </c>
      <c r="BQ9" s="384">
        <f>IF(BP9=1,2,0)</f>
        <v>2</v>
      </c>
      <c r="BR9" s="22">
        <f>IF(BR11=0,"",BR10/BR11)</f>
        <v>1</v>
      </c>
      <c r="BS9" s="1203">
        <f>IF(BR9=1,2,0)</f>
        <v>2</v>
      </c>
      <c r="BT9" s="22">
        <f t="shared" si="10"/>
        <v>0</v>
      </c>
      <c r="BU9" s="460"/>
      <c r="BV9" s="22">
        <v>1</v>
      </c>
      <c r="BW9" s="384">
        <f>IF(BV9=1,2,0)</f>
        <v>2</v>
      </c>
      <c r="BX9" s="22">
        <f>IF(BX11=0,"",BX10/BX11)</f>
        <v>1</v>
      </c>
      <c r="BY9" s="1239">
        <f>IF(BX9=1,2,0)</f>
        <v>2</v>
      </c>
      <c r="BZ9" s="1173">
        <f t="shared" si="11"/>
        <v>0</v>
      </c>
    </row>
    <row r="10" spans="1:78" ht="27.75" customHeight="1">
      <c r="A10" s="1683"/>
      <c r="B10" s="1683"/>
      <c r="C10" s="1371">
        <v>3.1</v>
      </c>
      <c r="D10" s="464" t="s">
        <v>1219</v>
      </c>
      <c r="E10" s="454" t="s">
        <v>205</v>
      </c>
      <c r="F10" s="455"/>
      <c r="G10" s="455"/>
      <c r="H10" s="455"/>
      <c r="I10" s="456"/>
      <c r="J10" s="458">
        <f t="shared" si="16"/>
        <v>3.8</v>
      </c>
      <c r="K10" s="458"/>
      <c r="L10" s="458">
        <f t="shared" si="17"/>
        <v>3.8</v>
      </c>
      <c r="M10" s="458"/>
      <c r="N10" s="462">
        <f t="shared" si="12"/>
        <v>0</v>
      </c>
      <c r="O10" s="396">
        <f t="shared" si="1"/>
        <v>0</v>
      </c>
      <c r="P10" s="459">
        <f t="shared" si="13"/>
        <v>0</v>
      </c>
      <c r="Q10" s="459">
        <f t="shared" si="14"/>
        <v>0</v>
      </c>
      <c r="R10" s="459">
        <f t="shared" si="15"/>
        <v>0</v>
      </c>
      <c r="S10" s="460"/>
      <c r="T10" s="384">
        <v>3</v>
      </c>
      <c r="U10" s="462"/>
      <c r="V10" s="384">
        <v>3</v>
      </c>
      <c r="W10" s="1239"/>
      <c r="X10" s="22">
        <f t="shared" si="2"/>
        <v>0</v>
      </c>
      <c r="Y10" s="460"/>
      <c r="Z10" s="384">
        <v>4</v>
      </c>
      <c r="AA10" s="384"/>
      <c r="AB10" s="384">
        <v>4</v>
      </c>
      <c r="AC10" s="1239"/>
      <c r="AD10" s="22">
        <f t="shared" si="3"/>
        <v>0</v>
      </c>
      <c r="AE10" s="460"/>
      <c r="AF10" s="384">
        <v>4</v>
      </c>
      <c r="AG10" s="384"/>
      <c r="AH10" s="384">
        <v>4</v>
      </c>
      <c r="AI10" s="1203"/>
      <c r="AJ10" s="22">
        <f t="shared" si="4"/>
        <v>0</v>
      </c>
      <c r="AK10" s="460"/>
      <c r="AL10" s="384">
        <v>3</v>
      </c>
      <c r="AM10" s="384"/>
      <c r="AN10" s="384">
        <v>3</v>
      </c>
      <c r="AO10" s="1203"/>
      <c r="AP10" s="22">
        <f t="shared" si="5"/>
        <v>0</v>
      </c>
      <c r="AQ10" s="460"/>
      <c r="AR10" s="384">
        <v>5</v>
      </c>
      <c r="AS10" s="384"/>
      <c r="AT10" s="384">
        <v>5</v>
      </c>
      <c r="AU10" s="1203"/>
      <c r="AV10" s="22">
        <f t="shared" si="6"/>
        <v>0</v>
      </c>
      <c r="AW10" s="460"/>
      <c r="AX10" s="384">
        <v>5</v>
      </c>
      <c r="AY10" s="384"/>
      <c r="AZ10" s="384">
        <v>5</v>
      </c>
      <c r="BA10" s="1203"/>
      <c r="BB10" s="22">
        <f t="shared" si="7"/>
        <v>0</v>
      </c>
      <c r="BC10" s="460"/>
      <c r="BD10" s="384">
        <v>3</v>
      </c>
      <c r="BE10" s="384"/>
      <c r="BF10" s="384">
        <v>3</v>
      </c>
      <c r="BG10" s="1203"/>
      <c r="BH10" s="22">
        <f t="shared" si="8"/>
        <v>0</v>
      </c>
      <c r="BI10" s="460"/>
      <c r="BJ10" s="384">
        <v>4</v>
      </c>
      <c r="BK10" s="384"/>
      <c r="BL10" s="384">
        <v>3</v>
      </c>
      <c r="BM10" s="1203"/>
      <c r="BN10" s="22">
        <f t="shared" si="9"/>
        <v>-0.25</v>
      </c>
      <c r="BO10" s="460"/>
      <c r="BP10" s="384">
        <v>3</v>
      </c>
      <c r="BQ10" s="384"/>
      <c r="BR10" s="384">
        <v>4</v>
      </c>
      <c r="BS10" s="1203"/>
      <c r="BT10" s="22">
        <f t="shared" si="10"/>
        <v>0.33333333333333326</v>
      </c>
      <c r="BU10" s="460"/>
      <c r="BV10" s="384">
        <v>4</v>
      </c>
      <c r="BW10" s="384"/>
      <c r="BX10" s="384">
        <v>4</v>
      </c>
      <c r="BY10" s="1256"/>
      <c r="BZ10" s="1173">
        <f t="shared" si="11"/>
        <v>0</v>
      </c>
    </row>
    <row r="11" spans="1:78" ht="18.75" customHeight="1">
      <c r="A11" s="1683"/>
      <c r="B11" s="1683"/>
      <c r="C11" s="1371">
        <v>3.2</v>
      </c>
      <c r="D11" s="1371" t="s">
        <v>1220</v>
      </c>
      <c r="E11" s="454" t="s">
        <v>205</v>
      </c>
      <c r="F11" s="455"/>
      <c r="G11" s="456"/>
      <c r="H11" s="455"/>
      <c r="I11" s="456"/>
      <c r="J11" s="458">
        <f t="shared" si="16"/>
        <v>4</v>
      </c>
      <c r="K11" s="458"/>
      <c r="L11" s="458">
        <f t="shared" si="17"/>
        <v>4</v>
      </c>
      <c r="M11" s="458"/>
      <c r="N11" s="462">
        <f t="shared" si="12"/>
        <v>0</v>
      </c>
      <c r="O11" s="396">
        <f t="shared" si="1"/>
        <v>0</v>
      </c>
      <c r="P11" s="459">
        <f t="shared" si="13"/>
        <v>0</v>
      </c>
      <c r="Q11" s="459">
        <f t="shared" si="14"/>
        <v>0</v>
      </c>
      <c r="R11" s="459">
        <f t="shared" si="15"/>
        <v>0</v>
      </c>
      <c r="S11" s="460"/>
      <c r="T11" s="384">
        <v>3</v>
      </c>
      <c r="U11" s="462"/>
      <c r="V11" s="384">
        <v>3</v>
      </c>
      <c r="W11" s="1239"/>
      <c r="X11" s="22">
        <f t="shared" si="2"/>
        <v>0</v>
      </c>
      <c r="Y11" s="460"/>
      <c r="Z11" s="384">
        <v>4</v>
      </c>
      <c r="AA11" s="384"/>
      <c r="AB11" s="384">
        <v>4</v>
      </c>
      <c r="AC11" s="1239"/>
      <c r="AD11" s="22">
        <f t="shared" si="3"/>
        <v>0</v>
      </c>
      <c r="AE11" s="460"/>
      <c r="AF11" s="384">
        <v>5</v>
      </c>
      <c r="AG11" s="384"/>
      <c r="AH11" s="384">
        <v>5</v>
      </c>
      <c r="AI11" s="1203"/>
      <c r="AJ11" s="22">
        <f t="shared" si="4"/>
        <v>0</v>
      </c>
      <c r="AK11" s="460"/>
      <c r="AL11" s="384">
        <v>3</v>
      </c>
      <c r="AM11" s="384"/>
      <c r="AN11" s="384">
        <v>3</v>
      </c>
      <c r="AO11" s="1203"/>
      <c r="AP11" s="22">
        <f t="shared" si="5"/>
        <v>0</v>
      </c>
      <c r="AQ11" s="460"/>
      <c r="AR11" s="384">
        <v>5</v>
      </c>
      <c r="AS11" s="384"/>
      <c r="AT11" s="384">
        <v>5</v>
      </c>
      <c r="AU11" s="1203"/>
      <c r="AV11" s="22">
        <f t="shared" si="6"/>
        <v>0</v>
      </c>
      <c r="AW11" s="460"/>
      <c r="AX11" s="384">
        <v>5</v>
      </c>
      <c r="AY11" s="384"/>
      <c r="AZ11" s="384">
        <v>5</v>
      </c>
      <c r="BA11" s="1203"/>
      <c r="BB11" s="22">
        <f t="shared" si="7"/>
        <v>0</v>
      </c>
      <c r="BC11" s="460"/>
      <c r="BD11" s="384">
        <v>3</v>
      </c>
      <c r="BE11" s="384"/>
      <c r="BF11" s="384">
        <v>3</v>
      </c>
      <c r="BG11" s="1203"/>
      <c r="BH11" s="22">
        <f t="shared" si="8"/>
        <v>0</v>
      </c>
      <c r="BI11" s="460"/>
      <c r="BJ11" s="384">
        <v>5</v>
      </c>
      <c r="BK11" s="384"/>
      <c r="BL11" s="384">
        <v>4</v>
      </c>
      <c r="BM11" s="1203"/>
      <c r="BN11" s="22">
        <f t="shared" si="9"/>
        <v>-0.19999999999999996</v>
      </c>
      <c r="BO11" s="460"/>
      <c r="BP11" s="384">
        <v>3</v>
      </c>
      <c r="BQ11" s="384"/>
      <c r="BR11" s="384">
        <v>4</v>
      </c>
      <c r="BS11" s="1203"/>
      <c r="BT11" s="22">
        <f t="shared" si="10"/>
        <v>0.33333333333333326</v>
      </c>
      <c r="BU11" s="460"/>
      <c r="BV11" s="384">
        <v>4</v>
      </c>
      <c r="BW11" s="384"/>
      <c r="BX11" s="384">
        <v>4</v>
      </c>
      <c r="BY11" s="1256"/>
      <c r="BZ11" s="1173">
        <f t="shared" si="11"/>
        <v>0</v>
      </c>
    </row>
    <row r="12" spans="1:78" ht="21.75" customHeight="1">
      <c r="A12" s="1683" t="s">
        <v>1221</v>
      </c>
      <c r="B12" s="1683" t="s">
        <v>1222</v>
      </c>
      <c r="C12" s="1362">
        <v>4</v>
      </c>
      <c r="D12" s="453" t="s">
        <v>43</v>
      </c>
      <c r="E12" s="465"/>
      <c r="F12" s="466"/>
      <c r="G12" s="456" t="s">
        <v>400</v>
      </c>
      <c r="H12" s="466" t="s">
        <v>231</v>
      </c>
      <c r="I12" s="457">
        <v>2</v>
      </c>
      <c r="J12" s="458">
        <f t="shared" si="16"/>
        <v>16.540000000000003</v>
      </c>
      <c r="K12" s="458">
        <f>AVERAGE(BW12,BQ12,BK12,BE12,AY12,AS12,AM12,AG12,AA12,U12)</f>
        <v>2</v>
      </c>
      <c r="L12" s="458">
        <f t="shared" si="17"/>
        <v>16.729999999999997</v>
      </c>
      <c r="M12" s="458">
        <f>AVERAGE(BY12,BS12,BM12,BG12,BA12,AU12,AO12,AI12,AC12,W12)</f>
        <v>2</v>
      </c>
      <c r="N12" s="462">
        <f t="shared" si="12"/>
        <v>0</v>
      </c>
      <c r="O12" s="396">
        <f t="shared" si="1"/>
        <v>0</v>
      </c>
      <c r="P12" s="459">
        <f t="shared" si="13"/>
        <v>0</v>
      </c>
      <c r="Q12" s="459">
        <f t="shared" si="14"/>
        <v>0</v>
      </c>
      <c r="R12" s="459">
        <f t="shared" si="15"/>
        <v>0</v>
      </c>
      <c r="S12" s="460"/>
      <c r="T12" s="1203">
        <v>23</v>
      </c>
      <c r="U12" s="362">
        <f>IF(T12&gt;=2,2,0)</f>
        <v>2</v>
      </c>
      <c r="V12" s="901">
        <f>IF(SUM(V14:V15)=0,"",V13/SUM(V14:V15))</f>
        <v>21.666666666666668</v>
      </c>
      <c r="W12" s="1239">
        <f>IF(V12&gt;=2,2,0)</f>
        <v>2</v>
      </c>
      <c r="X12" s="22">
        <f t="shared" si="2"/>
        <v>-5.7971014492753548E-2</v>
      </c>
      <c r="Y12" s="460"/>
      <c r="Z12" s="384">
        <v>21</v>
      </c>
      <c r="AA12" s="384">
        <f>IF(Z12&gt;=2,2,0)</f>
        <v>2</v>
      </c>
      <c r="AB12" s="384">
        <f>IF(SUM(AB14:AB15)=0,"",AB13/SUM(AB14:AB15))</f>
        <v>23.2</v>
      </c>
      <c r="AC12" s="1239">
        <f>IF(AB12&gt;=2,2,0)</f>
        <v>2</v>
      </c>
      <c r="AD12" s="22">
        <f t="shared" si="3"/>
        <v>0.10476190476190483</v>
      </c>
      <c r="AE12" s="460"/>
      <c r="AF12" s="384">
        <v>17.2</v>
      </c>
      <c r="AG12" s="384">
        <f>IF(AF12&gt;=2,2,0)</f>
        <v>2</v>
      </c>
      <c r="AH12" s="901">
        <f>IF(SUM(AH14:AH15)=0,"",AH13/SUM(AH14:AH15))</f>
        <v>16.8</v>
      </c>
      <c r="AI12" s="1203">
        <f>IF(AH12&gt;=2,2,0)</f>
        <v>2</v>
      </c>
      <c r="AJ12" s="22">
        <f t="shared" si="4"/>
        <v>-2.3255813953488302E-2</v>
      </c>
      <c r="AK12" s="460"/>
      <c r="AL12" s="384">
        <v>12.666666666666666</v>
      </c>
      <c r="AM12" s="384">
        <f>IF(AL12&gt;=2,2,0)</f>
        <v>2</v>
      </c>
      <c r="AN12" s="1200">
        <f>IF(SUM(AN14:AN15)=0,"",AN13/SUM(AN14:AN15))</f>
        <v>11.333333333333334</v>
      </c>
      <c r="AO12" s="1203">
        <f>IF(AN12&gt;=2,2,0)</f>
        <v>2</v>
      </c>
      <c r="AP12" s="22">
        <f t="shared" si="5"/>
        <v>-0.10526315789473673</v>
      </c>
      <c r="AQ12" s="460"/>
      <c r="AR12" s="384">
        <v>11.4</v>
      </c>
      <c r="AS12" s="384">
        <f>IF(AR12&gt;=2,2,0)</f>
        <v>2</v>
      </c>
      <c r="AT12" s="384">
        <f>IF(SUM(AT14:AT15)=0,"",AT13/SUM(AT14:AT15))</f>
        <v>11.8</v>
      </c>
      <c r="AU12" s="1203">
        <f>IF(AT12&gt;=2,2,0)</f>
        <v>2</v>
      </c>
      <c r="AV12" s="22">
        <f t="shared" si="6"/>
        <v>3.5087719298245723E-2</v>
      </c>
      <c r="AW12" s="460"/>
      <c r="AX12" s="384">
        <v>15.8</v>
      </c>
      <c r="AY12" s="384">
        <f>IF(AX12&gt;=2,2,0)</f>
        <v>2</v>
      </c>
      <c r="AZ12" s="384">
        <f>IF(SUM(AZ14:AZ15)=0,"",AZ13/SUM(AZ14:AZ15))</f>
        <v>17</v>
      </c>
      <c r="BA12" s="1203">
        <f>IF(AZ12&gt;=2,2,0)</f>
        <v>2</v>
      </c>
      <c r="BB12" s="22">
        <f t="shared" si="7"/>
        <v>7.5949367088607556E-2</v>
      </c>
      <c r="BC12" s="460"/>
      <c r="BD12" s="1200">
        <v>16.666666666666668</v>
      </c>
      <c r="BE12" s="384">
        <f>IF(BD12&gt;=2,2,0)</f>
        <v>2</v>
      </c>
      <c r="BF12" s="1200">
        <f>IF(SUM(BF14:BF15)=0,"",BF13/SUM(BF14:BF15))</f>
        <v>17</v>
      </c>
      <c r="BG12" s="1203">
        <f>IF(BF12&gt;=2,2,0)</f>
        <v>2</v>
      </c>
      <c r="BH12" s="22">
        <f t="shared" si="8"/>
        <v>2.0000000000000018E-2</v>
      </c>
      <c r="BI12" s="460"/>
      <c r="BJ12" s="384">
        <v>15</v>
      </c>
      <c r="BK12" s="384">
        <f>IF(BJ12&gt;=2,2,0)</f>
        <v>2</v>
      </c>
      <c r="BL12" s="384">
        <f>IF(SUM(BL14:BL15)=0,"",BL13/SUM(BL14:BL15))</f>
        <v>16.5</v>
      </c>
      <c r="BM12" s="1203">
        <f>IF(BL12&gt;=2,2,0)</f>
        <v>2</v>
      </c>
      <c r="BN12" s="22">
        <f t="shared" si="9"/>
        <v>0.10000000000000009</v>
      </c>
      <c r="BO12" s="460"/>
      <c r="BP12" s="1200">
        <v>20.666666666666668</v>
      </c>
      <c r="BQ12" s="384">
        <f>IF(BP12&gt;=2,2,0)</f>
        <v>2</v>
      </c>
      <c r="BR12" s="1200">
        <f>IF(SUM(BR14)=0,"",BR13/SUM(BR14))</f>
        <v>15.75</v>
      </c>
      <c r="BS12" s="1203">
        <f>IF(BR12&gt;=2,2,0)</f>
        <v>2</v>
      </c>
      <c r="BT12" s="22">
        <f t="shared" si="10"/>
        <v>-0.23790322580645162</v>
      </c>
      <c r="BU12" s="460"/>
      <c r="BV12" s="1200">
        <v>12</v>
      </c>
      <c r="BW12" s="384">
        <f>IF(BV12&gt;=2,2,0)</f>
        <v>2</v>
      </c>
      <c r="BX12" s="1200">
        <f>IF(SUM(BX14:BX15)=0,"",BX13/SUM(BX14:BX15))</f>
        <v>16.25</v>
      </c>
      <c r="BY12" s="1239">
        <f>IF(BX12&gt;=2,2,0)</f>
        <v>2</v>
      </c>
      <c r="BZ12" s="1173">
        <f t="shared" si="11"/>
        <v>0.35416666666666674</v>
      </c>
    </row>
    <row r="13" spans="1:78" ht="20.25" customHeight="1">
      <c r="A13" s="1683"/>
      <c r="B13" s="1683"/>
      <c r="C13" s="1371">
        <v>4.0999999999999996</v>
      </c>
      <c r="D13" s="1371" t="s">
        <v>191</v>
      </c>
      <c r="E13" s="454" t="s">
        <v>205</v>
      </c>
      <c r="F13" s="455"/>
      <c r="G13" s="456"/>
      <c r="H13" s="455"/>
      <c r="I13" s="456"/>
      <c r="J13" s="458">
        <f t="shared" si="16"/>
        <v>66.900000000000006</v>
      </c>
      <c r="K13" s="458"/>
      <c r="L13" s="458">
        <f t="shared" si="17"/>
        <v>68.8</v>
      </c>
      <c r="M13" s="458"/>
      <c r="N13" s="462">
        <f t="shared" si="12"/>
        <v>0</v>
      </c>
      <c r="O13" s="396">
        <f t="shared" si="1"/>
        <v>0</v>
      </c>
      <c r="P13" s="459">
        <f t="shared" si="13"/>
        <v>0</v>
      </c>
      <c r="Q13" s="459">
        <f t="shared" si="14"/>
        <v>0</v>
      </c>
      <c r="R13" s="459">
        <f t="shared" si="15"/>
        <v>0</v>
      </c>
      <c r="S13" s="460"/>
      <c r="T13" s="384">
        <v>69</v>
      </c>
      <c r="U13" s="462"/>
      <c r="V13" s="384">
        <v>65</v>
      </c>
      <c r="W13" s="1239"/>
      <c r="X13" s="22">
        <f t="shared" si="2"/>
        <v>-5.7971014492753659E-2</v>
      </c>
      <c r="Y13" s="460"/>
      <c r="Z13" s="384">
        <v>105</v>
      </c>
      <c r="AA13" s="384"/>
      <c r="AB13" s="384">
        <v>116</v>
      </c>
      <c r="AC13" s="1239"/>
      <c r="AD13" s="22">
        <f t="shared" si="3"/>
        <v>0.10476190476190483</v>
      </c>
      <c r="AE13" s="460"/>
      <c r="AF13" s="384">
        <v>86</v>
      </c>
      <c r="AG13" s="384"/>
      <c r="AH13" s="384">
        <v>84</v>
      </c>
      <c r="AI13" s="1203"/>
      <c r="AJ13" s="22">
        <f t="shared" si="4"/>
        <v>-2.3255813953488413E-2</v>
      </c>
      <c r="AK13" s="460"/>
      <c r="AL13" s="384">
        <v>38</v>
      </c>
      <c r="AM13" s="384"/>
      <c r="AN13" s="384">
        <v>34</v>
      </c>
      <c r="AO13" s="1203"/>
      <c r="AP13" s="22">
        <f t="shared" si="5"/>
        <v>-0.10526315789473684</v>
      </c>
      <c r="AQ13" s="460"/>
      <c r="AR13" s="384">
        <v>57</v>
      </c>
      <c r="AS13" s="384"/>
      <c r="AT13" s="384">
        <v>59</v>
      </c>
      <c r="AU13" s="1203"/>
      <c r="AV13" s="22">
        <f t="shared" si="6"/>
        <v>3.5087719298245723E-2</v>
      </c>
      <c r="AW13" s="460"/>
      <c r="AX13" s="384">
        <v>79</v>
      </c>
      <c r="AY13" s="384"/>
      <c r="AZ13" s="384">
        <v>85</v>
      </c>
      <c r="BA13" s="1203"/>
      <c r="BB13" s="22">
        <f t="shared" si="7"/>
        <v>7.5949367088607556E-2</v>
      </c>
      <c r="BC13" s="460"/>
      <c r="BD13" s="384">
        <v>50</v>
      </c>
      <c r="BE13" s="384"/>
      <c r="BF13" s="384">
        <v>51</v>
      </c>
      <c r="BG13" s="1203"/>
      <c r="BH13" s="22">
        <f t="shared" si="8"/>
        <v>2.0000000000000018E-2</v>
      </c>
      <c r="BI13" s="460"/>
      <c r="BJ13" s="384">
        <v>75</v>
      </c>
      <c r="BK13" s="384"/>
      <c r="BL13" s="384">
        <v>66</v>
      </c>
      <c r="BM13" s="1203"/>
      <c r="BN13" s="22">
        <f t="shared" si="9"/>
        <v>-0.12</v>
      </c>
      <c r="BO13" s="460"/>
      <c r="BP13" s="384">
        <v>62</v>
      </c>
      <c r="BQ13" s="384"/>
      <c r="BR13" s="384">
        <v>63</v>
      </c>
      <c r="BS13" s="1203"/>
      <c r="BT13" s="22">
        <f t="shared" si="10"/>
        <v>1.6129032258064502E-2</v>
      </c>
      <c r="BU13" s="460"/>
      <c r="BV13" s="384">
        <v>48</v>
      </c>
      <c r="BW13" s="384"/>
      <c r="BX13" s="384">
        <v>65</v>
      </c>
      <c r="BY13" s="1256"/>
      <c r="BZ13" s="1173">
        <f t="shared" si="11"/>
        <v>0.35416666666666674</v>
      </c>
    </row>
    <row r="14" spans="1:78" ht="15.75" customHeight="1">
      <c r="A14" s="1683"/>
      <c r="B14" s="1683"/>
      <c r="C14" s="1371">
        <v>4.2</v>
      </c>
      <c r="D14" s="1371" t="s">
        <v>1223</v>
      </c>
      <c r="E14" s="454" t="s">
        <v>205</v>
      </c>
      <c r="F14" s="455"/>
      <c r="G14" s="456"/>
      <c r="H14" s="455"/>
      <c r="I14" s="456"/>
      <c r="J14" s="458">
        <f t="shared" si="16"/>
        <v>4.0999999999999996</v>
      </c>
      <c r="K14" s="458"/>
      <c r="L14" s="458">
        <f t="shared" si="17"/>
        <v>4.0999999999999996</v>
      </c>
      <c r="M14" s="458"/>
      <c r="N14" s="462">
        <f t="shared" si="12"/>
        <v>0</v>
      </c>
      <c r="O14" s="396">
        <f t="shared" si="1"/>
        <v>0</v>
      </c>
      <c r="P14" s="459">
        <f t="shared" si="13"/>
        <v>0</v>
      </c>
      <c r="Q14" s="459">
        <f t="shared" si="14"/>
        <v>0</v>
      </c>
      <c r="R14" s="459">
        <f t="shared" si="15"/>
        <v>0</v>
      </c>
      <c r="S14" s="460"/>
      <c r="T14" s="384">
        <v>3</v>
      </c>
      <c r="U14" s="462"/>
      <c r="V14" s="384">
        <v>3</v>
      </c>
      <c r="W14" s="1239"/>
      <c r="X14" s="22">
        <f t="shared" si="2"/>
        <v>0</v>
      </c>
      <c r="Y14" s="460"/>
      <c r="Z14" s="384">
        <v>5</v>
      </c>
      <c r="AA14" s="384"/>
      <c r="AB14" s="384">
        <v>5</v>
      </c>
      <c r="AC14" s="1239"/>
      <c r="AD14" s="22">
        <f t="shared" si="3"/>
        <v>0</v>
      </c>
      <c r="AE14" s="460"/>
      <c r="AF14" s="384">
        <v>5</v>
      </c>
      <c r="AG14" s="384"/>
      <c r="AH14" s="384">
        <v>5</v>
      </c>
      <c r="AI14" s="1203"/>
      <c r="AJ14" s="22">
        <f t="shared" si="4"/>
        <v>0</v>
      </c>
      <c r="AK14" s="460"/>
      <c r="AL14" s="384">
        <v>3</v>
      </c>
      <c r="AM14" s="384"/>
      <c r="AN14" s="384">
        <v>3</v>
      </c>
      <c r="AO14" s="1203"/>
      <c r="AP14" s="22">
        <f t="shared" si="5"/>
        <v>0</v>
      </c>
      <c r="AQ14" s="460"/>
      <c r="AR14" s="384">
        <v>5</v>
      </c>
      <c r="AS14" s="384"/>
      <c r="AT14" s="384">
        <v>5</v>
      </c>
      <c r="AU14" s="1203"/>
      <c r="AV14" s="22">
        <f t="shared" si="6"/>
        <v>0</v>
      </c>
      <c r="AW14" s="460"/>
      <c r="AX14" s="384">
        <v>5</v>
      </c>
      <c r="AY14" s="384"/>
      <c r="AZ14" s="384">
        <v>5</v>
      </c>
      <c r="BA14" s="1203"/>
      <c r="BB14" s="22">
        <f t="shared" si="7"/>
        <v>0</v>
      </c>
      <c r="BC14" s="460"/>
      <c r="BD14" s="384">
        <v>3</v>
      </c>
      <c r="BE14" s="384"/>
      <c r="BF14" s="384">
        <v>3</v>
      </c>
      <c r="BG14" s="1203"/>
      <c r="BH14" s="22">
        <f t="shared" si="8"/>
        <v>0</v>
      </c>
      <c r="BI14" s="460"/>
      <c r="BJ14" s="384">
        <v>5</v>
      </c>
      <c r="BK14" s="384"/>
      <c r="BL14" s="384">
        <v>4</v>
      </c>
      <c r="BM14" s="1203"/>
      <c r="BN14" s="22">
        <f t="shared" si="9"/>
        <v>-0.19999999999999996</v>
      </c>
      <c r="BO14" s="460"/>
      <c r="BP14" s="384">
        <v>3</v>
      </c>
      <c r="BQ14" s="384"/>
      <c r="BR14" s="384">
        <v>4</v>
      </c>
      <c r="BS14" s="1203"/>
      <c r="BT14" s="22">
        <f t="shared" si="10"/>
        <v>0.33333333333333326</v>
      </c>
      <c r="BU14" s="460"/>
      <c r="BV14" s="384">
        <v>4</v>
      </c>
      <c r="BW14" s="384"/>
      <c r="BX14" s="384">
        <v>4</v>
      </c>
      <c r="BY14" s="1256"/>
      <c r="BZ14" s="1173">
        <f t="shared" si="11"/>
        <v>0</v>
      </c>
    </row>
    <row r="15" spans="1:78" ht="15.75" customHeight="1">
      <c r="A15" s="462" t="s">
        <v>1225</v>
      </c>
      <c r="B15" s="462" t="s">
        <v>1226</v>
      </c>
      <c r="C15" s="1362">
        <v>5</v>
      </c>
      <c r="D15" s="453" t="s">
        <v>1224</v>
      </c>
      <c r="E15" s="454" t="s">
        <v>205</v>
      </c>
      <c r="F15" s="455"/>
      <c r="G15" s="456" t="s">
        <v>396</v>
      </c>
      <c r="H15" s="455" t="s">
        <v>231</v>
      </c>
      <c r="I15" s="457">
        <v>2</v>
      </c>
      <c r="J15" s="1287" t="s">
        <v>1227</v>
      </c>
      <c r="K15" s="458">
        <f>AVERAGE(BW15,BQ15,BK15,BE15,AY15,AS15,AM15,AG15,AA15,U15)</f>
        <v>2</v>
      </c>
      <c r="L15" s="1287" t="s">
        <v>1227</v>
      </c>
      <c r="M15" s="458">
        <f>AVERAGE(BY15,BS15,BM15,BG15,BA15,AU15,AO15,AI15,AC15,W15)</f>
        <v>2</v>
      </c>
      <c r="N15" s="462">
        <f t="shared" si="12"/>
        <v>0</v>
      </c>
      <c r="O15" s="396">
        <f t="shared" si="1"/>
        <v>0</v>
      </c>
      <c r="P15" s="459">
        <f t="shared" si="13"/>
        <v>0</v>
      </c>
      <c r="Q15" s="459">
        <f t="shared" si="14"/>
        <v>0</v>
      </c>
      <c r="R15" s="459">
        <f t="shared" si="15"/>
        <v>0</v>
      </c>
      <c r="S15" s="460"/>
      <c r="T15" s="342" t="s">
        <v>1227</v>
      </c>
      <c r="U15" s="362">
        <v>2</v>
      </c>
      <c r="V15" s="342" t="s">
        <v>1227</v>
      </c>
      <c r="W15" s="1239">
        <v>2</v>
      </c>
      <c r="X15" s="22">
        <f>IF((V15=T15)=TRUE,0,1)</f>
        <v>0</v>
      </c>
      <c r="Y15" s="460"/>
      <c r="Z15" s="342" t="s">
        <v>1227</v>
      </c>
      <c r="AA15" s="384">
        <v>2</v>
      </c>
      <c r="AB15" s="342" t="s">
        <v>1227</v>
      </c>
      <c r="AC15" s="1239">
        <v>2</v>
      </c>
      <c r="AD15" s="22">
        <f>IF((AB15=Z15)=TRUE,0,1)</f>
        <v>0</v>
      </c>
      <c r="AE15" s="460"/>
      <c r="AF15" s="342" t="s">
        <v>1227</v>
      </c>
      <c r="AG15" s="384">
        <v>2</v>
      </c>
      <c r="AH15" s="342" t="s">
        <v>1227</v>
      </c>
      <c r="AI15" s="1203">
        <v>2</v>
      </c>
      <c r="AJ15" s="22">
        <f>IF((AH15=AF15)=TRUE,0,1)</f>
        <v>0</v>
      </c>
      <c r="AK15" s="460"/>
      <c r="AL15" s="342" t="s">
        <v>1227</v>
      </c>
      <c r="AM15" s="384">
        <v>2</v>
      </c>
      <c r="AN15" s="342" t="s">
        <v>1227</v>
      </c>
      <c r="AO15" s="1203">
        <v>2</v>
      </c>
      <c r="AP15" s="22">
        <f>IF((AN15=AL15)=TRUE,0,1)</f>
        <v>0</v>
      </c>
      <c r="AQ15" s="460"/>
      <c r="AR15" s="342" t="s">
        <v>1227</v>
      </c>
      <c r="AS15" s="384">
        <v>2</v>
      </c>
      <c r="AT15" s="342" t="s">
        <v>1227</v>
      </c>
      <c r="AU15" s="1203">
        <v>2</v>
      </c>
      <c r="AV15" s="22">
        <f>IF((AT15=AR15)=TRUE,0,1)</f>
        <v>0</v>
      </c>
      <c r="AW15" s="460"/>
      <c r="AX15" s="342" t="s">
        <v>1227</v>
      </c>
      <c r="AY15" s="384">
        <v>2</v>
      </c>
      <c r="AZ15" s="342" t="s">
        <v>1227</v>
      </c>
      <c r="BA15" s="1203">
        <v>2</v>
      </c>
      <c r="BB15" s="22">
        <f>IF((AZ15=AX15)=TRUE,0,1)</f>
        <v>0</v>
      </c>
      <c r="BC15" s="460"/>
      <c r="BD15" s="342" t="s">
        <v>1227</v>
      </c>
      <c r="BE15" s="384">
        <v>2</v>
      </c>
      <c r="BF15" s="342" t="s">
        <v>1227</v>
      </c>
      <c r="BG15" s="1203">
        <v>2</v>
      </c>
      <c r="BH15" s="22">
        <f>IF((BF15=BD15)=TRUE,0,1)</f>
        <v>0</v>
      </c>
      <c r="BI15" s="460"/>
      <c r="BJ15" s="342" t="s">
        <v>1227</v>
      </c>
      <c r="BK15" s="384">
        <v>2</v>
      </c>
      <c r="BL15" s="342" t="s">
        <v>1227</v>
      </c>
      <c r="BM15" s="1203">
        <v>2</v>
      </c>
      <c r="BN15" s="22">
        <f>IF((BL15=BJ15)=TRUE,0,1)</f>
        <v>0</v>
      </c>
      <c r="BO15" s="460"/>
      <c r="BP15" s="342" t="s">
        <v>1227</v>
      </c>
      <c r="BQ15" s="384">
        <v>2</v>
      </c>
      <c r="BR15" s="342" t="s">
        <v>2121</v>
      </c>
      <c r="BS15" s="1203">
        <v>2</v>
      </c>
      <c r="BT15" s="22">
        <f>IF((BR15=BP15)=TRUE,0,1)</f>
        <v>0</v>
      </c>
      <c r="BU15" s="460"/>
      <c r="BV15" s="342" t="s">
        <v>1227</v>
      </c>
      <c r="BW15" s="384">
        <v>2</v>
      </c>
      <c r="BX15" s="342" t="s">
        <v>1227</v>
      </c>
      <c r="BY15" s="1239">
        <v>2</v>
      </c>
      <c r="BZ15" s="1173">
        <f>IF((BX15=BV15)=TRUE,0,1)</f>
        <v>0</v>
      </c>
    </row>
    <row r="16" spans="1:78" ht="14.25">
      <c r="A16" s="596" t="s">
        <v>1228</v>
      </c>
      <c r="B16" s="596" t="s">
        <v>1229</v>
      </c>
      <c r="C16" s="1362">
        <v>6</v>
      </c>
      <c r="D16" s="453" t="s">
        <v>117</v>
      </c>
      <c r="E16" s="454" t="s">
        <v>449</v>
      </c>
      <c r="F16" s="455"/>
      <c r="G16" s="456" t="s">
        <v>396</v>
      </c>
      <c r="H16" s="455" t="s">
        <v>231</v>
      </c>
      <c r="I16" s="457">
        <v>2</v>
      </c>
      <c r="J16" s="1287" t="s">
        <v>1230</v>
      </c>
      <c r="K16" s="458">
        <f>AVERAGE(BW16,BQ16,BK16,BE16,AY16,AS16,AM16,AG16,AA16,U16)</f>
        <v>2</v>
      </c>
      <c r="L16" s="1287" t="s">
        <v>1230</v>
      </c>
      <c r="M16" s="458">
        <f>AVERAGE(BY16,BS16,BM16,BG16,BA16,AU16,AO16,AI16,AC16,W16)</f>
        <v>2</v>
      </c>
      <c r="N16" s="462">
        <f t="shared" si="12"/>
        <v>0</v>
      </c>
      <c r="O16" s="396">
        <f t="shared" si="1"/>
        <v>0</v>
      </c>
      <c r="P16" s="459">
        <f t="shared" si="13"/>
        <v>0</v>
      </c>
      <c r="Q16" s="459">
        <f t="shared" si="14"/>
        <v>0</v>
      </c>
      <c r="R16" s="459">
        <f t="shared" si="15"/>
        <v>0</v>
      </c>
      <c r="S16" s="460"/>
      <c r="T16" s="342" t="s">
        <v>1230</v>
      </c>
      <c r="U16" s="362">
        <v>2</v>
      </c>
      <c r="V16" s="342" t="s">
        <v>1230</v>
      </c>
      <c r="W16" s="1239">
        <v>2</v>
      </c>
      <c r="X16" s="22">
        <f>IF((V16=T16)=TRUE,0,1)</f>
        <v>0</v>
      </c>
      <c r="Y16" s="460"/>
      <c r="Z16" s="342" t="s">
        <v>1230</v>
      </c>
      <c r="AA16" s="384">
        <v>2</v>
      </c>
      <c r="AB16" s="342" t="s">
        <v>1230</v>
      </c>
      <c r="AC16" s="1239">
        <v>2</v>
      </c>
      <c r="AD16" s="22">
        <f>IF((AB16=Z16)=TRUE,0,1)</f>
        <v>0</v>
      </c>
      <c r="AE16" s="460"/>
      <c r="AF16" s="342" t="s">
        <v>1230</v>
      </c>
      <c r="AG16" s="384">
        <v>2</v>
      </c>
      <c r="AH16" s="342" t="s">
        <v>1230</v>
      </c>
      <c r="AI16" s="1203">
        <v>2</v>
      </c>
      <c r="AJ16" s="22">
        <f>IF((AH16=AF16)=TRUE,0,1)</f>
        <v>0</v>
      </c>
      <c r="AK16" s="460"/>
      <c r="AL16" s="342" t="s">
        <v>1230</v>
      </c>
      <c r="AM16" s="384">
        <v>2</v>
      </c>
      <c r="AN16" s="342" t="s">
        <v>1230</v>
      </c>
      <c r="AO16" s="1203">
        <v>2</v>
      </c>
      <c r="AP16" s="22">
        <f>IF((AN16=AL16)=TRUE,0,1)</f>
        <v>0</v>
      </c>
      <c r="AQ16" s="460"/>
      <c r="AR16" s="342" t="s">
        <v>1230</v>
      </c>
      <c r="AS16" s="384">
        <v>2</v>
      </c>
      <c r="AT16" s="342" t="s">
        <v>1230</v>
      </c>
      <c r="AU16" s="1203">
        <v>2</v>
      </c>
      <c r="AV16" s="22">
        <f>IF((AT16=AR16)=TRUE,0,1)</f>
        <v>0</v>
      </c>
      <c r="AW16" s="460"/>
      <c r="AX16" s="342" t="s">
        <v>1230</v>
      </c>
      <c r="AY16" s="384">
        <v>2</v>
      </c>
      <c r="AZ16" s="342" t="s">
        <v>1230</v>
      </c>
      <c r="BA16" s="1203">
        <v>2</v>
      </c>
      <c r="BB16" s="22">
        <f>IF((AZ16=AX16)=TRUE,0,1)</f>
        <v>0</v>
      </c>
      <c r="BC16" s="460"/>
      <c r="BD16" s="342" t="s">
        <v>1230</v>
      </c>
      <c r="BE16" s="384">
        <v>2</v>
      </c>
      <c r="BF16" s="342" t="s">
        <v>1230</v>
      </c>
      <c r="BG16" s="1203">
        <v>2</v>
      </c>
      <c r="BH16" s="22">
        <f>IF((BF16=BD16)=TRUE,0,1)</f>
        <v>0</v>
      </c>
      <c r="BI16" s="460"/>
      <c r="BJ16" s="342" t="s">
        <v>1230</v>
      </c>
      <c r="BK16" s="384">
        <v>2</v>
      </c>
      <c r="BL16" s="342" t="s">
        <v>1230</v>
      </c>
      <c r="BM16" s="1203">
        <v>2</v>
      </c>
      <c r="BN16" s="22">
        <f>IF((BL16=BJ16)=TRUE,0,1)</f>
        <v>0</v>
      </c>
      <c r="BO16" s="460"/>
      <c r="BP16" s="342" t="s">
        <v>1230</v>
      </c>
      <c r="BQ16" s="384">
        <v>2</v>
      </c>
      <c r="BR16" s="342" t="s">
        <v>1230</v>
      </c>
      <c r="BS16" s="1203">
        <v>2</v>
      </c>
      <c r="BT16" s="22">
        <f>IF((BR16=BP16)=TRUE,0,1)</f>
        <v>0</v>
      </c>
      <c r="BU16" s="460"/>
      <c r="BV16" s="342" t="s">
        <v>1230</v>
      </c>
      <c r="BW16" s="384">
        <v>2</v>
      </c>
      <c r="BX16" s="342" t="s">
        <v>1230</v>
      </c>
      <c r="BY16" s="1239">
        <v>2</v>
      </c>
      <c r="BZ16" s="1173">
        <f>IF((BX16=BV16)=TRUE,0,1)</f>
        <v>0</v>
      </c>
    </row>
    <row r="17" spans="1:78" ht="19.5" customHeight="1">
      <c r="A17" s="1726" t="s">
        <v>1231</v>
      </c>
      <c r="B17" s="1725" t="s">
        <v>2088</v>
      </c>
      <c r="C17" s="1362">
        <v>7</v>
      </c>
      <c r="D17" s="453" t="s">
        <v>1832</v>
      </c>
      <c r="E17" s="454" t="s">
        <v>205</v>
      </c>
      <c r="F17" s="455"/>
      <c r="G17" s="456" t="s">
        <v>400</v>
      </c>
      <c r="H17" s="455" t="s">
        <v>231</v>
      </c>
      <c r="I17" s="1720">
        <v>4</v>
      </c>
      <c r="J17" s="458">
        <f>AVERAGE(BV17,BP17,BJ17,BD17,AX17,AR17,AL17,AF17,Z17,T17)</f>
        <v>0</v>
      </c>
      <c r="K17" s="1733">
        <f>AVERAGE(BW17,BQ17,BK17,BE17,AY17,AS17,AM17,AG17,AA17,U17)</f>
        <v>4</v>
      </c>
      <c r="L17" s="458">
        <f>AVERAGE(BX17,BR17,BL17,BF17,AZ17,AT17,AN17,AH17,AB17,V17)</f>
        <v>0</v>
      </c>
      <c r="M17" s="1733">
        <f>AVERAGE(BY17,BS17,BM17,BG17,BA17,AU17,AO17,AI17,AC17,W17)</f>
        <v>4</v>
      </c>
      <c r="N17" s="462">
        <f t="shared" si="12"/>
        <v>0</v>
      </c>
      <c r="O17" s="396">
        <f t="shared" si="1"/>
        <v>0</v>
      </c>
      <c r="P17" s="459">
        <f t="shared" si="13"/>
        <v>0</v>
      </c>
      <c r="Q17" s="459">
        <f t="shared" si="14"/>
        <v>0</v>
      </c>
      <c r="R17" s="459">
        <f t="shared" si="15"/>
        <v>0</v>
      </c>
      <c r="S17" s="460"/>
      <c r="T17" s="384">
        <v>0</v>
      </c>
      <c r="U17" s="1675">
        <f>IF(T18&lt;&gt;0,0,(IF(T17=0,4,(IF(T17&lt;=2,2,0)))))</f>
        <v>4</v>
      </c>
      <c r="V17" s="384">
        <v>0</v>
      </c>
      <c r="W17" s="1676">
        <f>IF(V18&lt;&gt;0,0,(IF(V17=0,4,(IF(V17&lt;=2,2,0)))))</f>
        <v>4</v>
      </c>
      <c r="X17" s="22">
        <f>IF(AND(T17=0,V17&lt;&gt;0),1,IF(AND(T17=0,V17=0),0,V17/T17-1))</f>
        <v>0</v>
      </c>
      <c r="Y17" s="460"/>
      <c r="Z17" s="384">
        <v>0</v>
      </c>
      <c r="AA17" s="1719">
        <v>4</v>
      </c>
      <c r="AB17" s="384">
        <v>0</v>
      </c>
      <c r="AC17" s="1676">
        <f>IF(AB18&lt;&gt;0,0,(IF(AB17=0,4,(IF(AB17&lt;=2,2,0)))))</f>
        <v>4</v>
      </c>
      <c r="AD17" s="22">
        <f>IF(AND(Z17=0,AB17&lt;&gt;0),1,IF(AND(Z17=0,AB17=0),0,AB17/Z17-1))</f>
        <v>0</v>
      </c>
      <c r="AE17" s="460"/>
      <c r="AF17" s="384">
        <v>0</v>
      </c>
      <c r="AG17" s="1719">
        <f>IF(AF18&lt;&gt;0,0,(IF(AF17=0,4,(IF(AF17&lt;=2,2,0)))))</f>
        <v>4</v>
      </c>
      <c r="AH17" s="384">
        <v>0</v>
      </c>
      <c r="AI17" s="1721">
        <f>IF(AH18&lt;&gt;0,0,(IF(AH17=0,4,(IF(AH17&lt;=2,2,0)))))</f>
        <v>4</v>
      </c>
      <c r="AJ17" s="22">
        <f>IF(AND(AF17=0,AH17&lt;&gt;0),1,IF(AND(AF17=0,AH17=0),0,AH17/AF17-1))</f>
        <v>0</v>
      </c>
      <c r="AK17" s="460"/>
      <c r="AL17" s="384">
        <v>0</v>
      </c>
      <c r="AM17" s="1719">
        <v>4</v>
      </c>
      <c r="AN17" s="384">
        <v>0</v>
      </c>
      <c r="AO17" s="1721">
        <f>IF(AN18&lt;&gt;0,0,(IF(AN17=0,4,(IF(AN17&lt;=2,2,0)))))</f>
        <v>4</v>
      </c>
      <c r="AP17" s="22">
        <f>IF(AND(AL17=0,AN17&lt;&gt;0),1,IF(AND(AL17=0,AN17=0),0,AN17/AL17-1))</f>
        <v>0</v>
      </c>
      <c r="AQ17" s="460"/>
      <c r="AR17" s="384">
        <v>0</v>
      </c>
      <c r="AS17" s="1719">
        <v>4</v>
      </c>
      <c r="AT17" s="384">
        <v>0</v>
      </c>
      <c r="AU17" s="1721">
        <f>IF(AT18&lt;&gt;0,0,(IF(AT17=0,4,(IF(AT17&lt;=2,2,0)))))</f>
        <v>4</v>
      </c>
      <c r="AV17" s="22">
        <f>IF(AND(AR17=0,AT17&lt;&gt;0),1,IF(AND(AR17=0,AT17=0),0,AT17/AR17-1))</f>
        <v>0</v>
      </c>
      <c r="AW17" s="460"/>
      <c r="AX17" s="384">
        <v>0</v>
      </c>
      <c r="AY17" s="1719">
        <v>4</v>
      </c>
      <c r="AZ17" s="384">
        <v>0</v>
      </c>
      <c r="BA17" s="1721">
        <f>IF(AZ18&lt;&gt;0,0,(IF(AZ17=0,4,(IF(AZ17&lt;=2,2,0)))))</f>
        <v>4</v>
      </c>
      <c r="BB17" s="22">
        <f>IF(AND(AX17=0,AZ17&lt;&gt;0),1,IF(AND(AX17=0,AZ17=0),0,AZ17/AX17-1))</f>
        <v>0</v>
      </c>
      <c r="BC17" s="460"/>
      <c r="BD17" s="384">
        <v>0</v>
      </c>
      <c r="BE17" s="1719">
        <v>4</v>
      </c>
      <c r="BF17" s="384">
        <v>0</v>
      </c>
      <c r="BG17" s="1721">
        <f>IF(BF18&lt;&gt;0,0,(IF(BF17=0,4,(IF(BF17&lt;=2,2,0)))))</f>
        <v>4</v>
      </c>
      <c r="BH17" s="22">
        <f>IF(AND(BD17=0,BF17&lt;&gt;0),1,IF(AND(BD17=0,BF17=0),0,BF17/BD17-1))</f>
        <v>0</v>
      </c>
      <c r="BI17" s="460"/>
      <c r="BJ17" s="384">
        <v>0</v>
      </c>
      <c r="BK17" s="1719">
        <v>4</v>
      </c>
      <c r="BL17" s="384">
        <v>0</v>
      </c>
      <c r="BM17" s="1721">
        <f>IF(BL18&lt;&gt;0,0,(IF(BL17=0,4,(IF(BL17&lt;=2,2,0)))))</f>
        <v>4</v>
      </c>
      <c r="BN17" s="22">
        <f>IF(AND(BJ17=0,BL17&lt;&gt;0),1,IF(AND(BJ17=0,BL17=0),0,BL17/BJ17-1))</f>
        <v>0</v>
      </c>
      <c r="BO17" s="460"/>
      <c r="BP17" s="384">
        <v>0</v>
      </c>
      <c r="BQ17" s="1719">
        <v>4</v>
      </c>
      <c r="BR17" s="384">
        <v>0</v>
      </c>
      <c r="BS17" s="1721">
        <f>IF(BR18&lt;&gt;0,0,(IF(BR17=0,4,(IF(BR17&lt;=2,2,0)))))</f>
        <v>4</v>
      </c>
      <c r="BT17" s="22">
        <f>IF(AND(BP17=0,BR17&lt;&gt;0),1,IF(AND(BP17=0,BR17=0),0,BR17/BP17-1))</f>
        <v>0</v>
      </c>
      <c r="BU17" s="460"/>
      <c r="BV17" s="384">
        <v>0</v>
      </c>
      <c r="BW17" s="1719">
        <v>4</v>
      </c>
      <c r="BX17" s="384">
        <v>0</v>
      </c>
      <c r="BY17" s="1676">
        <f>IF(BX18&lt;&gt;0,0,(IF(BX17=0,4,(IF(BX17&lt;=2,2,0)))))</f>
        <v>4</v>
      </c>
      <c r="BZ17" s="1173">
        <f>IF(AND(BV17=0,BX17&lt;&gt;0),1,IF(AND(BV17=0,BX17=0),0,BX17/BV17-1))</f>
        <v>0</v>
      </c>
    </row>
    <row r="18" spans="1:78" ht="14.25">
      <c r="A18" s="1683"/>
      <c r="B18" s="1732"/>
      <c r="C18" s="1362">
        <v>8</v>
      </c>
      <c r="D18" s="453" t="s">
        <v>1232</v>
      </c>
      <c r="E18" s="454" t="s">
        <v>205</v>
      </c>
      <c r="F18" s="455"/>
      <c r="G18" s="456" t="s">
        <v>400</v>
      </c>
      <c r="H18" s="455" t="s">
        <v>231</v>
      </c>
      <c r="I18" s="1720"/>
      <c r="J18" s="458">
        <f>AVERAGE(BV18,BP18,BJ18,BD18,AX18,AR18,AL18,AF18,Z18,T18)</f>
        <v>0</v>
      </c>
      <c r="K18" s="1735"/>
      <c r="L18" s="458">
        <f>AVERAGE(BX18,BR18,BL18,BF18,AZ18,AT18,AN18,AH18,AB18,V18)</f>
        <v>0</v>
      </c>
      <c r="M18" s="1735"/>
      <c r="N18" s="462">
        <f t="shared" si="12"/>
        <v>0</v>
      </c>
      <c r="O18" s="396">
        <f t="shared" si="1"/>
        <v>0</v>
      </c>
      <c r="P18" s="459">
        <f t="shared" si="13"/>
        <v>0</v>
      </c>
      <c r="Q18" s="459">
        <f t="shared" si="14"/>
        <v>0</v>
      </c>
      <c r="R18" s="459">
        <f t="shared" si="15"/>
        <v>0</v>
      </c>
      <c r="S18" s="460"/>
      <c r="T18" s="384">
        <v>0</v>
      </c>
      <c r="U18" s="1675"/>
      <c r="V18" s="384">
        <v>0</v>
      </c>
      <c r="W18" s="1676"/>
      <c r="X18" s="22">
        <f>IF(AND(T18=0,V18&lt;&gt;0),1,IF(AND(T18=0,V18=0),0,V18/T18-1))</f>
        <v>0</v>
      </c>
      <c r="Y18" s="460"/>
      <c r="Z18" s="384">
        <v>0</v>
      </c>
      <c r="AA18" s="1719"/>
      <c r="AB18" s="384">
        <v>0</v>
      </c>
      <c r="AC18" s="1676"/>
      <c r="AD18" s="22">
        <f>IF(AND(Z18=0,AB18&lt;&gt;0),1,IF(AND(Z18=0,AB18=0),0,AB18/Z18-1))</f>
        <v>0</v>
      </c>
      <c r="AE18" s="460"/>
      <c r="AF18" s="384">
        <v>0</v>
      </c>
      <c r="AG18" s="1719"/>
      <c r="AH18" s="384">
        <v>0</v>
      </c>
      <c r="AI18" s="1721"/>
      <c r="AJ18" s="22">
        <f>IF(AND(AF18=0,AH18&lt;&gt;0),1,IF(AND(AF18=0,AH18=0),0,AH18/AF18-1))</f>
        <v>0</v>
      </c>
      <c r="AK18" s="460"/>
      <c r="AL18" s="384">
        <v>0</v>
      </c>
      <c r="AM18" s="1719"/>
      <c r="AN18" s="384">
        <v>0</v>
      </c>
      <c r="AO18" s="1721"/>
      <c r="AP18" s="22">
        <f>IF(AND(AL18=0,AN18&lt;&gt;0),1,IF(AND(AL18=0,AN18=0),0,AN18/AL18-1))</f>
        <v>0</v>
      </c>
      <c r="AQ18" s="460"/>
      <c r="AR18" s="384">
        <v>0</v>
      </c>
      <c r="AS18" s="1719"/>
      <c r="AT18" s="384">
        <v>0</v>
      </c>
      <c r="AU18" s="1721"/>
      <c r="AV18" s="22">
        <f>IF(AND(AR18=0,AT18&lt;&gt;0),1,IF(AND(AR18=0,AT18=0),0,AT18/AR18-1))</f>
        <v>0</v>
      </c>
      <c r="AW18" s="460"/>
      <c r="AX18" s="384">
        <v>0</v>
      </c>
      <c r="AY18" s="1719"/>
      <c r="AZ18" s="384">
        <v>0</v>
      </c>
      <c r="BA18" s="1721"/>
      <c r="BB18" s="22">
        <f>IF(AND(AX18=0,AZ18&lt;&gt;0),1,IF(AND(AX18=0,AZ18=0),0,AZ18/AX18-1))</f>
        <v>0</v>
      </c>
      <c r="BC18" s="460"/>
      <c r="BD18" s="384">
        <v>0</v>
      </c>
      <c r="BE18" s="1719"/>
      <c r="BF18" s="384">
        <v>0</v>
      </c>
      <c r="BG18" s="1721"/>
      <c r="BH18" s="22">
        <f>IF(AND(BD18=0,BF18&lt;&gt;0),1,IF(AND(BD18=0,BF18=0),0,BF18/BD18-1))</f>
        <v>0</v>
      </c>
      <c r="BI18" s="460"/>
      <c r="BJ18" s="384">
        <v>0</v>
      </c>
      <c r="BK18" s="1719"/>
      <c r="BL18" s="384">
        <v>0</v>
      </c>
      <c r="BM18" s="1721"/>
      <c r="BN18" s="22">
        <f>IF(AND(BJ18=0,BL18&lt;&gt;0),1,IF(AND(BJ18=0,BL18=0),0,BL18/BJ18-1))</f>
        <v>0</v>
      </c>
      <c r="BO18" s="460"/>
      <c r="BP18" s="384">
        <v>0</v>
      </c>
      <c r="BQ18" s="1719"/>
      <c r="BR18" s="384">
        <v>0</v>
      </c>
      <c r="BS18" s="1721"/>
      <c r="BT18" s="22">
        <f>IF(AND(BP18=0,BR18&lt;&gt;0),1,IF(AND(BP18=0,BR18=0),0,BR18/BP18-1))</f>
        <v>0</v>
      </c>
      <c r="BU18" s="460"/>
      <c r="BV18" s="384">
        <v>0</v>
      </c>
      <c r="BW18" s="1719"/>
      <c r="BX18" s="384">
        <v>0</v>
      </c>
      <c r="BY18" s="1676"/>
      <c r="BZ18" s="1173">
        <f>IF(AND(BV18=0,BX18&lt;&gt;0),1,IF(AND(BV18=0,BX18=0),0,BX18/BV18-1))</f>
        <v>0</v>
      </c>
    </row>
    <row r="19" spans="1:78" ht="16.5" customHeight="1">
      <c r="A19" s="1683"/>
      <c r="B19" s="1732"/>
      <c r="C19" s="1362">
        <v>9</v>
      </c>
      <c r="D19" s="453" t="s">
        <v>2087</v>
      </c>
      <c r="E19" s="454" t="s">
        <v>205</v>
      </c>
      <c r="F19" s="455"/>
      <c r="G19" s="456" t="s">
        <v>400</v>
      </c>
      <c r="H19" s="455" t="s">
        <v>231</v>
      </c>
      <c r="I19" s="1720"/>
      <c r="J19" s="468" t="s">
        <v>1233</v>
      </c>
      <c r="K19" s="1734"/>
      <c r="L19" s="1325" t="s">
        <v>1233</v>
      </c>
      <c r="M19" s="1734"/>
      <c r="N19" s="462">
        <f t="shared" si="12"/>
        <v>0</v>
      </c>
      <c r="O19" s="396">
        <f t="shared" si="1"/>
        <v>0</v>
      </c>
      <c r="P19" s="459">
        <f t="shared" si="13"/>
        <v>0</v>
      </c>
      <c r="Q19" s="459">
        <f t="shared" si="14"/>
        <v>0</v>
      </c>
      <c r="R19" s="459">
        <f t="shared" si="15"/>
        <v>0</v>
      </c>
      <c r="S19" s="460"/>
      <c r="T19" s="342" t="s">
        <v>1233</v>
      </c>
      <c r="U19" s="1675"/>
      <c r="V19" s="867" t="s">
        <v>1453</v>
      </c>
      <c r="W19" s="1676"/>
      <c r="X19" s="22">
        <f>IF((V19=T19)=TRUE,0,1)</f>
        <v>0</v>
      </c>
      <c r="Y19" s="460"/>
      <c r="Z19" s="342" t="s">
        <v>1233</v>
      </c>
      <c r="AA19" s="1719"/>
      <c r="AB19" s="342" t="s">
        <v>1233</v>
      </c>
      <c r="AC19" s="1676"/>
      <c r="AD19" s="22">
        <f>IF((AB19=Z19)=TRUE,0,1)</f>
        <v>0</v>
      </c>
      <c r="AE19" s="460"/>
      <c r="AF19" s="342" t="s">
        <v>1233</v>
      </c>
      <c r="AG19" s="1719"/>
      <c r="AH19" s="342" t="s">
        <v>1233</v>
      </c>
      <c r="AI19" s="1721"/>
      <c r="AJ19" s="22">
        <f>IF((AH19=AF19)=TRUE,0,1)</f>
        <v>0</v>
      </c>
      <c r="AK19" s="460"/>
      <c r="AL19" s="342" t="s">
        <v>1233</v>
      </c>
      <c r="AM19" s="1719"/>
      <c r="AN19" s="342" t="s">
        <v>1233</v>
      </c>
      <c r="AO19" s="1721"/>
      <c r="AP19" s="22">
        <f>IF((AN19=AL19)=TRUE,0,1)</f>
        <v>0</v>
      </c>
      <c r="AQ19" s="460"/>
      <c r="AR19" s="342" t="s">
        <v>1233</v>
      </c>
      <c r="AS19" s="1719"/>
      <c r="AT19" s="342" t="s">
        <v>1453</v>
      </c>
      <c r="AU19" s="1721"/>
      <c r="AV19" s="22">
        <f>IF((AT19=AR19)=TRUE,0,1)</f>
        <v>0</v>
      </c>
      <c r="AW19" s="460"/>
      <c r="AX19" s="342" t="s">
        <v>1233</v>
      </c>
      <c r="AY19" s="1719"/>
      <c r="AZ19" s="342" t="s">
        <v>1233</v>
      </c>
      <c r="BA19" s="1721"/>
      <c r="BB19" s="22">
        <f>IF((AZ19=AX19)=TRUE,0,1)</f>
        <v>0</v>
      </c>
      <c r="BC19" s="460"/>
      <c r="BD19" s="342" t="s">
        <v>1233</v>
      </c>
      <c r="BE19" s="1719"/>
      <c r="BF19" s="342" t="s">
        <v>1233</v>
      </c>
      <c r="BG19" s="1721"/>
      <c r="BH19" s="22">
        <f>IF((BF19=BD19)=TRUE,0,1)</f>
        <v>0</v>
      </c>
      <c r="BI19" s="460"/>
      <c r="BJ19" s="342" t="s">
        <v>1233</v>
      </c>
      <c r="BK19" s="1719"/>
      <c r="BL19" s="342" t="s">
        <v>1233</v>
      </c>
      <c r="BM19" s="1721"/>
      <c r="BN19" s="22">
        <f>IF((BL19=BJ19)=TRUE,0,1)</f>
        <v>0</v>
      </c>
      <c r="BO19" s="460"/>
      <c r="BP19" s="342" t="s">
        <v>1233</v>
      </c>
      <c r="BQ19" s="1719"/>
      <c r="BR19" s="342" t="s">
        <v>2086</v>
      </c>
      <c r="BS19" s="1721"/>
      <c r="BT19" s="22">
        <f>IF((BR19=BP19)=TRUE,0,1)</f>
        <v>0</v>
      </c>
      <c r="BU19" s="460"/>
      <c r="BV19" s="342" t="s">
        <v>1233</v>
      </c>
      <c r="BW19" s="1719"/>
      <c r="BX19" s="342" t="s">
        <v>1233</v>
      </c>
      <c r="BY19" s="1676"/>
      <c r="BZ19" s="1173">
        <f>IF((BX19=BV19)=TRUE,0,1)</f>
        <v>0</v>
      </c>
    </row>
    <row r="20" spans="1:78" ht="19.5" customHeight="1">
      <c r="A20" s="1726" t="s">
        <v>1235</v>
      </c>
      <c r="B20" s="1726" t="s">
        <v>1236</v>
      </c>
      <c r="C20" s="1362">
        <v>10</v>
      </c>
      <c r="D20" s="453" t="s">
        <v>1234</v>
      </c>
      <c r="E20" s="454" t="s">
        <v>205</v>
      </c>
      <c r="F20" s="455"/>
      <c r="G20" s="456" t="s">
        <v>400</v>
      </c>
      <c r="H20" s="455" t="s">
        <v>231</v>
      </c>
      <c r="I20" s="1720">
        <v>6</v>
      </c>
      <c r="J20" s="458">
        <f>AVERAGE(BV20,BP20,BJ20,BD20,AX20,AR20,AL20,AF20,Z20,T20)</f>
        <v>0</v>
      </c>
      <c r="K20" s="1733">
        <f>AVERAGE(BW20,BQ20,BK20,BE20,AY20,AS20,AM20,AG20,AA20,U20)</f>
        <v>6</v>
      </c>
      <c r="L20" s="458">
        <f>AVERAGE(BX20,BR20,BL20,BF20,AZ20,AT20,AN20,AH20,AB20,V20)</f>
        <v>0</v>
      </c>
      <c r="M20" s="1733">
        <f>AVERAGE(BY20,BS20,BM20,BG20,BA20,AU20,AO20,AI20,AC20,W20)</f>
        <v>6</v>
      </c>
      <c r="N20" s="462">
        <f t="shared" si="12"/>
        <v>0</v>
      </c>
      <c r="O20" s="396">
        <f t="shared" si="1"/>
        <v>0</v>
      </c>
      <c r="P20" s="459">
        <f t="shared" si="13"/>
        <v>0</v>
      </c>
      <c r="Q20" s="459">
        <f t="shared" si="14"/>
        <v>0</v>
      </c>
      <c r="R20" s="459">
        <f t="shared" si="15"/>
        <v>0</v>
      </c>
      <c r="S20" s="460"/>
      <c r="T20" s="384">
        <v>0</v>
      </c>
      <c r="U20" s="1675">
        <f>6-T20*3-T21*0.5</f>
        <v>6</v>
      </c>
      <c r="V20" s="384">
        <v>0</v>
      </c>
      <c r="W20" s="1676">
        <f>6-V20*3-V21*0.5</f>
        <v>6</v>
      </c>
      <c r="X20" s="22">
        <f>IF(AND(T20=0,V20&lt;&gt;0),1,IF(AND(T20=0,V20=0),0,V20/T20-1))</f>
        <v>0</v>
      </c>
      <c r="Y20" s="460"/>
      <c r="Z20" s="384">
        <v>0</v>
      </c>
      <c r="AA20" s="1719">
        <f>6-Z20*3-Z21*0.5</f>
        <v>6</v>
      </c>
      <c r="AB20" s="384">
        <v>0</v>
      </c>
      <c r="AC20" s="1676">
        <f>6-AB20*3-AB21*0.5</f>
        <v>6</v>
      </c>
      <c r="AD20" s="22">
        <f>IF(AND(Z20=0,AB20&lt;&gt;0),1,IF(AND(Z20=0,AB20=0),0,AB20/Z20-1))</f>
        <v>0</v>
      </c>
      <c r="AE20" s="460"/>
      <c r="AF20" s="384">
        <v>0</v>
      </c>
      <c r="AG20" s="1719">
        <f>6-AF20*3-AF21*0.5</f>
        <v>6</v>
      </c>
      <c r="AH20" s="384">
        <v>0</v>
      </c>
      <c r="AI20" s="1721">
        <f>6-AH20*3-AH21*0.5</f>
        <v>6</v>
      </c>
      <c r="AJ20" s="22">
        <f>IF(AND(AF20=0,AH20&lt;&gt;0),1,IF(AND(AF20=0,AH20=0),0,AH20/AF20-1))</f>
        <v>0</v>
      </c>
      <c r="AK20" s="460"/>
      <c r="AL20" s="384">
        <v>0</v>
      </c>
      <c r="AM20" s="1719">
        <f>6-AL20*3-AL21*0.5</f>
        <v>6</v>
      </c>
      <c r="AN20" s="384">
        <v>0</v>
      </c>
      <c r="AO20" s="1721">
        <f>6-AN20*3-AN21*0.5</f>
        <v>6</v>
      </c>
      <c r="AP20" s="22">
        <f>IF(AND(AL20=0,AN20&lt;&gt;0),1,IF(AND(AL20=0,AN20=0),0,AN20/AL20-1))</f>
        <v>0</v>
      </c>
      <c r="AQ20" s="460"/>
      <c r="AR20" s="384">
        <v>0</v>
      </c>
      <c r="AS20" s="1719">
        <f>6-AR20*3-AR21*0.5</f>
        <v>6</v>
      </c>
      <c r="AT20" s="384">
        <v>0</v>
      </c>
      <c r="AU20" s="1721">
        <f>6-AT20*3-AT21*0.5</f>
        <v>6</v>
      </c>
      <c r="AV20" s="22">
        <f>IF(AND(AR20=0,AT20&lt;&gt;0),1,IF(AND(AR20=0,AT20=0),0,AT20/AR20-1))</f>
        <v>0</v>
      </c>
      <c r="AW20" s="460"/>
      <c r="AX20" s="384">
        <v>0</v>
      </c>
      <c r="AY20" s="1719">
        <f>6-AX20*3-AX21*0.5</f>
        <v>6</v>
      </c>
      <c r="AZ20" s="384">
        <v>0</v>
      </c>
      <c r="BA20" s="1721">
        <f>6-AZ20*3-AZ21*0.5</f>
        <v>6</v>
      </c>
      <c r="BB20" s="22">
        <f>IF(AND(AX20=0,AZ20&lt;&gt;0),1,IF(AND(AX20=0,AZ20=0),0,AZ20/AX20-1))</f>
        <v>0</v>
      </c>
      <c r="BC20" s="460"/>
      <c r="BD20" s="384">
        <v>0</v>
      </c>
      <c r="BE20" s="1719">
        <f>6-BD20*3-BD21*0.5</f>
        <v>6</v>
      </c>
      <c r="BF20" s="384">
        <v>0</v>
      </c>
      <c r="BG20" s="1721">
        <f>6-BF20*3-BF21*0.5</f>
        <v>6</v>
      </c>
      <c r="BH20" s="22">
        <f>IF(AND(BD20=0,BF20&lt;&gt;0),1,IF(AND(BD20=0,BF20=0),0,BF20/BD20-1))</f>
        <v>0</v>
      </c>
      <c r="BI20" s="460"/>
      <c r="BJ20" s="384">
        <v>0</v>
      </c>
      <c r="BK20" s="1719">
        <f>6-BJ20*3-BJ21*0.5</f>
        <v>6</v>
      </c>
      <c r="BL20" s="384">
        <v>0</v>
      </c>
      <c r="BM20" s="1721">
        <f>6-BL20*3-BL21*0.5</f>
        <v>6</v>
      </c>
      <c r="BN20" s="22">
        <f>IF(AND(BJ20=0,BL20&lt;&gt;0),1,IF(AND(BJ20=0,BL20=0),0,BL20/BJ20-1))</f>
        <v>0</v>
      </c>
      <c r="BO20" s="460"/>
      <c r="BP20" s="384">
        <v>0</v>
      </c>
      <c r="BQ20" s="1719">
        <f>6-BP20*3-BP21*0.5</f>
        <v>6</v>
      </c>
      <c r="BR20" s="384">
        <v>0</v>
      </c>
      <c r="BS20" s="1721">
        <f>6-BR20*3-BR21*0.5</f>
        <v>6</v>
      </c>
      <c r="BT20" s="22">
        <f>IF(AND(BP20=0,BR20&lt;&gt;0),1,IF(AND(BP20=0,BR20=0),0,BR20/BP20-1))</f>
        <v>0</v>
      </c>
      <c r="BU20" s="460"/>
      <c r="BV20" s="384">
        <v>0</v>
      </c>
      <c r="BW20" s="1719">
        <f>6-BV20*3-BV21*0.5</f>
        <v>6</v>
      </c>
      <c r="BX20" s="384">
        <v>0</v>
      </c>
      <c r="BY20" s="1676">
        <f>6-BX20*3-BX21*0.5</f>
        <v>6</v>
      </c>
      <c r="BZ20" s="1173">
        <f>IF(AND(BV20=0,BX20&lt;&gt;0),1,IF(AND(BV20=0,BX20=0),0,BX20/BV20-1))</f>
        <v>0</v>
      </c>
    </row>
    <row r="21" spans="1:78" ht="15" customHeight="1">
      <c r="A21" s="1726"/>
      <c r="B21" s="1726"/>
      <c r="C21" s="1362">
        <v>11</v>
      </c>
      <c r="D21" s="453" t="s">
        <v>1237</v>
      </c>
      <c r="E21" s="454" t="s">
        <v>205</v>
      </c>
      <c r="F21" s="455"/>
      <c r="G21" s="456" t="s">
        <v>400</v>
      </c>
      <c r="H21" s="455" t="s">
        <v>231</v>
      </c>
      <c r="I21" s="1720"/>
      <c r="J21" s="458">
        <f>AVERAGE(BV21,BP21,BJ21,BD21,AX21,AR21,AL21,AF21,Z21,T21)</f>
        <v>0</v>
      </c>
      <c r="K21" s="1734"/>
      <c r="L21" s="458">
        <f>AVERAGE(BX21,BR21,BL21,BF21,AZ21,AT21,AN21,AH21,AB21,V21)</f>
        <v>0</v>
      </c>
      <c r="M21" s="1734"/>
      <c r="N21" s="462">
        <f t="shared" si="12"/>
        <v>0</v>
      </c>
      <c r="O21" s="396">
        <f t="shared" si="1"/>
        <v>0</v>
      </c>
      <c r="P21" s="459">
        <f t="shared" si="13"/>
        <v>0</v>
      </c>
      <c r="Q21" s="459">
        <f t="shared" si="14"/>
        <v>0</v>
      </c>
      <c r="R21" s="459">
        <f t="shared" si="15"/>
        <v>0</v>
      </c>
      <c r="S21" s="460"/>
      <c r="T21" s="384">
        <v>0</v>
      </c>
      <c r="U21" s="1675"/>
      <c r="V21" s="384">
        <v>0</v>
      </c>
      <c r="W21" s="1676"/>
      <c r="X21" s="22">
        <f>IF(AND(T21=0,V21&lt;&gt;0),1,IF(AND(T21=0,V21=0),0,V21/T21-1))</f>
        <v>0</v>
      </c>
      <c r="Y21" s="460"/>
      <c r="Z21" s="384">
        <v>0</v>
      </c>
      <c r="AA21" s="1719"/>
      <c r="AB21" s="384">
        <v>0</v>
      </c>
      <c r="AC21" s="1676"/>
      <c r="AD21" s="22">
        <f>IF(AND(Z21=0,AB21&lt;&gt;0),1,IF(AND(Z21=0,AB21=0),0,AB21/Z21-1))</f>
        <v>0</v>
      </c>
      <c r="AE21" s="460"/>
      <c r="AF21" s="384">
        <v>0</v>
      </c>
      <c r="AG21" s="1719"/>
      <c r="AH21" s="384">
        <v>0</v>
      </c>
      <c r="AI21" s="1721"/>
      <c r="AJ21" s="22">
        <f>IF(AND(AF21=0,AH21&lt;&gt;0),1,IF(AND(AF21=0,AH21=0),0,AH21/AF21-1))</f>
        <v>0</v>
      </c>
      <c r="AK21" s="460"/>
      <c r="AL21" s="384">
        <v>0</v>
      </c>
      <c r="AM21" s="1719"/>
      <c r="AN21" s="384">
        <v>0</v>
      </c>
      <c r="AO21" s="1721"/>
      <c r="AP21" s="22">
        <f>IF(AND(AL21=0,AN21&lt;&gt;0),1,IF(AND(AL21=0,AN21=0),0,AN21/AL21-1))</f>
        <v>0</v>
      </c>
      <c r="AQ21" s="460"/>
      <c r="AR21" s="384">
        <v>0</v>
      </c>
      <c r="AS21" s="1719"/>
      <c r="AT21" s="384">
        <v>0</v>
      </c>
      <c r="AU21" s="1721"/>
      <c r="AV21" s="22">
        <f>IF(AND(AR21=0,AT21&lt;&gt;0),1,IF(AND(AR21=0,AT21=0),0,AT21/AR21-1))</f>
        <v>0</v>
      </c>
      <c r="AW21" s="460"/>
      <c r="AX21" s="384">
        <v>0</v>
      </c>
      <c r="AY21" s="1719"/>
      <c r="AZ21" s="384">
        <v>0</v>
      </c>
      <c r="BA21" s="1721"/>
      <c r="BB21" s="22">
        <f>IF(AND(AX21=0,AZ21&lt;&gt;0),1,IF(AND(AX21=0,AZ21=0),0,AZ21/AX21-1))</f>
        <v>0</v>
      </c>
      <c r="BC21" s="460"/>
      <c r="BD21" s="384">
        <v>0</v>
      </c>
      <c r="BE21" s="1719"/>
      <c r="BF21" s="384">
        <v>0</v>
      </c>
      <c r="BG21" s="1721"/>
      <c r="BH21" s="22">
        <f>IF(AND(BD21=0,BF21&lt;&gt;0),1,IF(AND(BD21=0,BF21=0),0,BF21/BD21-1))</f>
        <v>0</v>
      </c>
      <c r="BI21" s="460"/>
      <c r="BJ21" s="384">
        <v>0</v>
      </c>
      <c r="BK21" s="1719"/>
      <c r="BL21" s="384">
        <v>0</v>
      </c>
      <c r="BM21" s="1721"/>
      <c r="BN21" s="22">
        <f>IF(AND(BJ21=0,BL21&lt;&gt;0),1,IF(AND(BJ21=0,BL21=0),0,BL21/BJ21-1))</f>
        <v>0</v>
      </c>
      <c r="BO21" s="460"/>
      <c r="BP21" s="384">
        <v>0</v>
      </c>
      <c r="BQ21" s="1719"/>
      <c r="BR21" s="384">
        <v>0</v>
      </c>
      <c r="BS21" s="1721"/>
      <c r="BT21" s="22">
        <f>IF(AND(BP21=0,BR21&lt;&gt;0),1,IF(AND(BP21=0,BR21=0),0,BR21/BP21-1))</f>
        <v>0</v>
      </c>
      <c r="BU21" s="460"/>
      <c r="BV21" s="384">
        <v>0</v>
      </c>
      <c r="BW21" s="1719"/>
      <c r="BX21" s="384">
        <v>0</v>
      </c>
      <c r="BY21" s="1676"/>
      <c r="BZ21" s="1173">
        <f>IF(AND(BV21=0,BX21&lt;&gt;0),1,IF(AND(BV21=0,BX21=0),0,BX21/BV21-1))</f>
        <v>0</v>
      </c>
    </row>
    <row r="22" spans="1:78" ht="14.25">
      <c r="A22" s="462" t="s">
        <v>1238</v>
      </c>
      <c r="B22" s="462" t="s">
        <v>1239</v>
      </c>
      <c r="C22" s="1362">
        <v>12</v>
      </c>
      <c r="D22" s="1328" t="s">
        <v>1679</v>
      </c>
      <c r="E22" s="454" t="s">
        <v>205</v>
      </c>
      <c r="F22" s="455"/>
      <c r="G22" s="456" t="s">
        <v>396</v>
      </c>
      <c r="H22" s="455" t="s">
        <v>231</v>
      </c>
      <c r="I22" s="457">
        <v>1</v>
      </c>
      <c r="J22" s="1287" t="s">
        <v>1240</v>
      </c>
      <c r="K22" s="461">
        <f>AVERAGE(BW22,BQ22,BK22,BE22,AY22,AS22,AM22,AG22,AA22,U22)</f>
        <v>0.9</v>
      </c>
      <c r="L22" s="458" t="s">
        <v>1240</v>
      </c>
      <c r="M22" s="461">
        <f>AVERAGE(BY22,BS22,BM22,BG22,BA22,AU22,AO22,AI22,AC22,W22)</f>
        <v>0.9</v>
      </c>
      <c r="N22" s="449">
        <f t="shared" si="12"/>
        <v>0</v>
      </c>
      <c r="O22" s="396">
        <f t="shared" si="1"/>
        <v>9.9999999999999978E-2</v>
      </c>
      <c r="P22" s="459">
        <f t="shared" si="13"/>
        <v>3.9999999999999994E-2</v>
      </c>
      <c r="Q22" s="459">
        <f t="shared" si="14"/>
        <v>4.4444444444444436E-3</v>
      </c>
      <c r="R22" s="459">
        <f t="shared" si="15"/>
        <v>2.2222222222222218E-3</v>
      </c>
      <c r="S22" s="460"/>
      <c r="T22" s="342" t="s">
        <v>1240</v>
      </c>
      <c r="U22" s="362">
        <f>IF(LEFT(T22,1)="1",1,0)</f>
        <v>1</v>
      </c>
      <c r="V22" s="342" t="s">
        <v>1240</v>
      </c>
      <c r="W22" s="1239">
        <f>IF(LEFT(V22)="1",1,0)</f>
        <v>1</v>
      </c>
      <c r="X22" s="22">
        <f>IF((V22=T22)=TRUE,0,1)</f>
        <v>0</v>
      </c>
      <c r="Y22" s="460"/>
      <c r="Z22" s="342" t="s">
        <v>1240</v>
      </c>
      <c r="AA22" s="384">
        <f>IF(LEFT(Z22,1)="1",1,0)</f>
        <v>1</v>
      </c>
      <c r="AB22" s="342" t="s">
        <v>1240</v>
      </c>
      <c r="AC22" s="1239">
        <f>IF(LEFT(AB22)="1",1,0)</f>
        <v>1</v>
      </c>
      <c r="AD22" s="22">
        <f>IF((AB22=Z22)=TRUE,0,1)</f>
        <v>0</v>
      </c>
      <c r="AE22" s="460"/>
      <c r="AF22" s="342" t="s">
        <v>1240</v>
      </c>
      <c r="AG22" s="384">
        <f>IF(LEFT(AF22,1)="1",1,0)</f>
        <v>1</v>
      </c>
      <c r="AH22" s="342" t="s">
        <v>1240</v>
      </c>
      <c r="AI22" s="1203">
        <f>IF(LEFT(AH22)="1",1,0)</f>
        <v>1</v>
      </c>
      <c r="AJ22" s="22">
        <f>IF((AH22=AF22)=TRUE,0,1)</f>
        <v>0</v>
      </c>
      <c r="AK22" s="460"/>
      <c r="AL22" s="342" t="s">
        <v>1240</v>
      </c>
      <c r="AM22" s="384">
        <f>IF(LEFT(AL22,1)="1",1,0)</f>
        <v>1</v>
      </c>
      <c r="AN22" s="342" t="s">
        <v>1240</v>
      </c>
      <c r="AO22" s="1203">
        <f>IF(LEFT(AN22)="1",1,0)</f>
        <v>1</v>
      </c>
      <c r="AP22" s="22">
        <f>IF((AN22=AL22)=TRUE,0,1)</f>
        <v>0</v>
      </c>
      <c r="AQ22" s="460"/>
      <c r="AR22" s="342" t="s">
        <v>1241</v>
      </c>
      <c r="AS22" s="384">
        <f>IF(LEFT(AR22,1)="1",1,0)</f>
        <v>0</v>
      </c>
      <c r="AT22" s="342" t="s">
        <v>1241</v>
      </c>
      <c r="AU22" s="1203">
        <f>IF(LEFT(AT22)="1",1,0)</f>
        <v>0</v>
      </c>
      <c r="AV22" s="22">
        <f>IF((AT22=AR22)=TRUE,0,1)</f>
        <v>0</v>
      </c>
      <c r="AW22" s="460"/>
      <c r="AX22" s="342" t="s">
        <v>1240</v>
      </c>
      <c r="AY22" s="384">
        <f>IF(LEFT(AX22,1)="1",1,0)</f>
        <v>1</v>
      </c>
      <c r="AZ22" s="342" t="s">
        <v>1240</v>
      </c>
      <c r="BA22" s="1203">
        <f>IF(LEFT(AZ22)="1",1,0)</f>
        <v>1</v>
      </c>
      <c r="BB22" s="22">
        <f>IF((AZ22=AX22)=TRUE,0,1)</f>
        <v>0</v>
      </c>
      <c r="BC22" s="460"/>
      <c r="BD22" s="342" t="s">
        <v>1240</v>
      </c>
      <c r="BE22" s="384">
        <f>IF(LEFT(BD22,1)="1",1,0)</f>
        <v>1</v>
      </c>
      <c r="BF22" s="342" t="s">
        <v>1240</v>
      </c>
      <c r="BG22" s="1203">
        <f>IF(LEFT(BF22)="1",1,0)</f>
        <v>1</v>
      </c>
      <c r="BH22" s="22">
        <f>IF((BF22=BD22)=TRUE,0,1)</f>
        <v>0</v>
      </c>
      <c r="BI22" s="460"/>
      <c r="BJ22" s="342" t="s">
        <v>1240</v>
      </c>
      <c r="BK22" s="384">
        <f>IF(LEFT(BJ22,1)="1",1,0)</f>
        <v>1</v>
      </c>
      <c r="BL22" s="342" t="s">
        <v>1240</v>
      </c>
      <c r="BM22" s="1203">
        <f>IF(LEFT(BL22)="1",1,0)</f>
        <v>1</v>
      </c>
      <c r="BN22" s="22">
        <f>IF((BL22=BJ22)=TRUE,0,1)</f>
        <v>0</v>
      </c>
      <c r="BO22" s="460"/>
      <c r="BP22" s="342" t="s">
        <v>1240</v>
      </c>
      <c r="BQ22" s="384">
        <f>IF(LEFT(BP22,1)="1",1,0)</f>
        <v>1</v>
      </c>
      <c r="BR22" s="342" t="s">
        <v>1240</v>
      </c>
      <c r="BS22" s="1203">
        <f>IF(LEFT(BR22)="1",1,0)</f>
        <v>1</v>
      </c>
      <c r="BT22" s="22">
        <f>IF((BR22=BP22)=TRUE,0,1)</f>
        <v>0</v>
      </c>
      <c r="BU22" s="460"/>
      <c r="BV22" s="342" t="s">
        <v>1240</v>
      </c>
      <c r="BW22" s="384">
        <f>IF(LEFT(BV22,1)="1",1,0)</f>
        <v>1</v>
      </c>
      <c r="BX22" s="342" t="s">
        <v>1240</v>
      </c>
      <c r="BY22" s="1239">
        <f>IF(LEFT(BX22)="1",1,0)</f>
        <v>1</v>
      </c>
      <c r="BZ22" s="1173">
        <f>IF((BX22=BV22)=TRUE,0,1)</f>
        <v>0</v>
      </c>
    </row>
    <row r="23" spans="1:78" ht="14.25">
      <c r="A23" s="1683" t="s">
        <v>1243</v>
      </c>
      <c r="B23" s="1732" t="s">
        <v>1244</v>
      </c>
      <c r="C23" s="1362">
        <v>13</v>
      </c>
      <c r="D23" s="453" t="s">
        <v>1242</v>
      </c>
      <c r="E23" s="395"/>
      <c r="F23" s="455"/>
      <c r="G23" s="456" t="s">
        <v>405</v>
      </c>
      <c r="H23" s="455" t="s">
        <v>231</v>
      </c>
      <c r="I23" s="457">
        <v>3</v>
      </c>
      <c r="J23" s="1329">
        <f t="shared" ref="J23:J36" si="18">AVERAGE(BV23,BP23,BJ23,BD23,AX23,AR23,AL23,AF23,Z23,T23)</f>
        <v>1</v>
      </c>
      <c r="K23" s="458">
        <f>AVERAGE(BW23,BQ23,BK23,BE23,AY23,AS23,AM23,AG23,AA23,U23)</f>
        <v>3</v>
      </c>
      <c r="L23" s="1329">
        <f t="shared" ref="L23:L36" si="19">AVERAGE(BX23,BR23,BL23,BF23,AZ23,AT23,AN23,AH23,AB23,V23)</f>
        <v>1</v>
      </c>
      <c r="M23" s="458">
        <f>AVERAGE(BY23,BS23,BM23,BG23,BA23,AU23,AO23,AI23,AC23,W23)</f>
        <v>3</v>
      </c>
      <c r="N23" s="462">
        <f t="shared" si="12"/>
        <v>0</v>
      </c>
      <c r="O23" s="396">
        <f t="shared" si="1"/>
        <v>0</v>
      </c>
      <c r="P23" s="459">
        <f t="shared" si="13"/>
        <v>0</v>
      </c>
      <c r="Q23" s="459">
        <f t="shared" si="14"/>
        <v>0</v>
      </c>
      <c r="R23" s="459">
        <f t="shared" si="15"/>
        <v>0</v>
      </c>
      <c r="S23" s="460"/>
      <c r="T23" s="22">
        <v>1</v>
      </c>
      <c r="U23" s="362">
        <f>IF(T23&gt;=0.95,3,IF(T23&gt;=0.9,1,0))</f>
        <v>3</v>
      </c>
      <c r="V23" s="22">
        <f>IF(SUM(V25:V27)=0,"",V24/SUM(V25:V27))</f>
        <v>1</v>
      </c>
      <c r="W23" s="1239">
        <f>IF(V23&gt;=0.95,3,IF(V23&gt;=0.9,1,0))</f>
        <v>3</v>
      </c>
      <c r="X23" s="22">
        <f t="shared" ref="X23:X35" si="20">IF(AND(T23=0,V23&lt;&gt;0),1,IF(AND(T23=0,V23=0),0,V23/T23-1))</f>
        <v>0</v>
      </c>
      <c r="Y23" s="460"/>
      <c r="Z23" s="22">
        <v>1</v>
      </c>
      <c r="AA23" s="384">
        <f>IF(Z23&gt;=0.95,3,IF(Z23&gt;=0.9,1,0))</f>
        <v>3</v>
      </c>
      <c r="AB23" s="22">
        <f>IF(SUM(AB25:AB27)=0,"",AB24/SUM(AB25:AB27))</f>
        <v>1</v>
      </c>
      <c r="AC23" s="1239">
        <f>IF(AB23&gt;=0.95,3,IF(AB23&gt;=0.9,1,0))</f>
        <v>3</v>
      </c>
      <c r="AD23" s="22">
        <f t="shared" ref="AD23:AD36" si="21">IF(AND(Z23=0,AB23&lt;&gt;0),1,IF(AND(Z23=0,AB23=0),0,AB23/Z23-1))</f>
        <v>0</v>
      </c>
      <c r="AE23" s="460"/>
      <c r="AF23" s="22">
        <v>1</v>
      </c>
      <c r="AG23" s="384">
        <f>IF(AF23&gt;=0.95,3,IF(AF23&gt;=0.9,1,0))</f>
        <v>3</v>
      </c>
      <c r="AH23" s="22">
        <f>IF(SUM(AH25:AH27)=0,"",AH24/SUM(AH25:AH27))</f>
        <v>1</v>
      </c>
      <c r="AI23" s="1203">
        <f>IF(AH23&gt;=0.95,3,IF(AH23&gt;=0.9,1,0))</f>
        <v>3</v>
      </c>
      <c r="AJ23" s="22">
        <f t="shared" ref="AJ23:AJ36" si="22">IF(AND(AF23=0,AH23&lt;&gt;0),1,IF(AND(AF23=0,AH23=0),0,AH23/AF23-1))</f>
        <v>0</v>
      </c>
      <c r="AK23" s="460"/>
      <c r="AL23" s="22">
        <v>1</v>
      </c>
      <c r="AM23" s="384">
        <f>IF(AL23&gt;=0.95,3,IF(AL23&gt;=0.9,1,0))</f>
        <v>3</v>
      </c>
      <c r="AN23" s="22">
        <f>IF(SUM(AN25:AN27)=0,"",AN24/SUM(AN25:AN27))</f>
        <v>1</v>
      </c>
      <c r="AO23" s="1203">
        <f>IF(AN23&gt;=0.95,3,IF(AN23&gt;=0.9,1,0))</f>
        <v>3</v>
      </c>
      <c r="AP23" s="22">
        <f t="shared" ref="AP23:AP36" si="23">IF(AND(AL23=0,AN23&lt;&gt;0),1,IF(AND(AL23=0,AN23=0),0,AN23/AL23-1))</f>
        <v>0</v>
      </c>
      <c r="AQ23" s="460"/>
      <c r="AR23" s="22">
        <v>1</v>
      </c>
      <c r="AS23" s="384">
        <f>IF(AR23&gt;=0.95,3,IF(AR23&gt;=0.9,1,0))</f>
        <v>3</v>
      </c>
      <c r="AT23" s="22">
        <f>IF(SUM(AT25:AT27)=0,"",AT24/SUM(AT25:AT27))</f>
        <v>1</v>
      </c>
      <c r="AU23" s="1203">
        <f>IF(AT23&gt;=0.95,3,IF(AT23&gt;=0.9,1,0))</f>
        <v>3</v>
      </c>
      <c r="AV23" s="22">
        <f t="shared" ref="AV23:AV36" si="24">IF(AND(AR23=0,AT23&lt;&gt;0),1,IF(AND(AR23=0,AT23=0),0,AT23/AR23-1))</f>
        <v>0</v>
      </c>
      <c r="AW23" s="460"/>
      <c r="AX23" s="22">
        <v>1</v>
      </c>
      <c r="AY23" s="384">
        <f>IF(AX23&gt;=0.95,3,IF(AX23&gt;=0.9,1,0))</f>
        <v>3</v>
      </c>
      <c r="AZ23" s="22">
        <f>IF(SUM(AZ25:AZ27)=0,"",AZ24/SUM(AZ25:AZ27))</f>
        <v>1</v>
      </c>
      <c r="BA23" s="1203">
        <f>IF(AZ23&gt;=0.95,3,IF(AZ23&gt;=0.9,1,0))</f>
        <v>3</v>
      </c>
      <c r="BB23" s="22">
        <f t="shared" ref="BB23:BB36" si="25">IF(AND(AX23=0,AZ23&lt;&gt;0),1,IF(AND(AX23=0,AZ23=0),0,AZ23/AX23-1))</f>
        <v>0</v>
      </c>
      <c r="BC23" s="460"/>
      <c r="BD23" s="22">
        <v>1</v>
      </c>
      <c r="BE23" s="384">
        <f>IF(BD23&gt;=0.95,3,IF(BD23&gt;=0.9,1,0))</f>
        <v>3</v>
      </c>
      <c r="BF23" s="22">
        <f>IF(SUM(BF25:BF27)=0,"",BF24/SUM(BF25:BF27))</f>
        <v>1</v>
      </c>
      <c r="BG23" s="1203">
        <f>IF(BF23&gt;=0.95,3,IF(BF23&gt;=0.9,1,0))</f>
        <v>3</v>
      </c>
      <c r="BH23" s="22">
        <f t="shared" ref="BH23:BH36" si="26">IF(AND(BD23=0,BF23&lt;&gt;0),1,IF(AND(BD23=0,BF23=0),0,BF23/BD23-1))</f>
        <v>0</v>
      </c>
      <c r="BI23" s="460"/>
      <c r="BJ23" s="22">
        <v>1</v>
      </c>
      <c r="BK23" s="384">
        <f>IF(BJ23&gt;=0.95,3,IF(BJ23&gt;=0.9,1,0))</f>
        <v>3</v>
      </c>
      <c r="BL23" s="22">
        <f>IF(SUM(BL25:BL27)=0,"",BL24/SUM(BL25:BL27))</f>
        <v>1</v>
      </c>
      <c r="BM23" s="1203">
        <f>IF(BL23&gt;=0.95,3,IF(BL23&gt;=0.9,1,0))</f>
        <v>3</v>
      </c>
      <c r="BN23" s="22">
        <f t="shared" ref="BN23:BN36" si="27">IF(AND(BJ23=0,BL23&lt;&gt;0),1,IF(AND(BJ23=0,BL23=0),0,BL23/BJ23-1))</f>
        <v>0</v>
      </c>
      <c r="BO23" s="460"/>
      <c r="BP23" s="22">
        <v>1</v>
      </c>
      <c r="BQ23" s="384">
        <f>IF(BP23&gt;=0.95,3,IF(BP23&gt;=0.9,1,0))</f>
        <v>3</v>
      </c>
      <c r="BR23" s="22">
        <f>IF(SUM(BR25:BR27)=0,"",BR24/SUM(BR25:BR27))</f>
        <v>1</v>
      </c>
      <c r="BS23" s="1203">
        <f>IF(BR23&gt;=0.95,3,IF(BR23&gt;=0.9,1,0))</f>
        <v>3</v>
      </c>
      <c r="BT23" s="22">
        <f t="shared" ref="BT23:BT36" si="28">IF(AND(BP23=0,BR23&lt;&gt;0),1,IF(AND(BP23=0,BR23=0),0,BR23/BP23-1))</f>
        <v>0</v>
      </c>
      <c r="BU23" s="460"/>
      <c r="BV23" s="22">
        <v>1</v>
      </c>
      <c r="BW23" s="384">
        <f>IF(BV23&gt;=0.95,3,IF(BV23&gt;=0.9,1,0))</f>
        <v>3</v>
      </c>
      <c r="BX23" s="22">
        <f>IF(SUM(BX25:BX27)=0,"",BX24/SUM(BX25:BX27))</f>
        <v>1</v>
      </c>
      <c r="BY23" s="1239">
        <f>IF(BX23&gt;=0.95,3,IF(BX23&gt;=0.9,1,0))</f>
        <v>3</v>
      </c>
      <c r="BZ23" s="1173">
        <f t="shared" ref="BZ23:BZ36" si="29">IF(AND(BV23=0,BX23&lt;&gt;0),1,IF(AND(BV23=0,BX23=0),0,BX23/BV23-1))</f>
        <v>0</v>
      </c>
    </row>
    <row r="24" spans="1:78" ht="14.25">
      <c r="A24" s="1683"/>
      <c r="B24" s="1732"/>
      <c r="C24" s="1371">
        <v>13.1</v>
      </c>
      <c r="D24" s="1371" t="s">
        <v>2091</v>
      </c>
      <c r="E24" s="454" t="s">
        <v>205</v>
      </c>
      <c r="F24" s="455"/>
      <c r="G24" s="456"/>
      <c r="H24" s="455"/>
      <c r="I24" s="469"/>
      <c r="J24" s="458">
        <f t="shared" si="18"/>
        <v>86299874.187999994</v>
      </c>
      <c r="K24" s="458"/>
      <c r="L24" s="458">
        <f t="shared" si="19"/>
        <v>75524793.603</v>
      </c>
      <c r="M24" s="458"/>
      <c r="N24" s="462">
        <f t="shared" si="12"/>
        <v>0</v>
      </c>
      <c r="O24" s="396">
        <f t="shared" si="1"/>
        <v>0</v>
      </c>
      <c r="P24" s="459">
        <f t="shared" si="13"/>
        <v>0</v>
      </c>
      <c r="Q24" s="459">
        <f t="shared" si="14"/>
        <v>0</v>
      </c>
      <c r="R24" s="459">
        <f t="shared" si="15"/>
        <v>0</v>
      </c>
      <c r="S24" s="460"/>
      <c r="T24" s="384">
        <v>53807081.710000001</v>
      </c>
      <c r="U24" s="389"/>
      <c r="V24" s="384">
        <v>41339277.060000002</v>
      </c>
      <c r="W24" s="1248"/>
      <c r="X24" s="22">
        <f t="shared" si="20"/>
        <v>-0.23171308039333538</v>
      </c>
      <c r="Y24" s="460"/>
      <c r="Z24" s="384">
        <v>230962883.17000002</v>
      </c>
      <c r="AA24" s="470"/>
      <c r="AB24" s="384">
        <v>174823468.60999998</v>
      </c>
      <c r="AC24" s="1248"/>
      <c r="AD24" s="22">
        <f t="shared" si="21"/>
        <v>-0.24306682437228955</v>
      </c>
      <c r="AE24" s="460"/>
      <c r="AF24" s="384">
        <v>114070272.40000001</v>
      </c>
      <c r="AG24" s="470"/>
      <c r="AH24" s="384">
        <v>105332223.76999998</v>
      </c>
      <c r="AI24" s="1255"/>
      <c r="AJ24" s="22">
        <f t="shared" si="22"/>
        <v>-7.6602329828398208E-2</v>
      </c>
      <c r="AK24" s="460"/>
      <c r="AL24" s="901">
        <v>68979665.75</v>
      </c>
      <c r="AM24" s="470"/>
      <c r="AN24" s="384">
        <v>70993003.980000004</v>
      </c>
      <c r="AO24" s="1255"/>
      <c r="AP24" s="22">
        <f t="shared" si="23"/>
        <v>2.9187416438010372E-2</v>
      </c>
      <c r="AQ24" s="460"/>
      <c r="AR24" s="384">
        <v>120701611.91999999</v>
      </c>
      <c r="AS24" s="470"/>
      <c r="AT24" s="384">
        <v>107915494.48999998</v>
      </c>
      <c r="AU24" s="1255"/>
      <c r="AV24" s="22">
        <f t="shared" si="24"/>
        <v>-0.10593162118227994</v>
      </c>
      <c r="AW24" s="460"/>
      <c r="AX24" s="384">
        <v>114346366.48999998</v>
      </c>
      <c r="AY24" s="470"/>
      <c r="AZ24" s="384">
        <v>118470622.26000002</v>
      </c>
      <c r="BA24" s="1255"/>
      <c r="BB24" s="22">
        <f t="shared" si="25"/>
        <v>3.6068096403926608E-2</v>
      </c>
      <c r="BC24" s="460"/>
      <c r="BD24" s="384">
        <v>20932191.25</v>
      </c>
      <c r="BE24" s="470"/>
      <c r="BF24" s="384">
        <v>16528877.010000002</v>
      </c>
      <c r="BG24" s="1255"/>
      <c r="BH24" s="22">
        <f t="shared" si="26"/>
        <v>-0.21036088326395352</v>
      </c>
      <c r="BI24" s="460"/>
      <c r="BJ24" s="384">
        <v>84716215.310000017</v>
      </c>
      <c r="BK24" s="470"/>
      <c r="BL24" s="384">
        <v>71857002.599999979</v>
      </c>
      <c r="BM24" s="1255"/>
      <c r="BN24" s="22">
        <f t="shared" si="27"/>
        <v>-0.15179163354907477</v>
      </c>
      <c r="BO24" s="460"/>
      <c r="BP24" s="384">
        <v>21575578.960000001</v>
      </c>
      <c r="BQ24" s="470"/>
      <c r="BR24" s="384">
        <v>20703935.080000006</v>
      </c>
      <c r="BS24" s="1255"/>
      <c r="BT24" s="22">
        <f t="shared" si="28"/>
        <v>-4.0399559224620463E-2</v>
      </c>
      <c r="BU24" s="460"/>
      <c r="BV24" s="384">
        <v>32906874.919999994</v>
      </c>
      <c r="BW24" s="470"/>
      <c r="BX24" s="384">
        <v>27284031.170000002</v>
      </c>
      <c r="BY24" s="1248"/>
      <c r="BZ24" s="1173">
        <f t="shared" si="29"/>
        <v>-0.17087139886937619</v>
      </c>
    </row>
    <row r="25" spans="1:78" ht="14.25">
      <c r="A25" s="1683"/>
      <c r="B25" s="1732"/>
      <c r="C25" s="1371">
        <v>13.2</v>
      </c>
      <c r="D25" s="1371" t="s">
        <v>1245</v>
      </c>
      <c r="E25" s="454" t="s">
        <v>205</v>
      </c>
      <c r="F25" s="455"/>
      <c r="G25" s="456"/>
      <c r="H25" s="455"/>
      <c r="I25" s="469"/>
      <c r="J25" s="458">
        <f t="shared" si="18"/>
        <v>83450215.834000006</v>
      </c>
      <c r="K25" s="458"/>
      <c r="L25" s="458">
        <f t="shared" si="19"/>
        <v>72796023.451000005</v>
      </c>
      <c r="M25" s="458"/>
      <c r="N25" s="462">
        <f t="shared" si="12"/>
        <v>0</v>
      </c>
      <c r="O25" s="396">
        <f t="shared" si="1"/>
        <v>0</v>
      </c>
      <c r="P25" s="459">
        <f t="shared" si="13"/>
        <v>0</v>
      </c>
      <c r="Q25" s="459">
        <f t="shared" si="14"/>
        <v>0</v>
      </c>
      <c r="R25" s="459">
        <f t="shared" si="15"/>
        <v>0</v>
      </c>
      <c r="S25" s="460"/>
      <c r="T25" s="384">
        <v>52631781.710000001</v>
      </c>
      <c r="U25" s="389"/>
      <c r="V25" s="384">
        <v>40204477.060000002</v>
      </c>
      <c r="W25" s="1248"/>
      <c r="X25" s="22">
        <f t="shared" si="20"/>
        <v>-0.23611787870823342</v>
      </c>
      <c r="Y25" s="460"/>
      <c r="Z25" s="384">
        <v>224058764.38</v>
      </c>
      <c r="AA25" s="470"/>
      <c r="AB25" s="384">
        <v>169779649.81</v>
      </c>
      <c r="AC25" s="1248"/>
      <c r="AD25" s="22">
        <f t="shared" si="21"/>
        <v>-0.24225392262693868</v>
      </c>
      <c r="AE25" s="460"/>
      <c r="AF25" s="384">
        <v>107819616.7</v>
      </c>
      <c r="AG25" s="470"/>
      <c r="AH25" s="384">
        <v>98891497.769999981</v>
      </c>
      <c r="AI25" s="1255"/>
      <c r="AJ25" s="22">
        <f t="shared" si="22"/>
        <v>-8.2806071875045184E-2</v>
      </c>
      <c r="AK25" s="460"/>
      <c r="AL25" s="384">
        <v>68979665.75</v>
      </c>
      <c r="AM25" s="470"/>
      <c r="AN25" s="384">
        <v>70988003.980000004</v>
      </c>
      <c r="AO25" s="1255"/>
      <c r="AP25" s="22">
        <f t="shared" si="23"/>
        <v>2.9114931308579228E-2</v>
      </c>
      <c r="AQ25" s="460"/>
      <c r="AR25" s="384">
        <v>114783572.27</v>
      </c>
      <c r="AS25" s="470"/>
      <c r="AT25" s="384">
        <v>101815813.98999998</v>
      </c>
      <c r="AU25" s="1255"/>
      <c r="AV25" s="22">
        <f t="shared" si="24"/>
        <v>-0.11297573357881363</v>
      </c>
      <c r="AW25" s="460"/>
      <c r="AX25" s="384">
        <v>109515430.28999998</v>
      </c>
      <c r="AY25" s="470"/>
      <c r="AZ25" s="384">
        <v>113367718.96000002</v>
      </c>
      <c r="BA25" s="1255"/>
      <c r="BB25" s="22">
        <f t="shared" si="25"/>
        <v>3.5175761623718937E-2</v>
      </c>
      <c r="BC25" s="460"/>
      <c r="BD25" s="384">
        <v>19201191.25</v>
      </c>
      <c r="BE25" s="470"/>
      <c r="BF25" s="384">
        <v>14831677.010000002</v>
      </c>
      <c r="BG25" s="1255"/>
      <c r="BH25" s="22">
        <f t="shared" si="26"/>
        <v>-0.22756474757783574</v>
      </c>
      <c r="BI25" s="460"/>
      <c r="BJ25" s="384">
        <v>84352463.51000002</v>
      </c>
      <c r="BK25" s="470"/>
      <c r="BL25" s="384">
        <v>71220651.499999985</v>
      </c>
      <c r="BM25" s="1255"/>
      <c r="BN25" s="22">
        <f t="shared" si="27"/>
        <v>-0.15567787191471005</v>
      </c>
      <c r="BO25" s="460"/>
      <c r="BP25" s="384">
        <v>21256297.560000002</v>
      </c>
      <c r="BQ25" s="470"/>
      <c r="BR25" s="384">
        <v>20331213.260000005</v>
      </c>
      <c r="BS25" s="1255"/>
      <c r="BT25" s="22">
        <f t="shared" si="28"/>
        <v>-4.3520481278019774E-2</v>
      </c>
      <c r="BU25" s="460"/>
      <c r="BV25" s="384">
        <v>31903374.919999994</v>
      </c>
      <c r="BW25" s="470"/>
      <c r="BX25" s="384">
        <v>26529531.170000002</v>
      </c>
      <c r="BY25" s="1248"/>
      <c r="BZ25" s="1173">
        <f t="shared" si="29"/>
        <v>-0.16844123116990883</v>
      </c>
    </row>
    <row r="26" spans="1:78" ht="14.25">
      <c r="A26" s="1683"/>
      <c r="B26" s="1732"/>
      <c r="C26" s="1371">
        <v>13.3</v>
      </c>
      <c r="D26" s="1371" t="s">
        <v>1246</v>
      </c>
      <c r="E26" s="454" t="s">
        <v>205</v>
      </c>
      <c r="F26" s="455"/>
      <c r="G26" s="456"/>
      <c r="H26" s="455"/>
      <c r="I26" s="469"/>
      <c r="J26" s="458">
        <f t="shared" si="18"/>
        <v>2812446.9539999999</v>
      </c>
      <c r="K26" s="458"/>
      <c r="L26" s="458">
        <f t="shared" si="19"/>
        <v>2681329.8219999997</v>
      </c>
      <c r="M26" s="458"/>
      <c r="N26" s="462">
        <f t="shared" si="12"/>
        <v>0</v>
      </c>
      <c r="O26" s="396">
        <f t="shared" si="1"/>
        <v>0</v>
      </c>
      <c r="P26" s="459">
        <f t="shared" si="13"/>
        <v>0</v>
      </c>
      <c r="Q26" s="459">
        <f t="shared" si="14"/>
        <v>0</v>
      </c>
      <c r="R26" s="459">
        <f t="shared" si="15"/>
        <v>0</v>
      </c>
      <c r="S26" s="460"/>
      <c r="T26" s="384">
        <v>1175300</v>
      </c>
      <c r="U26" s="389"/>
      <c r="V26" s="384">
        <v>1134800</v>
      </c>
      <c r="W26" s="1248"/>
      <c r="X26" s="22">
        <f t="shared" si="20"/>
        <v>-3.445928699055556E-2</v>
      </c>
      <c r="Y26" s="460"/>
      <c r="Z26" s="384">
        <v>6800306.9900000002</v>
      </c>
      <c r="AA26" s="470"/>
      <c r="AB26" s="384">
        <v>5000137.2</v>
      </c>
      <c r="AC26" s="1248"/>
      <c r="AD26" s="22">
        <f t="shared" si="21"/>
        <v>-0.2647189005801045</v>
      </c>
      <c r="AE26" s="460"/>
      <c r="AF26" s="384">
        <v>6178500</v>
      </c>
      <c r="AG26" s="470"/>
      <c r="AH26" s="384">
        <v>6241800</v>
      </c>
      <c r="AI26" s="1255"/>
      <c r="AJ26" s="22">
        <f t="shared" si="22"/>
        <v>1.024520514688021E-2</v>
      </c>
      <c r="AK26" s="460"/>
      <c r="AL26" s="384">
        <v>0</v>
      </c>
      <c r="AM26" s="470"/>
      <c r="AN26" s="384">
        <v>5000</v>
      </c>
      <c r="AO26" s="1255"/>
      <c r="AP26" s="22">
        <f t="shared" si="23"/>
        <v>1</v>
      </c>
      <c r="AQ26" s="460"/>
      <c r="AR26" s="384">
        <v>5890801.5499999998</v>
      </c>
      <c r="AS26" s="470"/>
      <c r="AT26" s="384">
        <v>6043600</v>
      </c>
      <c r="AU26" s="1255"/>
      <c r="AV26" s="22">
        <f t="shared" si="24"/>
        <v>2.5938482005050778E-2</v>
      </c>
      <c r="AW26" s="460"/>
      <c r="AX26" s="384">
        <v>4784500</v>
      </c>
      <c r="AY26" s="470"/>
      <c r="AZ26" s="384">
        <v>5039700</v>
      </c>
      <c r="BA26" s="1255"/>
      <c r="BB26" s="22">
        <f t="shared" si="25"/>
        <v>5.3338906886821968E-2</v>
      </c>
      <c r="BC26" s="460"/>
      <c r="BD26" s="384">
        <v>1731000</v>
      </c>
      <c r="BE26" s="470"/>
      <c r="BF26" s="384">
        <v>1697200</v>
      </c>
      <c r="BG26" s="1255"/>
      <c r="BH26" s="22">
        <f t="shared" si="26"/>
        <v>-1.9526285384171005E-2</v>
      </c>
      <c r="BI26" s="460"/>
      <c r="BJ26" s="384">
        <v>302300</v>
      </c>
      <c r="BK26" s="470"/>
      <c r="BL26" s="384">
        <v>557500</v>
      </c>
      <c r="BM26" s="1255"/>
      <c r="BN26" s="22">
        <f t="shared" si="27"/>
        <v>0.84419450876612645</v>
      </c>
      <c r="BO26" s="460"/>
      <c r="BP26" s="384">
        <v>258261</v>
      </c>
      <c r="BQ26" s="470"/>
      <c r="BR26" s="384">
        <v>339061.02</v>
      </c>
      <c r="BS26" s="1255"/>
      <c r="BT26" s="22">
        <f t="shared" si="28"/>
        <v>0.31286187229198381</v>
      </c>
      <c r="BU26" s="460"/>
      <c r="BV26" s="384">
        <v>1003500</v>
      </c>
      <c r="BW26" s="470"/>
      <c r="BX26" s="384">
        <v>754500</v>
      </c>
      <c r="BY26" s="1248"/>
      <c r="BZ26" s="1173">
        <f t="shared" si="29"/>
        <v>-0.24813153961136025</v>
      </c>
    </row>
    <row r="27" spans="1:78" ht="14.25">
      <c r="A27" s="1683"/>
      <c r="B27" s="1732"/>
      <c r="C27" s="1371">
        <v>13.4</v>
      </c>
      <c r="D27" s="1371" t="s">
        <v>1247</v>
      </c>
      <c r="E27" s="454" t="s">
        <v>205</v>
      </c>
      <c r="F27" s="455"/>
      <c r="G27" s="456"/>
      <c r="H27" s="455"/>
      <c r="I27" s="469"/>
      <c r="J27" s="458">
        <f t="shared" si="18"/>
        <v>37211.4</v>
      </c>
      <c r="K27" s="458"/>
      <c r="L27" s="458">
        <f t="shared" si="19"/>
        <v>47440.33</v>
      </c>
      <c r="M27" s="458"/>
      <c r="N27" s="462">
        <f t="shared" si="12"/>
        <v>0</v>
      </c>
      <c r="O27" s="396">
        <f t="shared" si="1"/>
        <v>0</v>
      </c>
      <c r="P27" s="459">
        <f t="shared" si="13"/>
        <v>0</v>
      </c>
      <c r="Q27" s="459">
        <f t="shared" si="14"/>
        <v>0</v>
      </c>
      <c r="R27" s="459">
        <f t="shared" si="15"/>
        <v>0</v>
      </c>
      <c r="S27" s="460"/>
      <c r="T27" s="384">
        <v>0</v>
      </c>
      <c r="U27" s="389"/>
      <c r="V27" s="384">
        <v>0</v>
      </c>
      <c r="W27" s="1248"/>
      <c r="X27" s="22">
        <f t="shared" si="20"/>
        <v>0</v>
      </c>
      <c r="Y27" s="460"/>
      <c r="Z27" s="384">
        <v>103811.8</v>
      </c>
      <c r="AA27" s="470"/>
      <c r="AB27" s="384">
        <v>43681.599999999999</v>
      </c>
      <c r="AC27" s="1248"/>
      <c r="AD27" s="22">
        <f t="shared" si="21"/>
        <v>-0.57922317116165989</v>
      </c>
      <c r="AE27" s="460"/>
      <c r="AF27" s="384">
        <v>72155.7</v>
      </c>
      <c r="AG27" s="470"/>
      <c r="AH27" s="384">
        <v>198926</v>
      </c>
      <c r="AI27" s="1255"/>
      <c r="AJ27" s="22">
        <f t="shared" si="22"/>
        <v>1.7568993163395268</v>
      </c>
      <c r="AK27" s="460"/>
      <c r="AL27" s="384">
        <v>0</v>
      </c>
      <c r="AM27" s="470"/>
      <c r="AN27" s="384">
        <v>0</v>
      </c>
      <c r="AO27" s="1255"/>
      <c r="AP27" s="22">
        <f t="shared" si="23"/>
        <v>0</v>
      </c>
      <c r="AQ27" s="460"/>
      <c r="AR27" s="384">
        <v>27238.1</v>
      </c>
      <c r="AS27" s="470"/>
      <c r="AT27" s="384">
        <v>56080.5</v>
      </c>
      <c r="AU27" s="1255"/>
      <c r="AV27" s="22">
        <f t="shared" si="24"/>
        <v>1.0588991155770779</v>
      </c>
      <c r="AW27" s="460"/>
      <c r="AX27" s="384">
        <v>46436.2</v>
      </c>
      <c r="AY27" s="470"/>
      <c r="AZ27" s="384">
        <v>63203.3</v>
      </c>
      <c r="BA27" s="1255"/>
      <c r="BB27" s="22">
        <f t="shared" si="25"/>
        <v>0.36107821053402311</v>
      </c>
      <c r="BC27" s="460"/>
      <c r="BD27" s="384">
        <v>0</v>
      </c>
      <c r="BE27" s="470"/>
      <c r="BF27" s="384">
        <v>0</v>
      </c>
      <c r="BG27" s="1255"/>
      <c r="BH27" s="22">
        <f t="shared" si="26"/>
        <v>0</v>
      </c>
      <c r="BI27" s="460"/>
      <c r="BJ27" s="384">
        <v>61451.8</v>
      </c>
      <c r="BK27" s="470"/>
      <c r="BL27" s="384">
        <v>78851.100000000006</v>
      </c>
      <c r="BM27" s="1255"/>
      <c r="BN27" s="22">
        <f t="shared" si="27"/>
        <v>0.28313735317761246</v>
      </c>
      <c r="BO27" s="460"/>
      <c r="BP27" s="384">
        <v>61020.399999999994</v>
      </c>
      <c r="BQ27" s="470"/>
      <c r="BR27" s="384">
        <v>33660.800000000003</v>
      </c>
      <c r="BS27" s="1255"/>
      <c r="BT27" s="22">
        <f t="shared" si="28"/>
        <v>-0.4483680867382055</v>
      </c>
      <c r="BU27" s="460"/>
      <c r="BV27" s="384">
        <v>0</v>
      </c>
      <c r="BW27" s="470"/>
      <c r="BX27" s="384">
        <v>0</v>
      </c>
      <c r="BY27" s="1248"/>
      <c r="BZ27" s="1173">
        <f t="shared" si="29"/>
        <v>0</v>
      </c>
    </row>
    <row r="28" spans="1:78" ht="14.25">
      <c r="A28" s="1683" t="s">
        <v>1249</v>
      </c>
      <c r="B28" s="1732" t="s">
        <v>1250</v>
      </c>
      <c r="C28" s="1362">
        <v>14</v>
      </c>
      <c r="D28" s="453" t="s">
        <v>2077</v>
      </c>
      <c r="E28" s="395"/>
      <c r="F28" s="455"/>
      <c r="G28" s="456" t="s">
        <v>405</v>
      </c>
      <c r="H28" s="455" t="s">
        <v>231</v>
      </c>
      <c r="I28" s="457">
        <v>3</v>
      </c>
      <c r="J28" s="1329">
        <f t="shared" si="18"/>
        <v>1</v>
      </c>
      <c r="K28" s="458">
        <f>AVERAGE(BW28,BQ28,BK28,BE28,AY28,AS28,AM28,AG28,AA28,U28)</f>
        <v>3</v>
      </c>
      <c r="L28" s="1329">
        <f t="shared" si="19"/>
        <v>1</v>
      </c>
      <c r="M28" s="458">
        <f>AVERAGE(BY28,BS28,BM28,BG28,BA28,AU28,AO28,AI28,AC28,W28)</f>
        <v>3</v>
      </c>
      <c r="N28" s="462">
        <f t="shared" si="12"/>
        <v>0</v>
      </c>
      <c r="O28" s="396">
        <f t="shared" si="1"/>
        <v>0</v>
      </c>
      <c r="P28" s="459">
        <f t="shared" si="13"/>
        <v>0</v>
      </c>
      <c r="Q28" s="459">
        <f t="shared" si="14"/>
        <v>0</v>
      </c>
      <c r="R28" s="459">
        <f t="shared" si="15"/>
        <v>0</v>
      </c>
      <c r="S28" s="460"/>
      <c r="T28" s="22">
        <v>1</v>
      </c>
      <c r="U28" s="362">
        <f>IF(T28&gt;=0.95,3,IF(T28&gt;=0.9,1,0))</f>
        <v>3</v>
      </c>
      <c r="V28" s="22">
        <f>IF(SUM(V30:V31)=0,"",V29/SUM(V30:V31))</f>
        <v>1</v>
      </c>
      <c r="W28" s="1239">
        <f>IF(V28&gt;=0.95,3,IF(V28&gt;=0.9,1,0))</f>
        <v>3</v>
      </c>
      <c r="X28" s="22">
        <f t="shared" si="20"/>
        <v>0</v>
      </c>
      <c r="Y28" s="460"/>
      <c r="Z28" s="22">
        <v>1</v>
      </c>
      <c r="AA28" s="384">
        <f>IF(Z28&gt;=0.95,3,IF(Z28&gt;=0.9,1,0))</f>
        <v>3</v>
      </c>
      <c r="AB28" s="22">
        <f>IF(SUM(AB30:AB31)=0,"",AB29/SUM(AB30:AB31))</f>
        <v>1</v>
      </c>
      <c r="AC28" s="1239">
        <f>IF(AB28&gt;=0.95,3,IF(AB28&gt;=0.9,1,0))</f>
        <v>3</v>
      </c>
      <c r="AD28" s="22">
        <f t="shared" si="21"/>
        <v>0</v>
      </c>
      <c r="AE28" s="460"/>
      <c r="AF28" s="22">
        <v>1</v>
      </c>
      <c r="AG28" s="384">
        <f>IF(AF28&gt;=0.95,3,IF(AF28&gt;=0.9,1,0))</f>
        <v>3</v>
      </c>
      <c r="AH28" s="22">
        <f>IF(SUM(AH30:AH31)=0,"",AH29/SUM(AH30:AH31))</f>
        <v>1</v>
      </c>
      <c r="AI28" s="1203">
        <f>IF(AH28&gt;=0.95,3,IF(AH28&gt;=0.9,1,0))</f>
        <v>3</v>
      </c>
      <c r="AJ28" s="22">
        <f t="shared" si="22"/>
        <v>0</v>
      </c>
      <c r="AK28" s="460"/>
      <c r="AL28" s="22">
        <v>1</v>
      </c>
      <c r="AM28" s="384">
        <f>IF(AL28&gt;=0.95,3,IF(AL28&gt;=0.9,1,0))</f>
        <v>3</v>
      </c>
      <c r="AN28" s="22">
        <f>IF(SUM(AN30:AN31)=0,"",AN29/SUM(AN30:AN31))</f>
        <v>1</v>
      </c>
      <c r="AO28" s="1203">
        <f>IF(AN28&gt;=0.95,3,IF(AN28&gt;=0.9,1,0))</f>
        <v>3</v>
      </c>
      <c r="AP28" s="22">
        <f t="shared" si="23"/>
        <v>0</v>
      </c>
      <c r="AQ28" s="460"/>
      <c r="AR28" s="22">
        <v>1</v>
      </c>
      <c r="AS28" s="384">
        <f>IF(AR28&gt;=0.95,3,IF(AR28&gt;=0.9,1,0))</f>
        <v>3</v>
      </c>
      <c r="AT28" s="22">
        <f>IF(SUM(AT30:AT31)=0,"",AT29/SUM(AT30:AT31))</f>
        <v>1</v>
      </c>
      <c r="AU28" s="1203">
        <f>IF(AT28&gt;=0.95,3,IF(AT28&gt;=0.9,1,0))</f>
        <v>3</v>
      </c>
      <c r="AV28" s="22">
        <f t="shared" si="24"/>
        <v>0</v>
      </c>
      <c r="AW28" s="460"/>
      <c r="AX28" s="22">
        <v>1</v>
      </c>
      <c r="AY28" s="384">
        <f>IF(AX28&gt;=0.95,3,IF(AX28&gt;=0.9,1,0))</f>
        <v>3</v>
      </c>
      <c r="AZ28" s="22">
        <f>IF(SUM(AZ30:AZ31)=0,"",AZ29/SUM(AZ30:AZ31))</f>
        <v>1</v>
      </c>
      <c r="BA28" s="1203">
        <f>IF(AZ28&gt;=0.95,3,IF(AZ28&gt;=0.9,1,0))</f>
        <v>3</v>
      </c>
      <c r="BB28" s="22">
        <f t="shared" si="25"/>
        <v>0</v>
      </c>
      <c r="BC28" s="460"/>
      <c r="BD28" s="22">
        <v>1</v>
      </c>
      <c r="BE28" s="384">
        <f>IF(BD28&gt;=0.95,3,IF(BD28&gt;=0.9,1,0))</f>
        <v>3</v>
      </c>
      <c r="BF28" s="22">
        <f>IF(SUM(BF30:BF31)=0,"",BF29/SUM(BF30:BF31))</f>
        <v>1</v>
      </c>
      <c r="BG28" s="1203">
        <f>IF(BF28&gt;=0.95,3,IF(BF28&gt;=0.9,1,0))</f>
        <v>3</v>
      </c>
      <c r="BH28" s="22">
        <f t="shared" si="26"/>
        <v>0</v>
      </c>
      <c r="BI28" s="460"/>
      <c r="BJ28" s="22">
        <v>1</v>
      </c>
      <c r="BK28" s="384">
        <f>IF(BJ28&gt;=0.95,3,IF(BJ28&gt;=0.9,1,0))</f>
        <v>3</v>
      </c>
      <c r="BL28" s="22">
        <f>IF(SUM(BL30:BL31)=0,"",BL29/SUM(BL30:BL31))</f>
        <v>1</v>
      </c>
      <c r="BM28" s="1203">
        <f>IF(BL28&gt;=0.95,3,IF(BL28&gt;=0.9,1,0))</f>
        <v>3</v>
      </c>
      <c r="BN28" s="22">
        <f t="shared" si="27"/>
        <v>0</v>
      </c>
      <c r="BO28" s="460"/>
      <c r="BP28" s="22">
        <v>1</v>
      </c>
      <c r="BQ28" s="384">
        <f>IF(BP28&gt;=0.95,3,IF(BP28&gt;=0.9,1,0))</f>
        <v>3</v>
      </c>
      <c r="BR28" s="22">
        <f>IF(SUM(BR30:BR31)=0,"",BR29/SUM(BR30:BR31))</f>
        <v>1</v>
      </c>
      <c r="BS28" s="1203">
        <f>IF(BR28&gt;=0.95,3,IF(BR28&gt;=0.9,1,0))</f>
        <v>3</v>
      </c>
      <c r="BT28" s="22">
        <f t="shared" si="28"/>
        <v>0</v>
      </c>
      <c r="BU28" s="460"/>
      <c r="BV28" s="22">
        <v>1</v>
      </c>
      <c r="BW28" s="384">
        <f>IF(BV28&gt;=0.95,3,IF(BV28&gt;=0.9,1,0))</f>
        <v>3</v>
      </c>
      <c r="BX28" s="22">
        <f>IF(SUM(BX30:BX31)=0,"",BX29/SUM(BX30:BX31))</f>
        <v>1</v>
      </c>
      <c r="BY28" s="1239">
        <f>IF(BX28&gt;=0.95,3,IF(BX28&gt;=0.9,1,0))</f>
        <v>3</v>
      </c>
      <c r="BZ28" s="1173">
        <f t="shared" si="29"/>
        <v>0</v>
      </c>
    </row>
    <row r="29" spans="1:78" ht="14.25">
      <c r="A29" s="1683"/>
      <c r="B29" s="1732"/>
      <c r="C29" s="1371">
        <v>14.1</v>
      </c>
      <c r="D29" s="1371" t="s">
        <v>2090</v>
      </c>
      <c r="E29" s="454" t="s">
        <v>205</v>
      </c>
      <c r="F29" s="455"/>
      <c r="G29" s="456"/>
      <c r="H29" s="455"/>
      <c r="I29" s="469"/>
      <c r="J29" s="458">
        <f t="shared" si="18"/>
        <v>31771880.286000002</v>
      </c>
      <c r="K29" s="458"/>
      <c r="L29" s="458">
        <f t="shared" si="19"/>
        <v>34785415.364</v>
      </c>
      <c r="M29" s="458"/>
      <c r="N29" s="462">
        <f t="shared" si="12"/>
        <v>0</v>
      </c>
      <c r="O29" s="396">
        <f t="shared" si="1"/>
        <v>0</v>
      </c>
      <c r="P29" s="459">
        <f t="shared" si="13"/>
        <v>0</v>
      </c>
      <c r="Q29" s="459">
        <f t="shared" si="14"/>
        <v>0</v>
      </c>
      <c r="R29" s="459">
        <f t="shared" si="15"/>
        <v>0</v>
      </c>
      <c r="S29" s="460"/>
      <c r="T29" s="384">
        <v>34138496.340000004</v>
      </c>
      <c r="U29" s="462"/>
      <c r="V29" s="384">
        <v>37907670.770000003</v>
      </c>
      <c r="W29" s="1239"/>
      <c r="X29" s="22">
        <f t="shared" si="20"/>
        <v>0.1104083317689557</v>
      </c>
      <c r="Y29" s="460"/>
      <c r="Z29" s="384">
        <v>64191137.980000004</v>
      </c>
      <c r="AA29" s="384"/>
      <c r="AB29" s="384">
        <v>57944183.469999999</v>
      </c>
      <c r="AC29" s="1239"/>
      <c r="AD29" s="22">
        <f t="shared" si="21"/>
        <v>-9.7318020938441108E-2</v>
      </c>
      <c r="AE29" s="460"/>
      <c r="AF29" s="384">
        <v>36282171.650000006</v>
      </c>
      <c r="AG29" s="384"/>
      <c r="AH29" s="384">
        <v>51286929.140000001</v>
      </c>
      <c r="AI29" s="1203"/>
      <c r="AJ29" s="22">
        <f t="shared" si="22"/>
        <v>0.41355731500156745</v>
      </c>
      <c r="AK29" s="460"/>
      <c r="AL29" s="384">
        <v>26057281.359999999</v>
      </c>
      <c r="AM29" s="384"/>
      <c r="AN29" s="384">
        <v>29958289.290000003</v>
      </c>
      <c r="AO29" s="1203"/>
      <c r="AP29" s="22">
        <f t="shared" si="23"/>
        <v>0.14970893840016486</v>
      </c>
      <c r="AQ29" s="460"/>
      <c r="AR29" s="384">
        <v>54444442.280000001</v>
      </c>
      <c r="AS29" s="384"/>
      <c r="AT29" s="384">
        <v>56871220.93</v>
      </c>
      <c r="AU29" s="1203"/>
      <c r="AV29" s="22">
        <f t="shared" si="24"/>
        <v>4.4573487180186833E-2</v>
      </c>
      <c r="AW29" s="460"/>
      <c r="AX29" s="384">
        <v>43708400.969999999</v>
      </c>
      <c r="AY29" s="384"/>
      <c r="AZ29" s="384">
        <v>43269965.239999995</v>
      </c>
      <c r="BA29" s="1203"/>
      <c r="BB29" s="22">
        <f t="shared" si="25"/>
        <v>-1.0030925869398244E-2</v>
      </c>
      <c r="BC29" s="460"/>
      <c r="BD29" s="384">
        <v>10295792.57</v>
      </c>
      <c r="BE29" s="384"/>
      <c r="BF29" s="384">
        <v>11531381.949999999</v>
      </c>
      <c r="BG29" s="1203"/>
      <c r="BH29" s="22">
        <f t="shared" si="26"/>
        <v>0.12000915632277542</v>
      </c>
      <c r="BI29" s="460"/>
      <c r="BJ29" s="384">
        <v>34337121.480000004</v>
      </c>
      <c r="BK29" s="384"/>
      <c r="BL29" s="384">
        <v>40971394.810000002</v>
      </c>
      <c r="BM29" s="1203"/>
      <c r="BN29" s="22">
        <f t="shared" si="27"/>
        <v>0.19320994434155447</v>
      </c>
      <c r="BO29" s="460"/>
      <c r="BP29" s="384">
        <v>5006073</v>
      </c>
      <c r="BQ29" s="384"/>
      <c r="BR29" s="384">
        <v>4510015.08</v>
      </c>
      <c r="BS29" s="1203"/>
      <c r="BT29" s="22">
        <f t="shared" si="28"/>
        <v>-9.9091227794720571E-2</v>
      </c>
      <c r="BU29" s="460"/>
      <c r="BV29" s="384">
        <v>9257885.2300000004</v>
      </c>
      <c r="BW29" s="384"/>
      <c r="BX29" s="384">
        <v>13603102.960000001</v>
      </c>
      <c r="BY29" s="1256"/>
      <c r="BZ29" s="1173">
        <f t="shared" si="29"/>
        <v>0.46935316457795406</v>
      </c>
    </row>
    <row r="30" spans="1:78" ht="14.25">
      <c r="A30" s="1683"/>
      <c r="B30" s="1732"/>
      <c r="C30" s="1371">
        <v>14.2</v>
      </c>
      <c r="D30" s="1371" t="s">
        <v>2078</v>
      </c>
      <c r="E30" s="454" t="s">
        <v>205</v>
      </c>
      <c r="F30" s="455"/>
      <c r="G30" s="456"/>
      <c r="H30" s="455"/>
      <c r="I30" s="469"/>
      <c r="J30" s="458">
        <f t="shared" si="18"/>
        <v>23224960.484999999</v>
      </c>
      <c r="K30" s="458"/>
      <c r="L30" s="458">
        <f t="shared" si="19"/>
        <v>25525138.370999999</v>
      </c>
      <c r="M30" s="458"/>
      <c r="N30" s="462">
        <f t="shared" si="12"/>
        <v>0</v>
      </c>
      <c r="O30" s="396">
        <f t="shared" si="1"/>
        <v>0</v>
      </c>
      <c r="P30" s="459">
        <f t="shared" si="13"/>
        <v>0</v>
      </c>
      <c r="Q30" s="459">
        <f t="shared" si="14"/>
        <v>0</v>
      </c>
      <c r="R30" s="459">
        <f t="shared" si="15"/>
        <v>0</v>
      </c>
      <c r="S30" s="460"/>
      <c r="T30" s="384">
        <v>28602530.860000003</v>
      </c>
      <c r="U30" s="462"/>
      <c r="V30" s="384">
        <v>32870164.780000001</v>
      </c>
      <c r="W30" s="1239"/>
      <c r="X30" s="22">
        <f t="shared" si="20"/>
        <v>0.14920476586105846</v>
      </c>
      <c r="Y30" s="460"/>
      <c r="Z30" s="384">
        <v>44478191.850000001</v>
      </c>
      <c r="AA30" s="384"/>
      <c r="AB30" s="384">
        <v>39213864.759999998</v>
      </c>
      <c r="AC30" s="1239"/>
      <c r="AD30" s="22">
        <f t="shared" si="21"/>
        <v>-0.11835748871612473</v>
      </c>
      <c r="AE30" s="460"/>
      <c r="AF30" s="384">
        <v>22006551.950000003</v>
      </c>
      <c r="AG30" s="384"/>
      <c r="AH30" s="384">
        <v>35331318.410000004</v>
      </c>
      <c r="AI30" s="1203"/>
      <c r="AJ30" s="22">
        <f t="shared" si="22"/>
        <v>0.6054908779110213</v>
      </c>
      <c r="AK30" s="460"/>
      <c r="AL30" s="384">
        <v>16325016.310000001</v>
      </c>
      <c r="AM30" s="384"/>
      <c r="AN30" s="384">
        <v>17324398.200000003</v>
      </c>
      <c r="AO30" s="1203"/>
      <c r="AP30" s="22">
        <f t="shared" si="23"/>
        <v>6.1217818777174804E-2</v>
      </c>
      <c r="AQ30" s="460"/>
      <c r="AR30" s="384">
        <v>44249687.020000003</v>
      </c>
      <c r="AS30" s="384"/>
      <c r="AT30" s="384">
        <v>47818548.109999999</v>
      </c>
      <c r="AU30" s="1203"/>
      <c r="AV30" s="22">
        <f t="shared" si="24"/>
        <v>8.0652798479386778E-2</v>
      </c>
      <c r="AW30" s="460"/>
      <c r="AX30" s="384">
        <v>33657934.859999999</v>
      </c>
      <c r="AY30" s="384"/>
      <c r="AZ30" s="384">
        <v>27638068.239999998</v>
      </c>
      <c r="BA30" s="1203"/>
      <c r="BB30" s="22">
        <f t="shared" si="25"/>
        <v>-0.17885430716529716</v>
      </c>
      <c r="BC30" s="460"/>
      <c r="BD30" s="384">
        <v>8188429.1500000004</v>
      </c>
      <c r="BE30" s="384"/>
      <c r="BF30" s="384">
        <v>9250422.1499999985</v>
      </c>
      <c r="BG30" s="1203"/>
      <c r="BH30" s="22">
        <f t="shared" si="26"/>
        <v>0.12969435047258093</v>
      </c>
      <c r="BI30" s="460"/>
      <c r="BJ30" s="384">
        <v>24936501.560000002</v>
      </c>
      <c r="BK30" s="384"/>
      <c r="BL30" s="384">
        <v>31112693.530000001</v>
      </c>
      <c r="BM30" s="1203"/>
      <c r="BN30" s="22">
        <f t="shared" si="27"/>
        <v>0.2476767623212659</v>
      </c>
      <c r="BO30" s="460"/>
      <c r="BP30" s="384">
        <v>3409100.63</v>
      </c>
      <c r="BQ30" s="384"/>
      <c r="BR30" s="384">
        <v>3221051.2800000003</v>
      </c>
      <c r="BS30" s="1203"/>
      <c r="BT30" s="22">
        <f t="shared" si="28"/>
        <v>-5.5160985376955463E-2</v>
      </c>
      <c r="BU30" s="460"/>
      <c r="BV30" s="384">
        <v>6395660.6600000001</v>
      </c>
      <c r="BW30" s="384"/>
      <c r="BX30" s="384">
        <v>11470854.25</v>
      </c>
      <c r="BY30" s="1256"/>
      <c r="BZ30" s="1173">
        <f t="shared" si="29"/>
        <v>0.79353703390511021</v>
      </c>
    </row>
    <row r="31" spans="1:78" ht="14.25">
      <c r="A31" s="1683"/>
      <c r="B31" s="1732"/>
      <c r="C31" s="1371">
        <v>14.3</v>
      </c>
      <c r="D31" s="1371" t="s">
        <v>2074</v>
      </c>
      <c r="E31" s="454" t="s">
        <v>205</v>
      </c>
      <c r="F31" s="455"/>
      <c r="G31" s="456"/>
      <c r="H31" s="455"/>
      <c r="I31" s="469"/>
      <c r="J31" s="458">
        <f t="shared" si="18"/>
        <v>8546919.800999999</v>
      </c>
      <c r="K31" s="458"/>
      <c r="L31" s="458">
        <f t="shared" si="19"/>
        <v>9260276.9929999989</v>
      </c>
      <c r="M31" s="458"/>
      <c r="N31" s="462">
        <f t="shared" si="12"/>
        <v>0</v>
      </c>
      <c r="O31" s="396">
        <f t="shared" si="1"/>
        <v>0</v>
      </c>
      <c r="P31" s="459">
        <f t="shared" si="13"/>
        <v>0</v>
      </c>
      <c r="Q31" s="459">
        <f t="shared" si="14"/>
        <v>0</v>
      </c>
      <c r="R31" s="459">
        <f t="shared" si="15"/>
        <v>0</v>
      </c>
      <c r="S31" s="460"/>
      <c r="T31" s="384">
        <v>5535965.4800000004</v>
      </c>
      <c r="U31" s="462"/>
      <c r="V31" s="384">
        <v>5037505.99</v>
      </c>
      <c r="W31" s="1239"/>
      <c r="X31" s="22">
        <f>IF(AND(T31=0,V31&lt;&gt;0),1,IF(AND(T31=0,V31=0),0,V31/T31-1))</f>
        <v>-9.0040209210264122E-2</v>
      </c>
      <c r="Y31" s="460"/>
      <c r="Z31" s="384">
        <v>19712946.129999999</v>
      </c>
      <c r="AA31" s="384"/>
      <c r="AB31" s="384">
        <v>18730318.710000001</v>
      </c>
      <c r="AC31" s="1239"/>
      <c r="AD31" s="22">
        <f t="shared" si="21"/>
        <v>-4.984680694199195E-2</v>
      </c>
      <c r="AE31" s="460"/>
      <c r="AF31" s="384">
        <v>14275619.699999999</v>
      </c>
      <c r="AG31" s="384"/>
      <c r="AH31" s="384">
        <v>15955610.73</v>
      </c>
      <c r="AI31" s="1203"/>
      <c r="AJ31" s="22">
        <f t="shared" si="22"/>
        <v>0.11768252904635745</v>
      </c>
      <c r="AK31" s="460"/>
      <c r="AL31" s="384">
        <v>9732265.0499999989</v>
      </c>
      <c r="AM31" s="384"/>
      <c r="AN31" s="384">
        <v>12633891.09</v>
      </c>
      <c r="AO31" s="1203"/>
      <c r="AP31" s="22">
        <f t="shared" si="23"/>
        <v>0.29814498732748773</v>
      </c>
      <c r="AQ31" s="460"/>
      <c r="AR31" s="384">
        <v>10194755.26</v>
      </c>
      <c r="AS31" s="384"/>
      <c r="AT31" s="384">
        <v>9052672.8200000003</v>
      </c>
      <c r="AU31" s="1203"/>
      <c r="AV31" s="22">
        <f t="shared" si="24"/>
        <v>-0.1120264695790254</v>
      </c>
      <c r="AW31" s="460"/>
      <c r="AX31" s="384">
        <v>10050466.110000001</v>
      </c>
      <c r="AY31" s="384"/>
      <c r="AZ31" s="384">
        <v>15631897</v>
      </c>
      <c r="BA31" s="1203"/>
      <c r="BB31" s="22">
        <f t="shared" si="25"/>
        <v>0.55534050151630221</v>
      </c>
      <c r="BC31" s="460"/>
      <c r="BD31" s="384">
        <v>2107363.42</v>
      </c>
      <c r="BE31" s="384"/>
      <c r="BF31" s="384">
        <v>2280959.7999999998</v>
      </c>
      <c r="BG31" s="1203"/>
      <c r="BH31" s="22">
        <f t="shared" si="26"/>
        <v>8.2376100084341264E-2</v>
      </c>
      <c r="BI31" s="460"/>
      <c r="BJ31" s="384">
        <v>9400619.9199999999</v>
      </c>
      <c r="BK31" s="384"/>
      <c r="BL31" s="384">
        <v>9858701.2800000012</v>
      </c>
      <c r="BM31" s="1203"/>
      <c r="BN31" s="22">
        <f t="shared" si="27"/>
        <v>4.8728845958916356E-2</v>
      </c>
      <c r="BO31" s="460"/>
      <c r="BP31" s="384">
        <v>1596972.3699999999</v>
      </c>
      <c r="BQ31" s="384"/>
      <c r="BR31" s="384">
        <v>1288963.8</v>
      </c>
      <c r="BS31" s="1203"/>
      <c r="BT31" s="22">
        <f t="shared" si="28"/>
        <v>-0.19287031872692939</v>
      </c>
      <c r="BU31" s="460"/>
      <c r="BV31" s="384">
        <v>2862224.5700000003</v>
      </c>
      <c r="BW31" s="384"/>
      <c r="BX31" s="384">
        <v>2132248.71</v>
      </c>
      <c r="BY31" s="1256"/>
      <c r="BZ31" s="1173">
        <f t="shared" si="29"/>
        <v>-0.2550379406462856</v>
      </c>
    </row>
    <row r="32" spans="1:78" ht="14.25">
      <c r="A32" s="1725" t="s">
        <v>2487</v>
      </c>
      <c r="B32" s="1725" t="s">
        <v>2488</v>
      </c>
      <c r="C32" s="1362">
        <v>15</v>
      </c>
      <c r="D32" s="1495" t="s">
        <v>2489</v>
      </c>
      <c r="E32" s="395"/>
      <c r="F32" s="455"/>
      <c r="G32" s="456" t="s">
        <v>396</v>
      </c>
      <c r="H32" s="455" t="s">
        <v>231</v>
      </c>
      <c r="I32" s="457">
        <v>3</v>
      </c>
      <c r="J32" s="1329">
        <f>AVERAGE(BV32,BP32,BJ32,BD32,AX32,AR32,AL32,AF32,Z32,T32)</f>
        <v>9.7970755233399995E-4</v>
      </c>
      <c r="K32" s="471">
        <f>AVERAGE(BW32,BQ32,BK32,BE32,AY32,AS32,AM32,AG32,AA32,U32)</f>
        <v>3</v>
      </c>
      <c r="L32" s="1329">
        <f>AVERAGE(BX32,BR32,BL32,BF32,AZ32,AT32,AN32,AH32,AB32,V32)</f>
        <v>2.9293476489984271E-2</v>
      </c>
      <c r="M32" s="471">
        <f>AVERAGE(BY32,BS32,BM32,BG32,BA32,AU32,AO32,AI32,AC32,W32)</f>
        <v>2.7</v>
      </c>
      <c r="N32" s="462">
        <f t="shared" si="12"/>
        <v>-0.29999999999999982</v>
      </c>
      <c r="O32" s="396">
        <f t="shared" si="1"/>
        <v>0.29999999999999982</v>
      </c>
      <c r="P32" s="459">
        <f t="shared" si="13"/>
        <v>0.11999999999999994</v>
      </c>
      <c r="Q32" s="459">
        <f t="shared" si="14"/>
        <v>1.3333333333333327E-2</v>
      </c>
      <c r="R32" s="459">
        <f t="shared" si="15"/>
        <v>6.6666666666666636E-3</v>
      </c>
      <c r="S32" s="460"/>
      <c r="T32" s="22">
        <v>2.7158915286125199E-3</v>
      </c>
      <c r="U32" s="362">
        <f>IF(T32&lt;=0.03,3,IF(T32&lt;=0.05,1,0))</f>
        <v>3</v>
      </c>
      <c r="V32" s="22">
        <f>IF(V34=0,"&lt;不适用&gt;",V33/V34)</f>
        <v>0.17589512346513128</v>
      </c>
      <c r="W32" s="1239">
        <f>IF(V32&lt;=0.03,3,IF(V32&lt;=0.05,1,0))</f>
        <v>0</v>
      </c>
      <c r="X32" s="22">
        <f t="shared" si="20"/>
        <v>63.765150453188994</v>
      </c>
      <c r="Y32" s="460"/>
      <c r="Z32" s="22">
        <v>1.9816322630863909E-3</v>
      </c>
      <c r="AA32" s="384">
        <f>IF(Z32&lt;=0.03,3,IF(Z32&lt;=0.05,1,0))</f>
        <v>3</v>
      </c>
      <c r="AB32" s="22">
        <f>IF(AB34=0,"&lt;不适用&gt;",AB33/AB34)</f>
        <v>3.8113107629789375E-3</v>
      </c>
      <c r="AC32" s="1239">
        <f>IF(AB32&lt;=0.03,3,IF(AB32&lt;=0.05,1,0))</f>
        <v>3</v>
      </c>
      <c r="AD32" s="22">
        <f t="shared" si="21"/>
        <v>0.9233188891680757</v>
      </c>
      <c r="AE32" s="460"/>
      <c r="AF32" s="22">
        <v>0</v>
      </c>
      <c r="AG32" s="384">
        <v>3</v>
      </c>
      <c r="AH32" s="22" t="str">
        <f>IF(AH34=0,"&lt;不适用&gt;",AH33/AH34)</f>
        <v>&lt;不适用&gt;</v>
      </c>
      <c r="AI32" s="1203">
        <v>3</v>
      </c>
      <c r="AJ32" s="22">
        <f t="shared" si="22"/>
        <v>1</v>
      </c>
      <c r="AK32" s="460"/>
      <c r="AL32" s="384" t="s">
        <v>1351</v>
      </c>
      <c r="AM32" s="384">
        <v>3</v>
      </c>
      <c r="AN32" s="384" t="str">
        <f>IF(AN34=0,"&lt;不适用&gt;",AN33/AN34)</f>
        <v>&lt;不适用&gt;</v>
      </c>
      <c r="AO32" s="1203">
        <v>3</v>
      </c>
      <c r="AP32" s="22" t="e">
        <f t="shared" si="23"/>
        <v>#VALUE!</v>
      </c>
      <c r="AQ32" s="460"/>
      <c r="AR32" s="22">
        <v>4.1198441793070884E-3</v>
      </c>
      <c r="AS32" s="384">
        <f>IF(AR32&lt;=0.03,3,IF(AR32&lt;=0.05,1,0))</f>
        <v>3</v>
      </c>
      <c r="AT32" s="22">
        <f>IF(AT34=0,"&lt;不适用&gt;",AT33/AT34)</f>
        <v>5.9748921487801582E-3</v>
      </c>
      <c r="AU32" s="1203">
        <f>IF(AT32&lt;=0.03,3,IF(AT32&lt;=0.05,1,0))</f>
        <v>3</v>
      </c>
      <c r="AV32" s="22">
        <f t="shared" si="24"/>
        <v>0.45027139103718916</v>
      </c>
      <c r="AW32" s="460"/>
      <c r="AX32" s="22">
        <v>0</v>
      </c>
      <c r="AY32" s="384">
        <f>IF(AX32&lt;=0.03,3,IF(AX32&lt;=0.05,1,0))</f>
        <v>3</v>
      </c>
      <c r="AZ32" s="22">
        <f>IF(AZ34=0,"&lt;不适用&gt;",AZ33/AZ34)</f>
        <v>0</v>
      </c>
      <c r="BA32" s="1203">
        <f>IF(AZ32&lt;=0.03,3,IF(AZ32&lt;=0.05,1,0))</f>
        <v>3</v>
      </c>
      <c r="BB32" s="22">
        <f t="shared" si="25"/>
        <v>0</v>
      </c>
      <c r="BC32" s="460"/>
      <c r="BD32" s="22">
        <v>0</v>
      </c>
      <c r="BE32" s="384">
        <f>IF(BD32&lt;=0.03,3,IF(BD32&lt;=0.05,1,0))</f>
        <v>3</v>
      </c>
      <c r="BF32" s="22">
        <f>IF(BF34=0,"&lt;不适用&gt;",BF33/BF34)</f>
        <v>1.9373009052999522E-2</v>
      </c>
      <c r="BG32" s="1203">
        <f>IF(BF32&lt;=0.03,3,IF(BF32&lt;=0.05,1,0))</f>
        <v>3</v>
      </c>
      <c r="BH32" s="22">
        <f t="shared" si="26"/>
        <v>1</v>
      </c>
      <c r="BI32" s="460"/>
      <c r="BJ32" s="22">
        <v>0</v>
      </c>
      <c r="BK32" s="384">
        <v>3</v>
      </c>
      <c r="BL32" s="22" t="str">
        <f>IF(BL34=0,"&lt;不适用&gt;",BL33/BL34)</f>
        <v>&lt;不适用&gt;</v>
      </c>
      <c r="BM32" s="1203">
        <v>3</v>
      </c>
      <c r="BN32" s="22">
        <f t="shared" si="27"/>
        <v>1</v>
      </c>
      <c r="BO32" s="460"/>
      <c r="BP32" s="22">
        <v>0</v>
      </c>
      <c r="BQ32" s="384">
        <v>3</v>
      </c>
      <c r="BR32" s="22">
        <f>IF(BR34=0,"&lt;不适用&gt;",BR33/BR34)</f>
        <v>0</v>
      </c>
      <c r="BS32" s="1203">
        <v>3</v>
      </c>
      <c r="BT32" s="22">
        <f t="shared" si="28"/>
        <v>0</v>
      </c>
      <c r="BU32" s="460"/>
      <c r="BV32" s="22">
        <v>0</v>
      </c>
      <c r="BW32" s="384">
        <f>IF(BV32&lt;=0.03,3,IF(BV32&lt;=0.05,1,0))</f>
        <v>3</v>
      </c>
      <c r="BX32" s="22">
        <f>IF(BX34=0,"&lt;不适用&gt;",BX33/BX34)</f>
        <v>0</v>
      </c>
      <c r="BY32" s="1239">
        <f>IF(BX32&lt;=0.03,3,IF(BX32&lt;=0.05,1,0))</f>
        <v>3</v>
      </c>
      <c r="BZ32" s="1173">
        <f t="shared" si="29"/>
        <v>0</v>
      </c>
    </row>
    <row r="33" spans="1:81" ht="16.5" customHeight="1">
      <c r="A33" s="1683"/>
      <c r="B33" s="1732"/>
      <c r="C33" s="1371">
        <v>15.1</v>
      </c>
      <c r="D33" s="1371" t="s">
        <v>2057</v>
      </c>
      <c r="E33" s="454" t="s">
        <v>205</v>
      </c>
      <c r="F33" s="455"/>
      <c r="G33" s="456"/>
      <c r="H33" s="455"/>
      <c r="I33" s="469"/>
      <c r="J33" s="458">
        <f t="shared" si="18"/>
        <v>292.95</v>
      </c>
      <c r="K33" s="458"/>
      <c r="L33" s="458">
        <f t="shared" si="19"/>
        <v>16486.185999999998</v>
      </c>
      <c r="M33" s="458"/>
      <c r="N33" s="462">
        <f t="shared" si="12"/>
        <v>0</v>
      </c>
      <c r="O33" s="396">
        <f t="shared" si="1"/>
        <v>0</v>
      </c>
      <c r="P33" s="459">
        <f t="shared" si="13"/>
        <v>0</v>
      </c>
      <c r="Q33" s="459">
        <f t="shared" si="14"/>
        <v>0</v>
      </c>
      <c r="R33" s="459">
        <f t="shared" si="15"/>
        <v>0</v>
      </c>
      <c r="S33" s="460"/>
      <c r="T33" s="470">
        <v>2015.67</v>
      </c>
      <c r="U33" s="472"/>
      <c r="V33" s="470">
        <v>147938.59</v>
      </c>
      <c r="W33" s="1248"/>
      <c r="X33" s="22">
        <f t="shared" si="20"/>
        <v>72.394251043077489</v>
      </c>
      <c r="Y33" s="460"/>
      <c r="Z33" s="384">
        <v>749.46</v>
      </c>
      <c r="AA33" s="384"/>
      <c r="AB33" s="384">
        <v>1607.4</v>
      </c>
      <c r="AC33" s="1239"/>
      <c r="AD33" s="22">
        <f t="shared" si="21"/>
        <v>1.1447442158354013</v>
      </c>
      <c r="AE33" s="460"/>
      <c r="AF33" s="923">
        <v>0</v>
      </c>
      <c r="AG33" s="470"/>
      <c r="AH33" s="923">
        <v>0</v>
      </c>
      <c r="AI33" s="1255"/>
      <c r="AJ33" s="22">
        <f t="shared" si="22"/>
        <v>0</v>
      </c>
      <c r="AK33" s="460"/>
      <c r="AL33" s="384">
        <v>0</v>
      </c>
      <c r="AM33" s="384"/>
      <c r="AN33" s="384">
        <v>0</v>
      </c>
      <c r="AO33" s="1203"/>
      <c r="AP33" s="22">
        <f t="shared" si="23"/>
        <v>0</v>
      </c>
      <c r="AQ33" s="460"/>
      <c r="AR33" s="923">
        <v>164.37</v>
      </c>
      <c r="AS33" s="470"/>
      <c r="AT33" s="923">
        <v>164.37</v>
      </c>
      <c r="AU33" s="1255"/>
      <c r="AV33" s="22">
        <f t="shared" si="24"/>
        <v>0</v>
      </c>
      <c r="AW33" s="460"/>
      <c r="AX33" s="384">
        <v>0</v>
      </c>
      <c r="AY33" s="384"/>
      <c r="AZ33" s="384">
        <v>0</v>
      </c>
      <c r="BA33" s="1203"/>
      <c r="BB33" s="22">
        <f t="shared" si="25"/>
        <v>0</v>
      </c>
      <c r="BC33" s="460"/>
      <c r="BD33" s="470">
        <v>0</v>
      </c>
      <c r="BE33" s="470"/>
      <c r="BF33" s="1290">
        <v>15151.5</v>
      </c>
      <c r="BG33" s="1255"/>
      <c r="BH33" s="22">
        <f t="shared" si="26"/>
        <v>1</v>
      </c>
      <c r="BI33" s="460"/>
      <c r="BJ33" s="384">
        <v>0</v>
      </c>
      <c r="BK33" s="384"/>
      <c r="BL33" s="384">
        <v>0</v>
      </c>
      <c r="BM33" s="1203"/>
      <c r="BN33" s="22">
        <f t="shared" si="27"/>
        <v>0</v>
      </c>
      <c r="BO33" s="460"/>
      <c r="BP33" s="923">
        <v>0</v>
      </c>
      <c r="BQ33" s="470"/>
      <c r="BR33" s="923">
        <v>0</v>
      </c>
      <c r="BS33" s="1255"/>
      <c r="BT33" s="22">
        <f t="shared" si="28"/>
        <v>0</v>
      </c>
      <c r="BU33" s="460"/>
      <c r="BV33" s="384">
        <v>0</v>
      </c>
      <c r="BW33" s="384"/>
      <c r="BX33" s="384">
        <v>0</v>
      </c>
      <c r="BY33" s="1256"/>
      <c r="BZ33" s="1173">
        <f t="shared" si="29"/>
        <v>0</v>
      </c>
    </row>
    <row r="34" spans="1:81" ht="15" customHeight="1">
      <c r="A34" s="1683"/>
      <c r="B34" s="1732"/>
      <c r="C34" s="1371">
        <v>15.2</v>
      </c>
      <c r="D34" s="1371" t="s">
        <v>2061</v>
      </c>
      <c r="E34" s="454" t="s">
        <v>205</v>
      </c>
      <c r="F34" s="455"/>
      <c r="G34" s="456"/>
      <c r="H34" s="455"/>
      <c r="I34" s="469"/>
      <c r="J34" s="458">
        <f t="shared" si="18"/>
        <v>216030.54100000003</v>
      </c>
      <c r="K34" s="458"/>
      <c r="L34" s="458">
        <f>AVERAGE(BX34,BR34,BL34,BF34,AZ34,AT34,AN34,AH34,AB34,V34)</f>
        <v>241952.56099999999</v>
      </c>
      <c r="M34" s="458"/>
      <c r="N34" s="462">
        <f t="shared" si="12"/>
        <v>0</v>
      </c>
      <c r="O34" s="396">
        <f t="shared" si="1"/>
        <v>0</v>
      </c>
      <c r="P34" s="459">
        <f t="shared" si="13"/>
        <v>0</v>
      </c>
      <c r="Q34" s="459">
        <f t="shared" si="14"/>
        <v>0</v>
      </c>
      <c r="R34" s="459">
        <f t="shared" si="15"/>
        <v>0</v>
      </c>
      <c r="S34" s="460"/>
      <c r="T34" s="470">
        <v>742176.17999999982</v>
      </c>
      <c r="U34" s="472"/>
      <c r="V34" s="470">
        <v>841061.35</v>
      </c>
      <c r="W34" s="1248"/>
      <c r="X34" s="22">
        <f t="shared" si="20"/>
        <v>0.1332367875239544</v>
      </c>
      <c r="Y34" s="460"/>
      <c r="Z34" s="384">
        <v>378203.37000000017</v>
      </c>
      <c r="AA34" s="384"/>
      <c r="AB34" s="384">
        <v>421744.67</v>
      </c>
      <c r="AC34" s="1239"/>
      <c r="AD34" s="22">
        <f t="shared" si="21"/>
        <v>0.11512668435503315</v>
      </c>
      <c r="AE34" s="460"/>
      <c r="AF34" s="470">
        <v>1803.7</v>
      </c>
      <c r="AG34" s="470"/>
      <c r="AH34" s="923">
        <v>0</v>
      </c>
      <c r="AI34" s="1255"/>
      <c r="AJ34" s="22">
        <f t="shared" si="22"/>
        <v>-1</v>
      </c>
      <c r="AK34" s="460"/>
      <c r="AL34" s="384">
        <v>0</v>
      </c>
      <c r="AM34" s="384"/>
      <c r="AN34" s="384">
        <v>0</v>
      </c>
      <c r="AO34" s="1203"/>
      <c r="AP34" s="22">
        <f t="shared" si="23"/>
        <v>0</v>
      </c>
      <c r="AQ34" s="460"/>
      <c r="AR34" s="470">
        <v>39897.14</v>
      </c>
      <c r="AS34" s="470"/>
      <c r="AT34" s="470">
        <v>27510.12</v>
      </c>
      <c r="AU34" s="1255"/>
      <c r="AV34" s="22">
        <f t="shared" si="24"/>
        <v>-0.31047388359165595</v>
      </c>
      <c r="AW34" s="460"/>
      <c r="AX34" s="473">
        <v>167445.48999999993</v>
      </c>
      <c r="AY34" s="384"/>
      <c r="AZ34" s="473">
        <v>43320.47</v>
      </c>
      <c r="BA34" s="1203"/>
      <c r="BB34" s="22">
        <f t="shared" si="25"/>
        <v>-0.74128613437125113</v>
      </c>
      <c r="BC34" s="460"/>
      <c r="BD34" s="470">
        <v>380726.9</v>
      </c>
      <c r="BE34" s="470"/>
      <c r="BF34" s="470">
        <v>782093.27</v>
      </c>
      <c r="BG34" s="1255"/>
      <c r="BH34" s="22">
        <f t="shared" si="26"/>
        <v>1.0542106953829635</v>
      </c>
      <c r="BI34" s="460"/>
      <c r="BJ34" s="384">
        <v>245.79</v>
      </c>
      <c r="BK34" s="384"/>
      <c r="BL34" s="384">
        <v>0</v>
      </c>
      <c r="BM34" s="1203"/>
      <c r="BN34" s="22">
        <f t="shared" si="27"/>
        <v>-1</v>
      </c>
      <c r="BO34" s="460"/>
      <c r="BP34" s="470">
        <v>3426.92</v>
      </c>
      <c r="BQ34" s="470"/>
      <c r="BR34" s="470">
        <v>11714.2</v>
      </c>
      <c r="BS34" s="1255"/>
      <c r="BT34" s="22">
        <f t="shared" si="28"/>
        <v>2.418288142121789</v>
      </c>
      <c r="BU34" s="460"/>
      <c r="BV34" s="384">
        <v>446379.92</v>
      </c>
      <c r="BW34" s="384"/>
      <c r="BX34" s="384">
        <v>292081.53000000003</v>
      </c>
      <c r="BY34" s="1256"/>
      <c r="BZ34" s="1173">
        <f t="shared" si="29"/>
        <v>-0.34566606401112299</v>
      </c>
    </row>
    <row r="35" spans="1:81" ht="15" customHeight="1">
      <c r="A35" s="1726" t="s">
        <v>1252</v>
      </c>
      <c r="B35" s="1726" t="s">
        <v>1253</v>
      </c>
      <c r="C35" s="1362">
        <v>16</v>
      </c>
      <c r="D35" s="453" t="s">
        <v>1657</v>
      </c>
      <c r="E35" s="454" t="s">
        <v>205</v>
      </c>
      <c r="F35" s="455"/>
      <c r="G35" s="456" t="s">
        <v>400</v>
      </c>
      <c r="H35" s="455" t="s">
        <v>231</v>
      </c>
      <c r="I35" s="1720">
        <v>10</v>
      </c>
      <c r="J35" s="1330">
        <f t="shared" si="18"/>
        <v>0</v>
      </c>
      <c r="K35" s="1737">
        <f>AVERAGE(BW35,BQ35,BK35,BE35,AY35,AS35,AM35,AG35,AA35,U35)</f>
        <v>10</v>
      </c>
      <c r="L35" s="1331">
        <f t="shared" si="19"/>
        <v>0</v>
      </c>
      <c r="M35" s="1737">
        <f>AVERAGE(BY35,BS35,BM35,BG35,BA35,AU35,AO35,AI35,AC35,W35)</f>
        <v>10</v>
      </c>
      <c r="N35" s="462">
        <f t="shared" si="12"/>
        <v>0</v>
      </c>
      <c r="O35" s="396">
        <f t="shared" si="1"/>
        <v>0</v>
      </c>
      <c r="P35" s="459">
        <f t="shared" si="13"/>
        <v>0</v>
      </c>
      <c r="Q35" s="459">
        <f t="shared" si="14"/>
        <v>0</v>
      </c>
      <c r="R35" s="459">
        <f t="shared" si="15"/>
        <v>0</v>
      </c>
      <c r="S35" s="460"/>
      <c r="T35" s="384">
        <v>0</v>
      </c>
      <c r="U35" s="1675">
        <f>10-3*T35-0.5*T36</f>
        <v>10</v>
      </c>
      <c r="V35" s="384">
        <v>0</v>
      </c>
      <c r="W35" s="1676">
        <f>10-V35*3-V36*0.5</f>
        <v>10</v>
      </c>
      <c r="X35" s="22">
        <f t="shared" si="20"/>
        <v>0</v>
      </c>
      <c r="Y35" s="460"/>
      <c r="Z35" s="384">
        <v>0</v>
      </c>
      <c r="AA35" s="1719">
        <f>10-3*Z35-0.5*Z36</f>
        <v>10</v>
      </c>
      <c r="AB35" s="384">
        <v>0</v>
      </c>
      <c r="AC35" s="1676">
        <f>10-AB35*3-AB36*0.5</f>
        <v>10</v>
      </c>
      <c r="AD35" s="22">
        <f t="shared" si="21"/>
        <v>0</v>
      </c>
      <c r="AE35" s="460"/>
      <c r="AF35" s="384">
        <v>0</v>
      </c>
      <c r="AG35" s="1719">
        <f>10-3*AF35-0.5*AF36</f>
        <v>10</v>
      </c>
      <c r="AH35" s="384">
        <v>0</v>
      </c>
      <c r="AI35" s="1721">
        <f>10-AH35*3-AH36*0.5</f>
        <v>10</v>
      </c>
      <c r="AJ35" s="22">
        <f t="shared" si="22"/>
        <v>0</v>
      </c>
      <c r="AK35" s="460"/>
      <c r="AL35" s="384">
        <v>0</v>
      </c>
      <c r="AM35" s="1719">
        <f>10-3*AL35-0.5*AL36</f>
        <v>10</v>
      </c>
      <c r="AN35" s="384">
        <v>0</v>
      </c>
      <c r="AO35" s="1721">
        <f>10-AN35*3-AN36*0.5</f>
        <v>10</v>
      </c>
      <c r="AP35" s="22">
        <f t="shared" si="23"/>
        <v>0</v>
      </c>
      <c r="AQ35" s="460"/>
      <c r="AR35" s="384">
        <v>0</v>
      </c>
      <c r="AS35" s="1719">
        <f>10-3*AR35-0.5*AR36</f>
        <v>10</v>
      </c>
      <c r="AT35" s="384">
        <v>0</v>
      </c>
      <c r="AU35" s="1721">
        <f>10-AT35*3-AT36*0.5</f>
        <v>10</v>
      </c>
      <c r="AV35" s="22">
        <f t="shared" si="24"/>
        <v>0</v>
      </c>
      <c r="AW35" s="460"/>
      <c r="AX35" s="384">
        <v>0</v>
      </c>
      <c r="AY35" s="1719">
        <f>10-3*AX35-0.5*AX36</f>
        <v>10</v>
      </c>
      <c r="AZ35" s="384">
        <v>0</v>
      </c>
      <c r="BA35" s="1721">
        <f>10-AZ35*3-AZ36*0.5</f>
        <v>10</v>
      </c>
      <c r="BB35" s="22">
        <f t="shared" si="25"/>
        <v>0</v>
      </c>
      <c r="BC35" s="460"/>
      <c r="BD35" s="384">
        <v>0</v>
      </c>
      <c r="BE35" s="1719">
        <f>10-3*BD35-0.5*BD36</f>
        <v>10</v>
      </c>
      <c r="BF35" s="384">
        <v>0</v>
      </c>
      <c r="BG35" s="1721">
        <f>10-BF35*3-BF36*0.5</f>
        <v>10</v>
      </c>
      <c r="BH35" s="22">
        <f t="shared" si="26"/>
        <v>0</v>
      </c>
      <c r="BI35" s="460"/>
      <c r="BJ35" s="384">
        <v>0</v>
      </c>
      <c r="BK35" s="1719">
        <f>10-3*BJ35-0.5*BJ36</f>
        <v>10</v>
      </c>
      <c r="BL35" s="384">
        <v>0</v>
      </c>
      <c r="BM35" s="1721">
        <f>10-BL35*3-BL36*0.5</f>
        <v>10</v>
      </c>
      <c r="BN35" s="22">
        <f t="shared" si="27"/>
        <v>0</v>
      </c>
      <c r="BO35" s="460"/>
      <c r="BP35" s="384">
        <v>0</v>
      </c>
      <c r="BQ35" s="1719">
        <f>10-3*BP35-0.5*BP36</f>
        <v>10</v>
      </c>
      <c r="BR35" s="384">
        <v>0</v>
      </c>
      <c r="BS35" s="1721">
        <f>10-BR35*3-BR36*0.5</f>
        <v>10</v>
      </c>
      <c r="BT35" s="22">
        <f t="shared" si="28"/>
        <v>0</v>
      </c>
      <c r="BU35" s="460"/>
      <c r="BV35" s="384">
        <v>0</v>
      </c>
      <c r="BW35" s="1719">
        <f>10-3*BV35-0.5*BV36</f>
        <v>10</v>
      </c>
      <c r="BX35" s="384">
        <v>0</v>
      </c>
      <c r="BY35" s="1676">
        <f>10-BX35*3-BX36*0.5</f>
        <v>10</v>
      </c>
      <c r="BZ35" s="1173">
        <f t="shared" si="29"/>
        <v>0</v>
      </c>
    </row>
    <row r="36" spans="1:81" ht="18" customHeight="1">
      <c r="A36" s="1726"/>
      <c r="B36" s="1726"/>
      <c r="C36" s="1362">
        <v>17</v>
      </c>
      <c r="D36" s="453" t="s">
        <v>1465</v>
      </c>
      <c r="E36" s="454" t="s">
        <v>205</v>
      </c>
      <c r="F36" s="455"/>
      <c r="G36" s="456" t="s">
        <v>400</v>
      </c>
      <c r="H36" s="455" t="s">
        <v>231</v>
      </c>
      <c r="I36" s="1720"/>
      <c r="J36" s="1330">
        <f t="shared" si="18"/>
        <v>0</v>
      </c>
      <c r="K36" s="1738"/>
      <c r="L36" s="1331">
        <f t="shared" si="19"/>
        <v>0</v>
      </c>
      <c r="M36" s="1738"/>
      <c r="N36" s="462">
        <f t="shared" si="12"/>
        <v>0</v>
      </c>
      <c r="O36" s="396">
        <f t="shared" si="1"/>
        <v>0</v>
      </c>
      <c r="P36" s="459">
        <f t="shared" si="13"/>
        <v>0</v>
      </c>
      <c r="Q36" s="459">
        <f t="shared" si="14"/>
        <v>0</v>
      </c>
      <c r="R36" s="459">
        <f t="shared" si="15"/>
        <v>0</v>
      </c>
      <c r="S36" s="460"/>
      <c r="T36" s="384">
        <v>0</v>
      </c>
      <c r="U36" s="1675"/>
      <c r="V36" s="384">
        <v>0</v>
      </c>
      <c r="W36" s="1676"/>
      <c r="X36" s="22">
        <f>IF(AND(T36=0,V36&lt;&gt;0),1,IF(AND(T36=0,V36=0),0,V36/T36-1))</f>
        <v>0</v>
      </c>
      <c r="Y36" s="460"/>
      <c r="Z36" s="384">
        <v>0</v>
      </c>
      <c r="AA36" s="1719"/>
      <c r="AB36" s="384">
        <v>0</v>
      </c>
      <c r="AC36" s="1676"/>
      <c r="AD36" s="22">
        <f t="shared" si="21"/>
        <v>0</v>
      </c>
      <c r="AE36" s="460"/>
      <c r="AF36" s="384">
        <v>0</v>
      </c>
      <c r="AG36" s="1719"/>
      <c r="AH36" s="384">
        <v>0</v>
      </c>
      <c r="AI36" s="1721"/>
      <c r="AJ36" s="22">
        <f t="shared" si="22"/>
        <v>0</v>
      </c>
      <c r="AK36" s="460"/>
      <c r="AL36" s="384">
        <v>0</v>
      </c>
      <c r="AM36" s="1719"/>
      <c r="AN36" s="384">
        <v>0</v>
      </c>
      <c r="AO36" s="1721"/>
      <c r="AP36" s="22">
        <f t="shared" si="23"/>
        <v>0</v>
      </c>
      <c r="AQ36" s="460"/>
      <c r="AR36" s="384">
        <v>0</v>
      </c>
      <c r="AS36" s="1719"/>
      <c r="AT36" s="384">
        <v>0</v>
      </c>
      <c r="AU36" s="1721"/>
      <c r="AV36" s="22">
        <f t="shared" si="24"/>
        <v>0</v>
      </c>
      <c r="AW36" s="460"/>
      <c r="AX36" s="384">
        <v>0</v>
      </c>
      <c r="AY36" s="1719"/>
      <c r="AZ36" s="384">
        <v>0</v>
      </c>
      <c r="BA36" s="1721"/>
      <c r="BB36" s="22">
        <f t="shared" si="25"/>
        <v>0</v>
      </c>
      <c r="BC36" s="460"/>
      <c r="BD36" s="384">
        <v>0</v>
      </c>
      <c r="BE36" s="1719"/>
      <c r="BF36" s="384">
        <v>0</v>
      </c>
      <c r="BG36" s="1721"/>
      <c r="BH36" s="22">
        <f t="shared" si="26"/>
        <v>0</v>
      </c>
      <c r="BI36" s="460"/>
      <c r="BJ36" s="384">
        <v>0</v>
      </c>
      <c r="BK36" s="1719"/>
      <c r="BL36" s="384">
        <v>0</v>
      </c>
      <c r="BM36" s="1721"/>
      <c r="BN36" s="22">
        <f t="shared" si="27"/>
        <v>0</v>
      </c>
      <c r="BO36" s="460"/>
      <c r="BP36" s="384">
        <v>0</v>
      </c>
      <c r="BQ36" s="1719"/>
      <c r="BR36" s="384">
        <v>0</v>
      </c>
      <c r="BS36" s="1721"/>
      <c r="BT36" s="22">
        <f t="shared" si="28"/>
        <v>0</v>
      </c>
      <c r="BU36" s="460"/>
      <c r="BV36" s="384">
        <v>0</v>
      </c>
      <c r="BW36" s="1719"/>
      <c r="BX36" s="384">
        <v>0</v>
      </c>
      <c r="BY36" s="1676"/>
      <c r="BZ36" s="1173">
        <f t="shared" si="29"/>
        <v>0</v>
      </c>
    </row>
    <row r="37" spans="1:81" ht="14.25">
      <c r="A37" s="462" t="s">
        <v>1255</v>
      </c>
      <c r="B37" s="462" t="s">
        <v>1256</v>
      </c>
      <c r="C37" s="1362">
        <v>18</v>
      </c>
      <c r="D37" s="453" t="s">
        <v>1254</v>
      </c>
      <c r="E37" s="454" t="s">
        <v>205</v>
      </c>
      <c r="F37" s="455"/>
      <c r="G37" s="456" t="s">
        <v>396</v>
      </c>
      <c r="H37" s="455" t="s">
        <v>231</v>
      </c>
      <c r="I37" s="457">
        <v>3</v>
      </c>
      <c r="J37" s="1287" t="s">
        <v>1257</v>
      </c>
      <c r="K37" s="458">
        <f>AVERAGE(BW37,BQ37,BK37,BE37,AY37,AS37,AM37,AG37,AA37,U37)</f>
        <v>3</v>
      </c>
      <c r="L37" s="458" t="s">
        <v>1257</v>
      </c>
      <c r="M37" s="458">
        <f>AVERAGE(BY37,BS37,BM37,BG37,BA37,AU37,AO37,AI37,AC37,W37)</f>
        <v>3</v>
      </c>
      <c r="N37" s="462">
        <f t="shared" si="12"/>
        <v>0</v>
      </c>
      <c r="O37" s="396">
        <f t="shared" si="1"/>
        <v>0</v>
      </c>
      <c r="P37" s="459">
        <f t="shared" si="13"/>
        <v>0</v>
      </c>
      <c r="Q37" s="459">
        <f t="shared" si="14"/>
        <v>0</v>
      </c>
      <c r="R37" s="459">
        <f t="shared" si="15"/>
        <v>0</v>
      </c>
      <c r="S37" s="460"/>
      <c r="T37" s="342" t="s">
        <v>1257</v>
      </c>
      <c r="U37" s="362">
        <f>IF(LEFT(T37,1)="1",3,0)</f>
        <v>3</v>
      </c>
      <c r="V37" s="342" t="s">
        <v>1257</v>
      </c>
      <c r="W37" s="1239">
        <f>IF(LEFT(V37)="1",3,0)</f>
        <v>3</v>
      </c>
      <c r="X37" s="22">
        <f>IF((V37=T37)=TRUE,0,1)</f>
        <v>0</v>
      </c>
      <c r="Y37" s="460"/>
      <c r="Z37" s="342" t="s">
        <v>1257</v>
      </c>
      <c r="AA37" s="384">
        <f>IF(LEFT(Z37,1)="1",3,0)</f>
        <v>3</v>
      </c>
      <c r="AB37" s="342" t="s">
        <v>1257</v>
      </c>
      <c r="AC37" s="1239">
        <f>IF(LEFT(AB37)="1",3,0)</f>
        <v>3</v>
      </c>
      <c r="AD37" s="22">
        <f>IF((AB37=Z37)=TRUE,0,1)</f>
        <v>0</v>
      </c>
      <c r="AE37" s="460"/>
      <c r="AF37" s="342" t="s">
        <v>1257</v>
      </c>
      <c r="AG37" s="384">
        <f>IF(LEFT(AF37,1)="1",3,0)</f>
        <v>3</v>
      </c>
      <c r="AH37" s="342" t="s">
        <v>1257</v>
      </c>
      <c r="AI37" s="1203">
        <f>IF(LEFT(AH37)="1",3,0)</f>
        <v>3</v>
      </c>
      <c r="AJ37" s="22">
        <f>IF((AH37=AF37)=TRUE,0,1)</f>
        <v>0</v>
      </c>
      <c r="AK37" s="460"/>
      <c r="AL37" s="342" t="s">
        <v>1257</v>
      </c>
      <c r="AM37" s="384">
        <f>IF(LEFT(AL37,1)="1",3,0)</f>
        <v>3</v>
      </c>
      <c r="AN37" s="342" t="s">
        <v>1257</v>
      </c>
      <c r="AO37" s="1203">
        <f>IF(LEFT(AN37)="1",3,0)</f>
        <v>3</v>
      </c>
      <c r="AP37" s="22">
        <f>IF((AN37=AL37)=TRUE,0,1)</f>
        <v>0</v>
      </c>
      <c r="AQ37" s="460"/>
      <c r="AR37" s="342" t="s">
        <v>1257</v>
      </c>
      <c r="AS37" s="384">
        <f>IF(LEFT(AR37,1)="1",3,0)</f>
        <v>3</v>
      </c>
      <c r="AT37" s="342" t="s">
        <v>1257</v>
      </c>
      <c r="AU37" s="1203">
        <f>IF(LEFT(AT37)="1",3,0)</f>
        <v>3</v>
      </c>
      <c r="AV37" s="22">
        <f>IF((AT37=AR37)=TRUE,0,1)</f>
        <v>0</v>
      </c>
      <c r="AW37" s="460"/>
      <c r="AX37" s="342" t="s">
        <v>1257</v>
      </c>
      <c r="AY37" s="384">
        <f>IF(LEFT(AX37,1)="1",3,0)</f>
        <v>3</v>
      </c>
      <c r="AZ37" s="342" t="s">
        <v>1257</v>
      </c>
      <c r="BA37" s="1203">
        <f>IF(LEFT(AZ37)="1",3,0)</f>
        <v>3</v>
      </c>
      <c r="BB37" s="22">
        <f>IF((AZ37=AX37)=TRUE,0,1)</f>
        <v>0</v>
      </c>
      <c r="BC37" s="460"/>
      <c r="BD37" s="342" t="s">
        <v>1257</v>
      </c>
      <c r="BE37" s="384">
        <f>IF(LEFT(BD37,1)="1",3,0)</f>
        <v>3</v>
      </c>
      <c r="BF37" s="342" t="s">
        <v>1257</v>
      </c>
      <c r="BG37" s="1203">
        <f>IF(LEFT(BF37)="1",3,0)</f>
        <v>3</v>
      </c>
      <c r="BH37" s="22">
        <f>IF((BF37=BD37)=TRUE,0,1)</f>
        <v>0</v>
      </c>
      <c r="BI37" s="460"/>
      <c r="BJ37" s="342" t="s">
        <v>1257</v>
      </c>
      <c r="BK37" s="384">
        <f>IF(LEFT(BJ37,1)="1",3,0)</f>
        <v>3</v>
      </c>
      <c r="BL37" s="342" t="s">
        <v>1257</v>
      </c>
      <c r="BM37" s="1203">
        <f>IF(LEFT(BL37)="1",3,0)</f>
        <v>3</v>
      </c>
      <c r="BN37" s="22">
        <f>IF((BL37=BJ37)=TRUE,0,1)</f>
        <v>0</v>
      </c>
      <c r="BO37" s="460"/>
      <c r="BP37" s="342" t="s">
        <v>1257</v>
      </c>
      <c r="BQ37" s="384">
        <f>IF(LEFT(BP37,1)="1",3,0)</f>
        <v>3</v>
      </c>
      <c r="BR37" s="342" t="s">
        <v>1257</v>
      </c>
      <c r="BS37" s="1203">
        <f>IF(LEFT(BR37)="1",3,0)</f>
        <v>3</v>
      </c>
      <c r="BT37" s="22">
        <f>IF((BR37=BP37)=TRUE,0,1)</f>
        <v>0</v>
      </c>
      <c r="BU37" s="460"/>
      <c r="BV37" s="342" t="s">
        <v>1257</v>
      </c>
      <c r="BW37" s="384">
        <f>IF(LEFT(BV37,1)="1",3,0)</f>
        <v>3</v>
      </c>
      <c r="BX37" s="342" t="s">
        <v>1257</v>
      </c>
      <c r="BY37" s="1239">
        <f>IF(LEFT(BX37)="1",3,0)</f>
        <v>3</v>
      </c>
      <c r="BZ37" s="1173">
        <f>IF((BX37=BV37)=TRUE,0,1)</f>
        <v>0</v>
      </c>
    </row>
    <row r="38" spans="1:81" ht="17.25" customHeight="1">
      <c r="A38" s="1726" t="s">
        <v>1258</v>
      </c>
      <c r="B38" s="1726" t="s">
        <v>1656</v>
      </c>
      <c r="C38" s="1362">
        <v>19</v>
      </c>
      <c r="D38" s="1328" t="s">
        <v>2490</v>
      </c>
      <c r="E38" s="454" t="s">
        <v>205</v>
      </c>
      <c r="F38" s="455"/>
      <c r="G38" s="456" t="s">
        <v>400</v>
      </c>
      <c r="H38" s="455" t="s">
        <v>231</v>
      </c>
      <c r="I38" s="1720">
        <v>12</v>
      </c>
      <c r="J38" s="459">
        <f t="shared" ref="J38:J51" si="30">AVERAGE(BV38,BP38,BJ38,BD38,AX38,AR38,AL38,AF38,Z38,T38)</f>
        <v>0.1</v>
      </c>
      <c r="K38" s="1729">
        <f>AVERAGE(BW38,BQ38,BK38,BE38,AY38,AS38,AM38,AG38,AA38,U38)</f>
        <v>11.7</v>
      </c>
      <c r="L38" s="459">
        <f t="shared" ref="L38:L43" si="31">AVERAGE(BX38,BR38,BL38,BF38,AZ38,AT38,AN38,AH38,AB38,V38)</f>
        <v>0</v>
      </c>
      <c r="M38" s="1729">
        <f>AVERAGE(BY38,BS38,BM38,BG38,BA38,AU38,AO38,AI38,AC38,W38)</f>
        <v>12</v>
      </c>
      <c r="N38" s="449">
        <f t="shared" si="12"/>
        <v>0.30000000000000071</v>
      </c>
      <c r="O38" s="396">
        <f t="shared" si="1"/>
        <v>0</v>
      </c>
      <c r="P38" s="459">
        <f t="shared" si="13"/>
        <v>0</v>
      </c>
      <c r="Q38" s="459">
        <f t="shared" si="14"/>
        <v>0</v>
      </c>
      <c r="R38" s="459">
        <f t="shared" si="15"/>
        <v>0</v>
      </c>
      <c r="S38" s="460"/>
      <c r="T38" s="384">
        <v>0</v>
      </c>
      <c r="U38" s="1675">
        <f>12-T38*3-T39*0.5</f>
        <v>12</v>
      </c>
      <c r="V38" s="384">
        <v>0</v>
      </c>
      <c r="W38" s="1676">
        <f>12-V38*3-V39*0.5</f>
        <v>12</v>
      </c>
      <c r="X38" s="22">
        <f t="shared" ref="X38:X51" si="32">IF(AND(T38=0,V38&lt;&gt;0),1,IF(AND(T38=0,V38=0),0,V38/T38-1))</f>
        <v>0</v>
      </c>
      <c r="Y38" s="460"/>
      <c r="Z38" s="384">
        <v>0</v>
      </c>
      <c r="AA38" s="1719">
        <f>12-Z38*3-Z39*0.5</f>
        <v>12</v>
      </c>
      <c r="AB38" s="384">
        <v>0</v>
      </c>
      <c r="AC38" s="1676">
        <f>12-AB38*3-AB39*0.5</f>
        <v>12</v>
      </c>
      <c r="AD38" s="22">
        <f t="shared" ref="AD38:AD51" si="33">IF(AND(Z38=0,AB38&lt;&gt;0),1,IF(AND(Z38=0,AB38=0),0,AB38/Z38-1))</f>
        <v>0</v>
      </c>
      <c r="AE38" s="460"/>
      <c r="AF38" s="384">
        <v>0</v>
      </c>
      <c r="AG38" s="1719">
        <f>12-AF38*3-AF39*0.5</f>
        <v>12</v>
      </c>
      <c r="AH38" s="384">
        <v>0</v>
      </c>
      <c r="AI38" s="1721">
        <f>12-AH38*3-AH39*0.5</f>
        <v>12</v>
      </c>
      <c r="AJ38" s="22">
        <f t="shared" ref="AJ38:AJ51" si="34">IF(AND(AF38=0,AH38&lt;&gt;0),1,IF(AND(AF38=0,AH38=0),0,AH38/AF38-1))</f>
        <v>0</v>
      </c>
      <c r="AK38" s="460"/>
      <c r="AL38" s="384">
        <v>1</v>
      </c>
      <c r="AM38" s="1719">
        <f>12-AL38*3-AL39*0.5</f>
        <v>9</v>
      </c>
      <c r="AN38" s="384">
        <v>0</v>
      </c>
      <c r="AO38" s="1721">
        <f>12-AN38*3-AN39*0.5</f>
        <v>12</v>
      </c>
      <c r="AP38" s="22">
        <f t="shared" ref="AP38:AP51" si="35">IF(AND(AL38=0,AN38&lt;&gt;0),1,IF(AND(AL38=0,AN38=0),0,AN38/AL38-1))</f>
        <v>-1</v>
      </c>
      <c r="AQ38" s="460"/>
      <c r="AR38" s="384">
        <v>0</v>
      </c>
      <c r="AS38" s="1719">
        <f>12-AR38*3-AR39*0.5</f>
        <v>12</v>
      </c>
      <c r="AT38" s="384">
        <v>0</v>
      </c>
      <c r="AU38" s="1721">
        <f>12-AT38*3-AT39*0.5</f>
        <v>12</v>
      </c>
      <c r="AV38" s="22">
        <f t="shared" ref="AV38:AV51" si="36">IF(AND(AR38=0,AT38&lt;&gt;0),1,IF(AND(AR38=0,AT38=0),0,AT38/AR38-1))</f>
        <v>0</v>
      </c>
      <c r="AW38" s="460"/>
      <c r="AX38" s="384">
        <v>0</v>
      </c>
      <c r="AY38" s="1719">
        <f>12-AX38*3-AX39*0.5</f>
        <v>12</v>
      </c>
      <c r="AZ38" s="384">
        <v>0</v>
      </c>
      <c r="BA38" s="1721">
        <f>12-AZ38*3-AZ39*0.5</f>
        <v>12</v>
      </c>
      <c r="BB38" s="22">
        <f t="shared" ref="BB38:BB51" si="37">IF(AND(AX38=0,AZ38&lt;&gt;0),1,IF(AND(AX38=0,AZ38=0),0,AZ38/AX38-1))</f>
        <v>0</v>
      </c>
      <c r="BC38" s="460"/>
      <c r="BD38" s="384">
        <v>0</v>
      </c>
      <c r="BE38" s="1719">
        <f>12-BD38*3-BD39*0.5</f>
        <v>12</v>
      </c>
      <c r="BF38" s="384">
        <v>0</v>
      </c>
      <c r="BG38" s="1721">
        <f>12-BF38*3-BF39*0.5</f>
        <v>12</v>
      </c>
      <c r="BH38" s="22">
        <f t="shared" ref="BH38:BH51" si="38">IF(AND(BD38=0,BF38&lt;&gt;0),1,IF(AND(BD38=0,BF38=0),0,BF38/BD38-1))</f>
        <v>0</v>
      </c>
      <c r="BI38" s="460"/>
      <c r="BJ38" s="384">
        <v>0</v>
      </c>
      <c r="BK38" s="1719">
        <f>12-BJ38*3-BJ39*0.5</f>
        <v>12</v>
      </c>
      <c r="BL38" s="384">
        <v>0</v>
      </c>
      <c r="BM38" s="1721">
        <f>12-BL38*3-BL39*0.5</f>
        <v>12</v>
      </c>
      <c r="BN38" s="22">
        <f t="shared" ref="BN38:BN51" si="39">IF(AND(BJ38=0,BL38&lt;&gt;0),1,IF(AND(BJ38=0,BL38=0),0,BL38/BJ38-1))</f>
        <v>0</v>
      </c>
      <c r="BO38" s="460"/>
      <c r="BP38" s="384">
        <v>0</v>
      </c>
      <c r="BQ38" s="1719">
        <f>12-BP38*3-BP39*0.5</f>
        <v>12</v>
      </c>
      <c r="BR38" s="384">
        <v>0</v>
      </c>
      <c r="BS38" s="1721">
        <f>12-BR38*3-BR39*0.5</f>
        <v>12</v>
      </c>
      <c r="BT38" s="22">
        <f t="shared" ref="BT38:BT51" si="40">IF(AND(BP38=0,BR38&lt;&gt;0),1,IF(AND(BP38=0,BR38=0),0,BR38/BP38-1))</f>
        <v>0</v>
      </c>
      <c r="BU38" s="460"/>
      <c r="BV38" s="384">
        <v>0</v>
      </c>
      <c r="BW38" s="1719">
        <f>12-BV38*3-BV39*0.5</f>
        <v>12</v>
      </c>
      <c r="BX38" s="384">
        <v>0</v>
      </c>
      <c r="BY38" s="1676">
        <f>12-BX38*3-BX39*0.5</f>
        <v>12</v>
      </c>
      <c r="BZ38" s="1173">
        <f t="shared" ref="BZ38:BZ51" si="41">IF(AND(BV38=0,BX38&lt;&gt;0),1,IF(AND(BV38=0,BX38=0),0,BX38/BV38-1))</f>
        <v>0</v>
      </c>
    </row>
    <row r="39" spans="1:81" ht="14.25">
      <c r="A39" s="1726"/>
      <c r="B39" s="1726"/>
      <c r="C39" s="1362">
        <v>20</v>
      </c>
      <c r="D39" s="474" t="s">
        <v>1259</v>
      </c>
      <c r="E39" s="454" t="s">
        <v>205</v>
      </c>
      <c r="F39" s="455"/>
      <c r="G39" s="456" t="s">
        <v>400</v>
      </c>
      <c r="H39" s="455" t="s">
        <v>231</v>
      </c>
      <c r="I39" s="1720"/>
      <c r="J39" s="1333">
        <f t="shared" si="30"/>
        <v>0</v>
      </c>
      <c r="K39" s="1730"/>
      <c r="L39" s="1333">
        <f t="shared" si="31"/>
        <v>0</v>
      </c>
      <c r="M39" s="1730"/>
      <c r="N39" s="462">
        <f t="shared" si="12"/>
        <v>0</v>
      </c>
      <c r="O39" s="396">
        <f t="shared" si="1"/>
        <v>0</v>
      </c>
      <c r="P39" s="459">
        <f t="shared" si="13"/>
        <v>0</v>
      </c>
      <c r="Q39" s="459">
        <f t="shared" si="14"/>
        <v>0</v>
      </c>
      <c r="R39" s="459">
        <f t="shared" si="15"/>
        <v>0</v>
      </c>
      <c r="S39" s="460"/>
      <c r="T39" s="384">
        <v>0</v>
      </c>
      <c r="U39" s="1675"/>
      <c r="V39" s="384">
        <v>0</v>
      </c>
      <c r="W39" s="1676"/>
      <c r="X39" s="22">
        <f t="shared" si="32"/>
        <v>0</v>
      </c>
      <c r="Y39" s="460"/>
      <c r="Z39" s="384">
        <v>0</v>
      </c>
      <c r="AA39" s="1719"/>
      <c r="AB39" s="384">
        <v>0</v>
      </c>
      <c r="AC39" s="1676"/>
      <c r="AD39" s="22">
        <f t="shared" si="33"/>
        <v>0</v>
      </c>
      <c r="AE39" s="460"/>
      <c r="AF39" s="384">
        <v>0</v>
      </c>
      <c r="AG39" s="1719"/>
      <c r="AH39" s="384">
        <v>0</v>
      </c>
      <c r="AI39" s="1721"/>
      <c r="AJ39" s="22">
        <f t="shared" si="34"/>
        <v>0</v>
      </c>
      <c r="AK39" s="460"/>
      <c r="AL39" s="384">
        <v>0</v>
      </c>
      <c r="AM39" s="1719"/>
      <c r="AN39" s="384">
        <v>0</v>
      </c>
      <c r="AO39" s="1721"/>
      <c r="AP39" s="22">
        <f t="shared" si="35"/>
        <v>0</v>
      </c>
      <c r="AQ39" s="460"/>
      <c r="AR39" s="384">
        <v>0</v>
      </c>
      <c r="AS39" s="1719"/>
      <c r="AT39" s="384">
        <v>0</v>
      </c>
      <c r="AU39" s="1721"/>
      <c r="AV39" s="22">
        <f t="shared" si="36"/>
        <v>0</v>
      </c>
      <c r="AW39" s="460"/>
      <c r="AX39" s="384">
        <v>0</v>
      </c>
      <c r="AY39" s="1719"/>
      <c r="AZ39" s="384">
        <v>0</v>
      </c>
      <c r="BA39" s="1721"/>
      <c r="BB39" s="22">
        <f t="shared" si="37"/>
        <v>0</v>
      </c>
      <c r="BC39" s="460"/>
      <c r="BD39" s="384">
        <v>0</v>
      </c>
      <c r="BE39" s="1719"/>
      <c r="BF39" s="384">
        <v>0</v>
      </c>
      <c r="BG39" s="1721"/>
      <c r="BH39" s="22">
        <f t="shared" si="38"/>
        <v>0</v>
      </c>
      <c r="BI39" s="460"/>
      <c r="BJ39" s="384">
        <v>0</v>
      </c>
      <c r="BK39" s="1719"/>
      <c r="BL39" s="384">
        <v>0</v>
      </c>
      <c r="BM39" s="1721"/>
      <c r="BN39" s="22">
        <f t="shared" si="39"/>
        <v>0</v>
      </c>
      <c r="BO39" s="460"/>
      <c r="BP39" s="384">
        <v>0</v>
      </c>
      <c r="BQ39" s="1719"/>
      <c r="BR39" s="384">
        <v>0</v>
      </c>
      <c r="BS39" s="1721"/>
      <c r="BT39" s="22">
        <f t="shared" si="40"/>
        <v>0</v>
      </c>
      <c r="BU39" s="460"/>
      <c r="BV39" s="384">
        <v>0</v>
      </c>
      <c r="BW39" s="1719"/>
      <c r="BX39" s="384">
        <v>0</v>
      </c>
      <c r="BY39" s="1676"/>
      <c r="BZ39" s="1173">
        <f t="shared" si="41"/>
        <v>0</v>
      </c>
      <c r="CC39" s="448"/>
    </row>
    <row r="40" spans="1:81" ht="15" customHeight="1">
      <c r="A40" s="1726" t="s">
        <v>2478</v>
      </c>
      <c r="B40" s="1726" t="s">
        <v>2479</v>
      </c>
      <c r="C40" s="1362">
        <v>21</v>
      </c>
      <c r="D40" s="1328" t="s">
        <v>2467</v>
      </c>
      <c r="E40" s="465"/>
      <c r="F40" s="466"/>
      <c r="G40" s="456" t="s">
        <v>400</v>
      </c>
      <c r="H40" s="466" t="s">
        <v>231</v>
      </c>
      <c r="I40" s="457">
        <v>2</v>
      </c>
      <c r="J40" s="1329">
        <f t="shared" si="30"/>
        <v>1.0604453870625664E-4</v>
      </c>
      <c r="K40" s="461">
        <f>AVERAGE(BW40,BQ40,BK40,BE40,AY40,AS40,AM40,AG40,AA40,U40)</f>
        <v>1.8</v>
      </c>
      <c r="L40" s="1329">
        <f>AVERAGE(BX40,BR40,BL40,BF40,AZ40,AT40,AN40,AH40,AB40,V40)</f>
        <v>1.0123088590241875E-3</v>
      </c>
      <c r="M40" s="461">
        <f>AVERAGE(BY40,BS40,BM40,BG40,BA40,AU40,AO40,AI40,AC40,W40)</f>
        <v>1.8</v>
      </c>
      <c r="N40" s="449">
        <f t="shared" si="12"/>
        <v>0</v>
      </c>
      <c r="O40" s="396">
        <f t="shared" si="1"/>
        <v>0.19999999999999996</v>
      </c>
      <c r="P40" s="459">
        <f t="shared" si="13"/>
        <v>7.9999999999999988E-2</v>
      </c>
      <c r="Q40" s="459">
        <f t="shared" si="14"/>
        <v>8.8888888888888871E-3</v>
      </c>
      <c r="R40" s="459">
        <f t="shared" si="15"/>
        <v>4.4444444444444436E-3</v>
      </c>
      <c r="S40" s="460"/>
      <c r="T40" s="22">
        <v>0</v>
      </c>
      <c r="U40" s="362">
        <f>IF(T40&lt;0.001,2,0)</f>
        <v>2</v>
      </c>
      <c r="V40" s="22">
        <f>IF(V42=0,"",V41/V42)</f>
        <v>0</v>
      </c>
      <c r="W40" s="1239">
        <f>IF(V40&lt;0.001,2,0)</f>
        <v>2</v>
      </c>
      <c r="X40" s="22">
        <f t="shared" si="32"/>
        <v>0</v>
      </c>
      <c r="Y40" s="460"/>
      <c r="Z40" s="22">
        <v>0</v>
      </c>
      <c r="AA40" s="384">
        <f>IF(Z40&lt;0.001,2,0)</f>
        <v>2</v>
      </c>
      <c r="AB40" s="22">
        <f>IF(AB42=0,"",AB41/AB42)</f>
        <v>9.1240875912408752E-3</v>
      </c>
      <c r="AC40" s="1239">
        <f>IF(AB40&lt;0.001,2,0)</f>
        <v>0</v>
      </c>
      <c r="AD40" s="22">
        <f t="shared" si="33"/>
        <v>1</v>
      </c>
      <c r="AE40" s="460"/>
      <c r="AF40" s="22">
        <v>0</v>
      </c>
      <c r="AG40" s="384">
        <f>IF(AF40&lt;0.001,2,0)</f>
        <v>2</v>
      </c>
      <c r="AH40" s="22">
        <f>IF(AH42=0,"",AH41/AH42)</f>
        <v>0</v>
      </c>
      <c r="AI40" s="1203">
        <f>IF(AH40&lt;0.001,2,0)</f>
        <v>2</v>
      </c>
      <c r="AJ40" s="22">
        <f t="shared" si="34"/>
        <v>0</v>
      </c>
      <c r="AK40" s="460"/>
      <c r="AL40" s="22">
        <v>0</v>
      </c>
      <c r="AM40" s="384">
        <f>IF(AL40&lt;0.001,2,0)</f>
        <v>2</v>
      </c>
      <c r="AN40" s="22">
        <f>IF(AN42=0,"",AN41/AN42)</f>
        <v>0</v>
      </c>
      <c r="AO40" s="1203">
        <f>IF(AN40&lt;0.001,2,0)</f>
        <v>2</v>
      </c>
      <c r="AP40" s="22">
        <f t="shared" si="35"/>
        <v>0</v>
      </c>
      <c r="AQ40" s="460"/>
      <c r="AR40" s="22">
        <v>0</v>
      </c>
      <c r="AS40" s="384">
        <f>IF(AR40&lt;0.001,2,0)</f>
        <v>2</v>
      </c>
      <c r="AT40" s="22">
        <f>IF(AT42=0,"",AT41/AT42)</f>
        <v>0</v>
      </c>
      <c r="AU40" s="1203">
        <f>IF(AT40&lt;0.001,2,0)</f>
        <v>2</v>
      </c>
      <c r="AV40" s="22">
        <f t="shared" si="36"/>
        <v>0</v>
      </c>
      <c r="AW40" s="460"/>
      <c r="AX40" s="22">
        <v>1.0604453870625664E-3</v>
      </c>
      <c r="AY40" s="384">
        <f>IF(AX40&lt;0.001,2,0)</f>
        <v>0</v>
      </c>
      <c r="AZ40" s="22">
        <f>IF(AZ42=0,"",AZ41/AZ42)</f>
        <v>9.99000999000999E-4</v>
      </c>
      <c r="BA40" s="1203">
        <f>IF(AZ40&lt;0.001,2,0)</f>
        <v>2</v>
      </c>
      <c r="BB40" s="22">
        <f t="shared" si="37"/>
        <v>-5.7942057942058089E-2</v>
      </c>
      <c r="BC40" s="460"/>
      <c r="BD40" s="22">
        <v>0</v>
      </c>
      <c r="BE40" s="384">
        <f>IF(BD40&lt;0.001,2,0)</f>
        <v>2</v>
      </c>
      <c r="BF40" s="22">
        <f>IF(BF42=0,"",BF41/BF42)</f>
        <v>0</v>
      </c>
      <c r="BG40" s="1203">
        <f>IF(BF40&lt;0.001,2,0)</f>
        <v>2</v>
      </c>
      <c r="BH40" s="22">
        <f t="shared" si="38"/>
        <v>0</v>
      </c>
      <c r="BI40" s="460"/>
      <c r="BJ40" s="22">
        <v>0</v>
      </c>
      <c r="BK40" s="384">
        <f>IF(BJ40&lt;0.001,2,0)</f>
        <v>2</v>
      </c>
      <c r="BL40" s="22">
        <f>IF(BL42=0,"",BL41/BL42)</f>
        <v>0</v>
      </c>
      <c r="BM40" s="1203">
        <f>IF(BL40&lt;0.001,2,0)</f>
        <v>2</v>
      </c>
      <c r="BN40" s="22">
        <f t="shared" si="39"/>
        <v>0</v>
      </c>
      <c r="BO40" s="460"/>
      <c r="BP40" s="22">
        <v>0</v>
      </c>
      <c r="BQ40" s="384">
        <f>IF(BP40&lt;0.001,2,0)</f>
        <v>2</v>
      </c>
      <c r="BR40" s="22">
        <f>IF(BR42=0,"",BR41/BR42)</f>
        <v>0</v>
      </c>
      <c r="BS40" s="1203">
        <f>IF(BR40&lt;0.001,2,0)</f>
        <v>2</v>
      </c>
      <c r="BT40" s="22">
        <f t="shared" si="40"/>
        <v>0</v>
      </c>
      <c r="BU40" s="460"/>
      <c r="BV40" s="22">
        <v>0</v>
      </c>
      <c r="BW40" s="384">
        <f>IF(BV40&lt;0.001,2,0)</f>
        <v>2</v>
      </c>
      <c r="BX40" s="22">
        <f>IF(BX42=0,"",BX41/BX42)</f>
        <v>0</v>
      </c>
      <c r="BY40" s="1239">
        <f>IF(BX40&lt;0.001,2,0)</f>
        <v>2</v>
      </c>
      <c r="BZ40" s="1173">
        <f t="shared" si="41"/>
        <v>0</v>
      </c>
    </row>
    <row r="41" spans="1:81" ht="19.5" customHeight="1">
      <c r="A41" s="1726"/>
      <c r="B41" s="1726"/>
      <c r="C41" s="1371">
        <v>21.1</v>
      </c>
      <c r="D41" s="1424" t="s">
        <v>2477</v>
      </c>
      <c r="E41" s="454" t="s">
        <v>205</v>
      </c>
      <c r="F41" s="455"/>
      <c r="G41" s="456"/>
      <c r="H41" s="455"/>
      <c r="I41" s="475"/>
      <c r="J41" s="458">
        <f t="shared" si="30"/>
        <v>0.1</v>
      </c>
      <c r="K41" s="458"/>
      <c r="L41" s="458">
        <f t="shared" si="31"/>
        <v>4.5999999999999996</v>
      </c>
      <c r="M41" s="458"/>
      <c r="N41" s="462">
        <f t="shared" si="12"/>
        <v>0</v>
      </c>
      <c r="O41" s="396">
        <f t="shared" si="1"/>
        <v>0</v>
      </c>
      <c r="P41" s="459">
        <f>O41*0.4</f>
        <v>0</v>
      </c>
      <c r="Q41" s="459">
        <f t="shared" si="14"/>
        <v>0</v>
      </c>
      <c r="R41" s="459">
        <f t="shared" si="15"/>
        <v>0</v>
      </c>
      <c r="S41" s="460"/>
      <c r="T41" s="384">
        <v>0</v>
      </c>
      <c r="U41" s="462"/>
      <c r="V41" s="384">
        <v>0</v>
      </c>
      <c r="W41" s="1239"/>
      <c r="X41" s="22">
        <f t="shared" si="32"/>
        <v>0</v>
      </c>
      <c r="Y41" s="460"/>
      <c r="Z41" s="384">
        <v>0</v>
      </c>
      <c r="AA41" s="384"/>
      <c r="AB41" s="384">
        <v>45</v>
      </c>
      <c r="AC41" s="1239"/>
      <c r="AD41" s="22">
        <f t="shared" si="33"/>
        <v>1</v>
      </c>
      <c r="AE41" s="460"/>
      <c r="AF41" s="384">
        <v>0</v>
      </c>
      <c r="AG41" s="384"/>
      <c r="AH41" s="384">
        <v>0</v>
      </c>
      <c r="AI41" s="1203"/>
      <c r="AJ41" s="22">
        <f t="shared" si="34"/>
        <v>0</v>
      </c>
      <c r="AK41" s="460"/>
      <c r="AL41" s="384">
        <v>0</v>
      </c>
      <c r="AM41" s="384"/>
      <c r="AN41" s="384">
        <v>0</v>
      </c>
      <c r="AO41" s="1203"/>
      <c r="AP41" s="22">
        <f t="shared" si="35"/>
        <v>0</v>
      </c>
      <c r="AQ41" s="460"/>
      <c r="AR41" s="384">
        <v>0</v>
      </c>
      <c r="AS41" s="384"/>
      <c r="AT41" s="384">
        <v>0</v>
      </c>
      <c r="AU41" s="1203"/>
      <c r="AV41" s="22">
        <f t="shared" si="36"/>
        <v>0</v>
      </c>
      <c r="AW41" s="460"/>
      <c r="AX41" s="384">
        <v>1</v>
      </c>
      <c r="AY41" s="384"/>
      <c r="AZ41" s="384">
        <v>1</v>
      </c>
      <c r="BA41" s="1203"/>
      <c r="BB41" s="22">
        <f t="shared" si="37"/>
        <v>0</v>
      </c>
      <c r="BC41" s="460"/>
      <c r="BD41" s="384">
        <v>0</v>
      </c>
      <c r="BE41" s="384"/>
      <c r="BF41" s="384">
        <v>0</v>
      </c>
      <c r="BG41" s="1203"/>
      <c r="BH41" s="22">
        <f t="shared" si="38"/>
        <v>0</v>
      </c>
      <c r="BI41" s="460"/>
      <c r="BJ41" s="384">
        <v>0</v>
      </c>
      <c r="BK41" s="384"/>
      <c r="BL41" s="384">
        <v>0</v>
      </c>
      <c r="BM41" s="1203"/>
      <c r="BN41" s="22">
        <f t="shared" si="39"/>
        <v>0</v>
      </c>
      <c r="BO41" s="460"/>
      <c r="BP41" s="384">
        <v>0</v>
      </c>
      <c r="BQ41" s="384"/>
      <c r="BR41" s="384">
        <v>0</v>
      </c>
      <c r="BS41" s="1203"/>
      <c r="BT41" s="22">
        <f t="shared" si="40"/>
        <v>0</v>
      </c>
      <c r="BU41" s="460"/>
      <c r="BV41" s="384">
        <v>0</v>
      </c>
      <c r="BW41" s="384"/>
      <c r="BX41" s="384">
        <v>0</v>
      </c>
      <c r="BY41" s="1256"/>
      <c r="BZ41" s="1173">
        <f t="shared" si="41"/>
        <v>0</v>
      </c>
    </row>
    <row r="42" spans="1:81" ht="14.25">
      <c r="A42" s="1726"/>
      <c r="B42" s="1726"/>
      <c r="C42" s="1371">
        <v>21.2</v>
      </c>
      <c r="D42" s="1424" t="s">
        <v>2468</v>
      </c>
      <c r="E42" s="454" t="s">
        <v>205</v>
      </c>
      <c r="F42" s="455"/>
      <c r="G42" s="456"/>
      <c r="H42" s="455"/>
      <c r="I42" s="475"/>
      <c r="J42" s="458">
        <f t="shared" si="30"/>
        <v>1556</v>
      </c>
      <c r="K42" s="458"/>
      <c r="L42" s="458">
        <f t="shared" si="31"/>
        <v>1440.9</v>
      </c>
      <c r="M42" s="458"/>
      <c r="N42" s="462">
        <f t="shared" si="12"/>
        <v>0</v>
      </c>
      <c r="O42" s="396">
        <f t="shared" si="1"/>
        <v>0</v>
      </c>
      <c r="P42" s="459">
        <f t="shared" si="13"/>
        <v>0</v>
      </c>
      <c r="Q42" s="459">
        <f t="shared" si="14"/>
        <v>0</v>
      </c>
      <c r="R42" s="459">
        <f t="shared" si="15"/>
        <v>0</v>
      </c>
      <c r="S42" s="460"/>
      <c r="T42" s="384">
        <v>820</v>
      </c>
      <c r="U42" s="462"/>
      <c r="V42" s="384">
        <v>890</v>
      </c>
      <c r="W42" s="1239"/>
      <c r="X42" s="22">
        <f t="shared" si="32"/>
        <v>8.5365853658536661E-2</v>
      </c>
      <c r="Y42" s="460"/>
      <c r="Z42" s="384">
        <v>6151</v>
      </c>
      <c r="AA42" s="384"/>
      <c r="AB42" s="384">
        <v>4932</v>
      </c>
      <c r="AC42" s="1239"/>
      <c r="AD42" s="22">
        <f t="shared" si="33"/>
        <v>-0.19817915786051044</v>
      </c>
      <c r="AE42" s="460"/>
      <c r="AF42" s="384">
        <v>4430</v>
      </c>
      <c r="AG42" s="384"/>
      <c r="AH42" s="384">
        <v>4429</v>
      </c>
      <c r="AI42" s="1203"/>
      <c r="AJ42" s="22">
        <f t="shared" si="34"/>
        <v>-2.2573363431155347E-4</v>
      </c>
      <c r="AK42" s="460"/>
      <c r="AL42" s="384">
        <v>350</v>
      </c>
      <c r="AM42" s="384"/>
      <c r="AN42" s="384">
        <v>335</v>
      </c>
      <c r="AO42" s="1203"/>
      <c r="AP42" s="22">
        <f t="shared" si="35"/>
        <v>-4.2857142857142816E-2</v>
      </c>
      <c r="AQ42" s="460"/>
      <c r="AR42" s="384">
        <v>1059</v>
      </c>
      <c r="AS42" s="384"/>
      <c r="AT42" s="384">
        <v>1004</v>
      </c>
      <c r="AU42" s="1203"/>
      <c r="AV42" s="22">
        <f t="shared" si="36"/>
        <v>-5.193578847969782E-2</v>
      </c>
      <c r="AW42" s="460"/>
      <c r="AX42" s="476">
        <v>943</v>
      </c>
      <c r="AY42" s="384"/>
      <c r="AZ42" s="476">
        <v>1001</v>
      </c>
      <c r="BA42" s="1203"/>
      <c r="BB42" s="22">
        <f t="shared" si="37"/>
        <v>6.1505832449628928E-2</v>
      </c>
      <c r="BC42" s="460"/>
      <c r="BD42" s="384">
        <v>163</v>
      </c>
      <c r="BE42" s="384"/>
      <c r="BF42" s="384">
        <v>88</v>
      </c>
      <c r="BG42" s="1203"/>
      <c r="BH42" s="22">
        <f t="shared" si="38"/>
        <v>-0.46012269938650308</v>
      </c>
      <c r="BI42" s="460"/>
      <c r="BJ42" s="384">
        <v>363</v>
      </c>
      <c r="BK42" s="384"/>
      <c r="BL42" s="384">
        <v>325</v>
      </c>
      <c r="BM42" s="1203"/>
      <c r="BN42" s="22">
        <f t="shared" si="39"/>
        <v>-0.10468319559228645</v>
      </c>
      <c r="BO42" s="460"/>
      <c r="BP42" s="384">
        <v>66</v>
      </c>
      <c r="BQ42" s="384"/>
      <c r="BR42" s="384">
        <v>80</v>
      </c>
      <c r="BS42" s="1203"/>
      <c r="BT42" s="22">
        <f t="shared" si="40"/>
        <v>0.21212121212121215</v>
      </c>
      <c r="BU42" s="460"/>
      <c r="BV42" s="384">
        <v>1215</v>
      </c>
      <c r="BW42" s="384"/>
      <c r="BX42" s="384">
        <v>1325</v>
      </c>
      <c r="BY42" s="1256"/>
      <c r="BZ42" s="1173">
        <f t="shared" si="41"/>
        <v>9.0534979423868345E-2</v>
      </c>
    </row>
    <row r="43" spans="1:81" ht="19.5" customHeight="1">
      <c r="A43" s="1725" t="s">
        <v>2347</v>
      </c>
      <c r="B43" s="1726" t="s">
        <v>1261</v>
      </c>
      <c r="C43" s="1362">
        <v>22</v>
      </c>
      <c r="D43" s="453" t="s">
        <v>2469</v>
      </c>
      <c r="E43" s="465"/>
      <c r="F43" s="466"/>
      <c r="G43" s="456" t="s">
        <v>400</v>
      </c>
      <c r="H43" s="466" t="s">
        <v>231</v>
      </c>
      <c r="I43" s="457">
        <v>2</v>
      </c>
      <c r="J43" s="1329">
        <f t="shared" si="30"/>
        <v>1</v>
      </c>
      <c r="K43" s="458">
        <f>AVERAGE(BW43,BQ43,BK43,BE43,AY43,AS43,AM43,AG43,AA43,U43)</f>
        <v>2</v>
      </c>
      <c r="L43" s="1329">
        <f t="shared" si="31"/>
        <v>1</v>
      </c>
      <c r="M43" s="458">
        <f>AVERAGE(BY43,BS43,BM43,BG43,BA43,AU43,AO43,AI43,AC43,W43)</f>
        <v>2</v>
      </c>
      <c r="N43" s="462">
        <f t="shared" si="12"/>
        <v>0</v>
      </c>
      <c r="O43" s="396">
        <f t="shared" si="1"/>
        <v>0</v>
      </c>
      <c r="P43" s="459">
        <f t="shared" si="13"/>
        <v>0</v>
      </c>
      <c r="Q43" s="459">
        <f t="shared" si="14"/>
        <v>0</v>
      </c>
      <c r="R43" s="459">
        <f t="shared" si="15"/>
        <v>0</v>
      </c>
      <c r="S43" s="460"/>
      <c r="T43" s="22">
        <v>1</v>
      </c>
      <c r="U43" s="362">
        <f>IF(T43&gt;=1,2,IF(T43&gt;=0.95,1,0))</f>
        <v>2</v>
      </c>
      <c r="V43" s="22">
        <f>V44/V45</f>
        <v>1</v>
      </c>
      <c r="W43" s="1239">
        <f>IF(V43&gt;=1,2,IF(V43&gt;=0.95,1))</f>
        <v>2</v>
      </c>
      <c r="X43" s="22">
        <f t="shared" si="32"/>
        <v>0</v>
      </c>
      <c r="Y43" s="460"/>
      <c r="Z43" s="22">
        <v>1</v>
      </c>
      <c r="AA43" s="384">
        <f>IF(Z43&gt;=1,2,IF(Z43&gt;=0.95,1,0))</f>
        <v>2</v>
      </c>
      <c r="AB43" s="22">
        <f>AB44/AB45</f>
        <v>1</v>
      </c>
      <c r="AC43" s="1239">
        <f>IF(AB43&gt;=1,2,IF(AB43&gt;=0.95,1))</f>
        <v>2</v>
      </c>
      <c r="AD43" s="22">
        <f t="shared" si="33"/>
        <v>0</v>
      </c>
      <c r="AE43" s="460"/>
      <c r="AF43" s="22">
        <v>1</v>
      </c>
      <c r="AG43" s="384">
        <f>IF(AF43&gt;=1,2,IF(AF43&gt;=0.95,1,0))</f>
        <v>2</v>
      </c>
      <c r="AH43" s="22">
        <f>AH44/AH45</f>
        <v>1</v>
      </c>
      <c r="AI43" s="1203">
        <f>IF(AH43&gt;=1,2,IF(AH43&gt;=0.95,1))</f>
        <v>2</v>
      </c>
      <c r="AJ43" s="22">
        <f t="shared" si="34"/>
        <v>0</v>
      </c>
      <c r="AK43" s="460"/>
      <c r="AL43" s="22">
        <v>1</v>
      </c>
      <c r="AM43" s="384">
        <f>IF(AL43&gt;=1,2,IF(AL43&gt;=0.95,1,0))</f>
        <v>2</v>
      </c>
      <c r="AN43" s="22">
        <f>AN44/AN45</f>
        <v>1</v>
      </c>
      <c r="AO43" s="1203">
        <f>IF(AN43&gt;=1,2,IF(AN43&gt;=0.95,1))</f>
        <v>2</v>
      </c>
      <c r="AP43" s="22">
        <f t="shared" si="35"/>
        <v>0</v>
      </c>
      <c r="AQ43" s="460"/>
      <c r="AR43" s="22">
        <v>1</v>
      </c>
      <c r="AS43" s="384">
        <f>IF(AR43&gt;=1,2,IF(AR43&gt;=0.95,1,0))</f>
        <v>2</v>
      </c>
      <c r="AT43" s="22">
        <f>AT44/AT45</f>
        <v>1</v>
      </c>
      <c r="AU43" s="1203">
        <f>IF(AT43&gt;=1,2,IF(AT43&gt;=0.95,1))</f>
        <v>2</v>
      </c>
      <c r="AV43" s="22">
        <f t="shared" si="36"/>
        <v>0</v>
      </c>
      <c r="AW43" s="460"/>
      <c r="AX43" s="22">
        <v>1</v>
      </c>
      <c r="AY43" s="384">
        <f>IF(AX43&gt;=1,2,IF(AX43&gt;=0.95,1,0))</f>
        <v>2</v>
      </c>
      <c r="AZ43" s="22">
        <f>AZ44/AZ45</f>
        <v>1</v>
      </c>
      <c r="BA43" s="1203">
        <f>IF(AZ43&gt;=1,2,IF(AZ43&gt;=0.95,1))</f>
        <v>2</v>
      </c>
      <c r="BB43" s="22">
        <f t="shared" si="37"/>
        <v>0</v>
      </c>
      <c r="BC43" s="460"/>
      <c r="BD43" s="22">
        <v>1</v>
      </c>
      <c r="BE43" s="384">
        <f>IF(BD43&gt;=1,2,IF(BD43&gt;=0.95,1,0))</f>
        <v>2</v>
      </c>
      <c r="BF43" s="22">
        <f>BF44/BF45</f>
        <v>1</v>
      </c>
      <c r="BG43" s="1203">
        <f>IF(BF43&gt;=1,2,IF(BF43&gt;=0.95,1))</f>
        <v>2</v>
      </c>
      <c r="BH43" s="22">
        <f t="shared" si="38"/>
        <v>0</v>
      </c>
      <c r="BI43" s="460"/>
      <c r="BJ43" s="22">
        <v>1</v>
      </c>
      <c r="BK43" s="384">
        <f>IF(BJ43&gt;=1,2,IF(BJ43&gt;=0.95,1,0))</f>
        <v>2</v>
      </c>
      <c r="BL43" s="22">
        <f>BL44/BL45</f>
        <v>1</v>
      </c>
      <c r="BM43" s="1203">
        <f>IF(BL43&gt;=1,2,IF(BL43&gt;=0.95,1))</f>
        <v>2</v>
      </c>
      <c r="BN43" s="22">
        <f t="shared" si="39"/>
        <v>0</v>
      </c>
      <c r="BO43" s="460"/>
      <c r="BP43" s="22">
        <v>1</v>
      </c>
      <c r="BQ43" s="384">
        <f>IF(BP43&gt;=1,2,IF(BP43&gt;=0.95,1,0))</f>
        <v>2</v>
      </c>
      <c r="BR43" s="22">
        <f>BR44/BR45</f>
        <v>1</v>
      </c>
      <c r="BS43" s="1203">
        <f>IF(BR43&gt;=1,2,IF(BR43&gt;=0.95,1))</f>
        <v>2</v>
      </c>
      <c r="BT43" s="22">
        <f t="shared" si="40"/>
        <v>0</v>
      </c>
      <c r="BU43" s="460"/>
      <c r="BV43" s="22">
        <v>1</v>
      </c>
      <c r="BW43" s="384">
        <f>IF(BV43&gt;=1,2,IF(BV43&gt;=0.95,1,0))</f>
        <v>2</v>
      </c>
      <c r="BX43" s="22">
        <f>BX44/BX45</f>
        <v>1</v>
      </c>
      <c r="BY43" s="1239">
        <f>IF(BX43&gt;=1,2,IF(BX43&gt;=0.95,1))</f>
        <v>2</v>
      </c>
      <c r="BZ43" s="1173">
        <f t="shared" si="41"/>
        <v>0</v>
      </c>
    </row>
    <row r="44" spans="1:81" ht="16.5" customHeight="1">
      <c r="A44" s="1683"/>
      <c r="B44" s="1683"/>
      <c r="C44" s="1371">
        <v>22.1</v>
      </c>
      <c r="D44" s="1424" t="s">
        <v>2470</v>
      </c>
      <c r="E44" s="454" t="s">
        <v>205</v>
      </c>
      <c r="F44" s="455"/>
      <c r="G44" s="456"/>
      <c r="H44" s="455"/>
      <c r="I44" s="456"/>
      <c r="J44" s="458">
        <f t="shared" si="30"/>
        <v>1816.9</v>
      </c>
      <c r="K44" s="458"/>
      <c r="L44" s="458">
        <v>2</v>
      </c>
      <c r="M44" s="458"/>
      <c r="N44" s="462">
        <f t="shared" si="12"/>
        <v>0</v>
      </c>
      <c r="O44" s="396">
        <f t="shared" si="1"/>
        <v>0</v>
      </c>
      <c r="P44" s="459">
        <f t="shared" si="13"/>
        <v>0</v>
      </c>
      <c r="Q44" s="459">
        <f t="shared" si="14"/>
        <v>0</v>
      </c>
      <c r="R44" s="459">
        <f t="shared" si="15"/>
        <v>0</v>
      </c>
      <c r="S44" s="460"/>
      <c r="T44" s="384">
        <v>1116</v>
      </c>
      <c r="U44" s="462"/>
      <c r="V44" s="384">
        <v>931</v>
      </c>
      <c r="W44" s="1239"/>
      <c r="X44" s="22">
        <f t="shared" si="32"/>
        <v>-0.16577060931899645</v>
      </c>
      <c r="Y44" s="460"/>
      <c r="Z44" s="384">
        <v>6026</v>
      </c>
      <c r="AA44" s="384"/>
      <c r="AB44" s="384">
        <v>5008</v>
      </c>
      <c r="AC44" s="1239"/>
      <c r="AD44" s="22">
        <f t="shared" si="33"/>
        <v>-0.16893461666113507</v>
      </c>
      <c r="AE44" s="460"/>
      <c r="AF44" s="384">
        <v>4430</v>
      </c>
      <c r="AG44" s="384"/>
      <c r="AH44" s="384">
        <v>4429</v>
      </c>
      <c r="AI44" s="1203"/>
      <c r="AJ44" s="22">
        <f t="shared" si="34"/>
        <v>-2.2573363431155347E-4</v>
      </c>
      <c r="AK44" s="460"/>
      <c r="AL44" s="384">
        <v>614</v>
      </c>
      <c r="AM44" s="384"/>
      <c r="AN44" s="384">
        <v>309</v>
      </c>
      <c r="AO44" s="1203"/>
      <c r="AP44" s="22">
        <f t="shared" si="35"/>
        <v>-0.49674267100977199</v>
      </c>
      <c r="AQ44" s="460"/>
      <c r="AR44" s="384">
        <v>1059</v>
      </c>
      <c r="AS44" s="384"/>
      <c r="AT44" s="384">
        <v>1004</v>
      </c>
      <c r="AU44" s="1203"/>
      <c r="AV44" s="22">
        <f t="shared" si="36"/>
        <v>-5.193578847969782E-2</v>
      </c>
      <c r="AW44" s="460"/>
      <c r="AX44" s="476">
        <v>1070</v>
      </c>
      <c r="AY44" s="384"/>
      <c r="AZ44" s="476">
        <v>1063</v>
      </c>
      <c r="BA44" s="1203"/>
      <c r="BB44" s="22">
        <f t="shared" si="37"/>
        <v>-6.5420560747663226E-3</v>
      </c>
      <c r="BC44" s="460"/>
      <c r="BD44" s="384">
        <v>163</v>
      </c>
      <c r="BE44" s="384"/>
      <c r="BF44" s="384">
        <v>88</v>
      </c>
      <c r="BG44" s="1203"/>
      <c r="BH44" s="22">
        <f t="shared" si="38"/>
        <v>-0.46012269938650308</v>
      </c>
      <c r="BI44" s="460"/>
      <c r="BJ44" s="384">
        <v>2279</v>
      </c>
      <c r="BK44" s="384"/>
      <c r="BL44" s="384">
        <v>305</v>
      </c>
      <c r="BM44" s="1203"/>
      <c r="BN44" s="22">
        <f t="shared" si="39"/>
        <v>-0.86616937253181225</v>
      </c>
      <c r="BO44" s="460"/>
      <c r="BP44" s="384">
        <v>86</v>
      </c>
      <c r="BQ44" s="384"/>
      <c r="BR44" s="384">
        <v>74</v>
      </c>
      <c r="BS44" s="1203"/>
      <c r="BT44" s="22">
        <f t="shared" si="40"/>
        <v>-0.13953488372093026</v>
      </c>
      <c r="BU44" s="460"/>
      <c r="BV44" s="384">
        <v>1326</v>
      </c>
      <c r="BW44" s="384"/>
      <c r="BX44" s="384">
        <v>1404</v>
      </c>
      <c r="BY44" s="1256"/>
      <c r="BZ44" s="1173">
        <f t="shared" si="41"/>
        <v>5.8823529411764719E-2</v>
      </c>
    </row>
    <row r="45" spans="1:81" ht="16.5" customHeight="1">
      <c r="A45" s="1683"/>
      <c r="B45" s="1683"/>
      <c r="C45" s="1371">
        <v>22.2</v>
      </c>
      <c r="D45" s="1424" t="s">
        <v>2471</v>
      </c>
      <c r="E45" s="454" t="s">
        <v>205</v>
      </c>
      <c r="F45" s="455"/>
      <c r="G45" s="456"/>
      <c r="H45" s="455"/>
      <c r="I45" s="456"/>
      <c r="J45" s="458">
        <f t="shared" si="30"/>
        <v>1816.9</v>
      </c>
      <c r="K45" s="458"/>
      <c r="L45" s="458">
        <f t="shared" ref="L45:L51" si="42">AVERAGE(BX45,BR45,BL45,BF45,AZ45,AT45,AN45,AH45,AB45,V45)</f>
        <v>1461.5</v>
      </c>
      <c r="M45" s="458"/>
      <c r="N45" s="462">
        <f t="shared" si="12"/>
        <v>0</v>
      </c>
      <c r="O45" s="396">
        <f t="shared" si="1"/>
        <v>0</v>
      </c>
      <c r="P45" s="459">
        <f t="shared" si="13"/>
        <v>0</v>
      </c>
      <c r="Q45" s="459">
        <f t="shared" si="14"/>
        <v>0</v>
      </c>
      <c r="R45" s="459">
        <f t="shared" si="15"/>
        <v>0</v>
      </c>
      <c r="S45" s="460"/>
      <c r="T45" s="384">
        <v>1116</v>
      </c>
      <c r="U45" s="462"/>
      <c r="V45" s="384">
        <v>931</v>
      </c>
      <c r="W45" s="1239"/>
      <c r="X45" s="22">
        <f t="shared" si="32"/>
        <v>-0.16577060931899645</v>
      </c>
      <c r="Y45" s="460"/>
      <c r="Z45" s="384">
        <v>6026</v>
      </c>
      <c r="AA45" s="384"/>
      <c r="AB45" s="384">
        <v>5008</v>
      </c>
      <c r="AC45" s="1239"/>
      <c r="AD45" s="22">
        <f t="shared" si="33"/>
        <v>-0.16893461666113507</v>
      </c>
      <c r="AE45" s="460"/>
      <c r="AF45" s="384">
        <v>4430</v>
      </c>
      <c r="AG45" s="384"/>
      <c r="AH45" s="384">
        <v>4429</v>
      </c>
      <c r="AI45" s="1203"/>
      <c r="AJ45" s="22">
        <f t="shared" si="34"/>
        <v>-2.2573363431155347E-4</v>
      </c>
      <c r="AK45" s="460"/>
      <c r="AL45" s="384">
        <v>614</v>
      </c>
      <c r="AM45" s="384"/>
      <c r="AN45" s="384">
        <v>309</v>
      </c>
      <c r="AO45" s="1203"/>
      <c r="AP45" s="22">
        <f t="shared" si="35"/>
        <v>-0.49674267100977199</v>
      </c>
      <c r="AQ45" s="460"/>
      <c r="AR45" s="384">
        <v>1059</v>
      </c>
      <c r="AS45" s="384"/>
      <c r="AT45" s="384">
        <v>1004</v>
      </c>
      <c r="AU45" s="1203"/>
      <c r="AV45" s="22">
        <f t="shared" si="36"/>
        <v>-5.193578847969782E-2</v>
      </c>
      <c r="AW45" s="460"/>
      <c r="AX45" s="476">
        <v>1070</v>
      </c>
      <c r="AY45" s="384"/>
      <c r="AZ45" s="476">
        <v>1063</v>
      </c>
      <c r="BA45" s="1203"/>
      <c r="BB45" s="22">
        <f t="shared" si="37"/>
        <v>-6.5420560747663226E-3</v>
      </c>
      <c r="BC45" s="460"/>
      <c r="BD45" s="384">
        <v>163</v>
      </c>
      <c r="BE45" s="384"/>
      <c r="BF45" s="384">
        <v>88</v>
      </c>
      <c r="BG45" s="1203"/>
      <c r="BH45" s="22">
        <f t="shared" si="38"/>
        <v>-0.46012269938650308</v>
      </c>
      <c r="BI45" s="460"/>
      <c r="BJ45" s="384">
        <v>2279</v>
      </c>
      <c r="BK45" s="384"/>
      <c r="BL45" s="384">
        <v>305</v>
      </c>
      <c r="BM45" s="1203"/>
      <c r="BN45" s="22">
        <f t="shared" si="39"/>
        <v>-0.86616937253181225</v>
      </c>
      <c r="BO45" s="460"/>
      <c r="BP45" s="384">
        <v>86</v>
      </c>
      <c r="BQ45" s="384"/>
      <c r="BR45" s="384">
        <v>74</v>
      </c>
      <c r="BS45" s="1203"/>
      <c r="BT45" s="22">
        <f t="shared" si="40"/>
        <v>-0.13953488372093026</v>
      </c>
      <c r="BU45" s="460"/>
      <c r="BV45" s="384">
        <v>1326</v>
      </c>
      <c r="BW45" s="384"/>
      <c r="BX45" s="384">
        <v>1404</v>
      </c>
      <c r="BY45" s="1256"/>
      <c r="BZ45" s="1173">
        <f t="shared" si="41"/>
        <v>5.8823529411764719E-2</v>
      </c>
    </row>
    <row r="46" spans="1:81" ht="20.25" customHeight="1">
      <c r="A46" s="1683" t="s">
        <v>2348</v>
      </c>
      <c r="B46" s="1727" t="s">
        <v>2411</v>
      </c>
      <c r="C46" s="1362">
        <v>23</v>
      </c>
      <c r="D46" s="453" t="s">
        <v>2410</v>
      </c>
      <c r="E46" s="454" t="s">
        <v>205</v>
      </c>
      <c r="F46" s="455"/>
      <c r="G46" s="456" t="s">
        <v>400</v>
      </c>
      <c r="H46" s="455" t="s">
        <v>231</v>
      </c>
      <c r="I46" s="1720">
        <v>6</v>
      </c>
      <c r="J46" s="458">
        <f t="shared" si="30"/>
        <v>0</v>
      </c>
      <c r="K46" s="1733">
        <f>AVERAGE(BW46,BQ46,BK46,BE46,AY46,AS46,AM46,AG46,AA46,U46)</f>
        <v>6</v>
      </c>
      <c r="L46" s="458">
        <f t="shared" si="42"/>
        <v>0</v>
      </c>
      <c r="M46" s="1733">
        <f>AVERAGE(BY46,BS46,BM46,BG46,BA46,AU46,AO46,AI46,AC46,W46)</f>
        <v>6</v>
      </c>
      <c r="N46" s="462">
        <f t="shared" si="12"/>
        <v>0</v>
      </c>
      <c r="O46" s="396">
        <f t="shared" si="1"/>
        <v>0</v>
      </c>
      <c r="P46" s="459">
        <f t="shared" si="13"/>
        <v>0</v>
      </c>
      <c r="Q46" s="459">
        <f t="shared" si="14"/>
        <v>0</v>
      </c>
      <c r="R46" s="459">
        <f t="shared" si="15"/>
        <v>0</v>
      </c>
      <c r="S46" s="460"/>
      <c r="T46" s="384">
        <v>0</v>
      </c>
      <c r="U46" s="1675">
        <f>6-T46*2-T47*0.5</f>
        <v>6</v>
      </c>
      <c r="V46" s="384">
        <v>0</v>
      </c>
      <c r="W46" s="1676">
        <f>6-V46*2-V47*0.5</f>
        <v>6</v>
      </c>
      <c r="X46" s="22">
        <f t="shared" si="32"/>
        <v>0</v>
      </c>
      <c r="Y46" s="460"/>
      <c r="Z46" s="384">
        <v>0</v>
      </c>
      <c r="AA46" s="1719">
        <f>6-Z46*2-Z47*0.5</f>
        <v>6</v>
      </c>
      <c r="AB46" s="384">
        <v>0</v>
      </c>
      <c r="AC46" s="1676">
        <f>6-AB46*2-AB47*0.5</f>
        <v>6</v>
      </c>
      <c r="AD46" s="22">
        <f t="shared" si="33"/>
        <v>0</v>
      </c>
      <c r="AE46" s="460"/>
      <c r="AF46" s="384">
        <v>0</v>
      </c>
      <c r="AG46" s="1719">
        <f>6-AF46*2-AF47*0.5</f>
        <v>6</v>
      </c>
      <c r="AH46" s="384">
        <v>0</v>
      </c>
      <c r="AI46" s="1721">
        <f>6-AH46*2-AH47*0.5</f>
        <v>6</v>
      </c>
      <c r="AJ46" s="22">
        <f t="shared" si="34"/>
        <v>0</v>
      </c>
      <c r="AK46" s="460"/>
      <c r="AL46" s="384">
        <v>0</v>
      </c>
      <c r="AM46" s="1719">
        <f>6-AL46*2-AL47*0.5</f>
        <v>6</v>
      </c>
      <c r="AN46" s="384">
        <v>0</v>
      </c>
      <c r="AO46" s="1721">
        <f>6-AN46*2-AN47*0.5</f>
        <v>6</v>
      </c>
      <c r="AP46" s="22">
        <f t="shared" si="35"/>
        <v>0</v>
      </c>
      <c r="AQ46" s="460"/>
      <c r="AR46" s="384">
        <v>0</v>
      </c>
      <c r="AS46" s="1719">
        <f>6-AR46*2-AR47*0.5</f>
        <v>6</v>
      </c>
      <c r="AT46" s="384">
        <v>0</v>
      </c>
      <c r="AU46" s="1721">
        <f>6-AT46*2-AT47*0.5</f>
        <v>6</v>
      </c>
      <c r="AV46" s="22">
        <f t="shared" si="36"/>
        <v>0</v>
      </c>
      <c r="AW46" s="460"/>
      <c r="AX46" s="384">
        <v>0</v>
      </c>
      <c r="AY46" s="1719">
        <f>6-AX46*2-AX47*0.5</f>
        <v>6</v>
      </c>
      <c r="AZ46" s="384">
        <v>0</v>
      </c>
      <c r="BA46" s="1721">
        <f>6-AZ46*2-AZ47*0.5</f>
        <v>6</v>
      </c>
      <c r="BB46" s="22">
        <f t="shared" si="37"/>
        <v>0</v>
      </c>
      <c r="BC46" s="460"/>
      <c r="BD46" s="384">
        <v>0</v>
      </c>
      <c r="BE46" s="1719">
        <f>6-BD46*2-BD47*0.5</f>
        <v>6</v>
      </c>
      <c r="BF46" s="384">
        <v>0</v>
      </c>
      <c r="BG46" s="1721">
        <f>6-BF46*2-BF47*0.5</f>
        <v>6</v>
      </c>
      <c r="BH46" s="22">
        <f t="shared" si="38"/>
        <v>0</v>
      </c>
      <c r="BI46" s="460"/>
      <c r="BJ46" s="384">
        <v>0</v>
      </c>
      <c r="BK46" s="1719">
        <f>6-BJ46*2-BJ47*0.5</f>
        <v>6</v>
      </c>
      <c r="BL46" s="384">
        <v>0</v>
      </c>
      <c r="BM46" s="1721">
        <f>6-BL46*2-BL47*0.5</f>
        <v>6</v>
      </c>
      <c r="BN46" s="22">
        <f t="shared" si="39"/>
        <v>0</v>
      </c>
      <c r="BO46" s="460"/>
      <c r="BP46" s="384">
        <v>0</v>
      </c>
      <c r="BQ46" s="1719">
        <f>6-BP46*2-BP47*0.5</f>
        <v>6</v>
      </c>
      <c r="BR46" s="384">
        <v>0</v>
      </c>
      <c r="BS46" s="1721">
        <f>6-BR46*2-BR47*0.5</f>
        <v>6</v>
      </c>
      <c r="BT46" s="22">
        <f t="shared" si="40"/>
        <v>0</v>
      </c>
      <c r="BU46" s="460"/>
      <c r="BV46" s="384">
        <v>0</v>
      </c>
      <c r="BW46" s="1719">
        <f>6-BV46*2-BV47*0.5</f>
        <v>6</v>
      </c>
      <c r="BX46" s="384">
        <v>0</v>
      </c>
      <c r="BY46" s="1676">
        <f>6-BX46*2-BX47*0.5</f>
        <v>6</v>
      </c>
      <c r="BZ46" s="1173">
        <f t="shared" si="41"/>
        <v>0</v>
      </c>
    </row>
    <row r="47" spans="1:81" ht="16.5" customHeight="1">
      <c r="A47" s="1683"/>
      <c r="B47" s="1728"/>
      <c r="C47" s="1362">
        <v>24</v>
      </c>
      <c r="D47" s="453" t="s">
        <v>1466</v>
      </c>
      <c r="E47" s="454" t="s">
        <v>205</v>
      </c>
      <c r="F47" s="455"/>
      <c r="G47" s="456" t="s">
        <v>400</v>
      </c>
      <c r="H47" s="455" t="s">
        <v>231</v>
      </c>
      <c r="I47" s="1720"/>
      <c r="J47" s="458">
        <f t="shared" si="30"/>
        <v>0</v>
      </c>
      <c r="K47" s="1734"/>
      <c r="L47" s="458">
        <f t="shared" si="42"/>
        <v>0</v>
      </c>
      <c r="M47" s="1734"/>
      <c r="N47" s="462">
        <f t="shared" si="12"/>
        <v>0</v>
      </c>
      <c r="O47" s="396">
        <f t="shared" si="1"/>
        <v>0</v>
      </c>
      <c r="P47" s="459">
        <f t="shared" si="13"/>
        <v>0</v>
      </c>
      <c r="Q47" s="459">
        <f t="shared" si="14"/>
        <v>0</v>
      </c>
      <c r="R47" s="459">
        <f t="shared" si="15"/>
        <v>0</v>
      </c>
      <c r="S47" s="460"/>
      <c r="T47" s="384">
        <v>0</v>
      </c>
      <c r="U47" s="1675"/>
      <c r="V47" s="384">
        <v>0</v>
      </c>
      <c r="W47" s="1676"/>
      <c r="X47" s="22">
        <f t="shared" si="32"/>
        <v>0</v>
      </c>
      <c r="Y47" s="460"/>
      <c r="Z47" s="384">
        <v>0</v>
      </c>
      <c r="AA47" s="1719"/>
      <c r="AB47" s="384">
        <v>0</v>
      </c>
      <c r="AC47" s="1676"/>
      <c r="AD47" s="22">
        <f t="shared" si="33"/>
        <v>0</v>
      </c>
      <c r="AE47" s="460"/>
      <c r="AF47" s="384">
        <v>0</v>
      </c>
      <c r="AG47" s="1719"/>
      <c r="AH47" s="384">
        <v>0</v>
      </c>
      <c r="AI47" s="1721"/>
      <c r="AJ47" s="22">
        <f t="shared" si="34"/>
        <v>0</v>
      </c>
      <c r="AK47" s="460"/>
      <c r="AL47" s="384">
        <v>0</v>
      </c>
      <c r="AM47" s="1719"/>
      <c r="AN47" s="384">
        <v>0</v>
      </c>
      <c r="AO47" s="1721"/>
      <c r="AP47" s="22">
        <f t="shared" si="35"/>
        <v>0</v>
      </c>
      <c r="AQ47" s="460"/>
      <c r="AR47" s="384">
        <v>0</v>
      </c>
      <c r="AS47" s="1719"/>
      <c r="AT47" s="384">
        <v>0</v>
      </c>
      <c r="AU47" s="1721"/>
      <c r="AV47" s="22">
        <f t="shared" si="36"/>
        <v>0</v>
      </c>
      <c r="AW47" s="460"/>
      <c r="AX47" s="384">
        <v>0</v>
      </c>
      <c r="AY47" s="1719"/>
      <c r="AZ47" s="384">
        <v>0</v>
      </c>
      <c r="BA47" s="1721"/>
      <c r="BB47" s="22">
        <f t="shared" si="37"/>
        <v>0</v>
      </c>
      <c r="BC47" s="460"/>
      <c r="BD47" s="384">
        <v>0</v>
      </c>
      <c r="BE47" s="1719"/>
      <c r="BF47" s="384">
        <v>0</v>
      </c>
      <c r="BG47" s="1721"/>
      <c r="BH47" s="22">
        <f t="shared" si="38"/>
        <v>0</v>
      </c>
      <c r="BI47" s="460"/>
      <c r="BJ47" s="384">
        <v>0</v>
      </c>
      <c r="BK47" s="1719"/>
      <c r="BL47" s="384">
        <v>0</v>
      </c>
      <c r="BM47" s="1721"/>
      <c r="BN47" s="22">
        <f t="shared" si="39"/>
        <v>0</v>
      </c>
      <c r="BO47" s="460"/>
      <c r="BP47" s="384">
        <v>0</v>
      </c>
      <c r="BQ47" s="1719"/>
      <c r="BR47" s="384">
        <v>0</v>
      </c>
      <c r="BS47" s="1721"/>
      <c r="BT47" s="22">
        <f t="shared" si="40"/>
        <v>0</v>
      </c>
      <c r="BU47" s="460"/>
      <c r="BV47" s="384">
        <v>0</v>
      </c>
      <c r="BW47" s="1719"/>
      <c r="BX47" s="384">
        <v>0</v>
      </c>
      <c r="BY47" s="1676"/>
      <c r="BZ47" s="1173">
        <f t="shared" si="41"/>
        <v>0</v>
      </c>
    </row>
    <row r="48" spans="1:81" ht="20.25" customHeight="1">
      <c r="A48" s="394" t="s">
        <v>1264</v>
      </c>
      <c r="B48" s="394" t="s">
        <v>1265</v>
      </c>
      <c r="C48" s="1362">
        <v>25</v>
      </c>
      <c r="D48" s="453" t="s">
        <v>1263</v>
      </c>
      <c r="E48" s="454" t="s">
        <v>205</v>
      </c>
      <c r="F48" s="455"/>
      <c r="G48" s="456" t="s">
        <v>400</v>
      </c>
      <c r="H48" s="455" t="s">
        <v>231</v>
      </c>
      <c r="I48" s="457">
        <v>5</v>
      </c>
      <c r="J48" s="458">
        <f t="shared" si="30"/>
        <v>0</v>
      </c>
      <c r="K48" s="458">
        <f>AVERAGE(BW48,BQ48,BK48,BE48,AY48,AS48,AM48,AG48,AA48,U48)</f>
        <v>5</v>
      </c>
      <c r="L48" s="458">
        <f t="shared" si="42"/>
        <v>0</v>
      </c>
      <c r="M48" s="458">
        <f>AVERAGE(BY48,BS48,BM48,BG48,BA48,AU48,AO48,AI48,AC48,W48)</f>
        <v>5</v>
      </c>
      <c r="N48" s="462">
        <f t="shared" si="12"/>
        <v>0</v>
      </c>
      <c r="O48" s="396">
        <f t="shared" si="1"/>
        <v>0</v>
      </c>
      <c r="P48" s="459">
        <f t="shared" si="13"/>
        <v>0</v>
      </c>
      <c r="Q48" s="459">
        <f t="shared" si="14"/>
        <v>0</v>
      </c>
      <c r="R48" s="459">
        <f t="shared" si="15"/>
        <v>0</v>
      </c>
      <c r="S48" s="460"/>
      <c r="T48" s="384">
        <v>0</v>
      </c>
      <c r="U48" s="362">
        <f>IF(T48=0,5,IF(T48&lt;=3,2,0))</f>
        <v>5</v>
      </c>
      <c r="V48" s="384">
        <v>0</v>
      </c>
      <c r="W48" s="1239">
        <f>IF(V48=0,5,IF(V48&lt;=3,2,0))</f>
        <v>5</v>
      </c>
      <c r="X48" s="22">
        <f t="shared" si="32"/>
        <v>0</v>
      </c>
      <c r="Y48" s="460"/>
      <c r="Z48" s="384">
        <v>0</v>
      </c>
      <c r="AA48" s="384">
        <f>IF(Z48=0,5,IF(Z48&lt;=3,2,0))</f>
        <v>5</v>
      </c>
      <c r="AB48" s="384">
        <v>0</v>
      </c>
      <c r="AC48" s="1239">
        <f>IF(AB48=0,5,IF(AB48&lt;=3,2,0))</f>
        <v>5</v>
      </c>
      <c r="AD48" s="22">
        <f t="shared" si="33"/>
        <v>0</v>
      </c>
      <c r="AE48" s="460"/>
      <c r="AF48" s="384">
        <v>0</v>
      </c>
      <c r="AG48" s="384">
        <f>IF(AF48=0,5,IF(AF48&lt;=3,2,0))</f>
        <v>5</v>
      </c>
      <c r="AH48" s="384">
        <v>0</v>
      </c>
      <c r="AI48" s="1203">
        <f>IF(AH48=0,5,IF(AH48&lt;=3,2,0))</f>
        <v>5</v>
      </c>
      <c r="AJ48" s="22">
        <f t="shared" si="34"/>
        <v>0</v>
      </c>
      <c r="AK48" s="460"/>
      <c r="AL48" s="384">
        <v>0</v>
      </c>
      <c r="AM48" s="384">
        <f>IF(AL48=0,5,IF(AL48&lt;=3,2,0))</f>
        <v>5</v>
      </c>
      <c r="AN48" s="384">
        <v>0</v>
      </c>
      <c r="AO48" s="1203">
        <f>IF(AN48=0,5,IF(AN48&lt;=3,2,0))</f>
        <v>5</v>
      </c>
      <c r="AP48" s="22">
        <f t="shared" si="35"/>
        <v>0</v>
      </c>
      <c r="AQ48" s="460"/>
      <c r="AR48" s="384">
        <v>0</v>
      </c>
      <c r="AS48" s="384">
        <f>IF(AR48=0,5,IF(AR48&lt;=3,2,0))</f>
        <v>5</v>
      </c>
      <c r="AT48" s="384">
        <v>0</v>
      </c>
      <c r="AU48" s="1203">
        <f>IF(AT48=0,5,IF(AT48&lt;=3,2,0))</f>
        <v>5</v>
      </c>
      <c r="AV48" s="22">
        <f t="shared" si="36"/>
        <v>0</v>
      </c>
      <c r="AW48" s="460"/>
      <c r="AX48" s="384">
        <v>0</v>
      </c>
      <c r="AY48" s="384">
        <f>IF(AX48=0,5,IF(AX48&lt;=3,2,0))</f>
        <v>5</v>
      </c>
      <c r="AZ48" s="384">
        <v>0</v>
      </c>
      <c r="BA48" s="1203">
        <f>IF(AZ48=0,5,IF(AZ48&lt;=3,2,0))</f>
        <v>5</v>
      </c>
      <c r="BB48" s="22">
        <f t="shared" si="37"/>
        <v>0</v>
      </c>
      <c r="BC48" s="460"/>
      <c r="BD48" s="384">
        <v>0</v>
      </c>
      <c r="BE48" s="384">
        <f>IF(BD48=0,5,IF(BD48&lt;=3,2,0))</f>
        <v>5</v>
      </c>
      <c r="BF48" s="384">
        <v>0</v>
      </c>
      <c r="BG48" s="1203">
        <f>IF(BF48=0,5,IF(BF48&lt;=3,2,0))</f>
        <v>5</v>
      </c>
      <c r="BH48" s="22">
        <f t="shared" si="38"/>
        <v>0</v>
      </c>
      <c r="BI48" s="460"/>
      <c r="BJ48" s="384">
        <v>0</v>
      </c>
      <c r="BK48" s="384">
        <f>IF(BJ48=0,5,IF(BJ48&lt;=3,2,0))</f>
        <v>5</v>
      </c>
      <c r="BL48" s="384">
        <v>0</v>
      </c>
      <c r="BM48" s="1203">
        <f>IF(BL48=0,5,IF(BL48&lt;=3,2,0))</f>
        <v>5</v>
      </c>
      <c r="BN48" s="22">
        <f t="shared" si="39"/>
        <v>0</v>
      </c>
      <c r="BO48" s="460"/>
      <c r="BP48" s="384">
        <v>0</v>
      </c>
      <c r="BQ48" s="384">
        <f>IF(BP48=0,5,IF(BP48&lt;=3,2,0))</f>
        <v>5</v>
      </c>
      <c r="BR48" s="384">
        <v>0</v>
      </c>
      <c r="BS48" s="1203">
        <f>IF(BR48=0,5,IF(BR48&lt;=3,2,0))</f>
        <v>5</v>
      </c>
      <c r="BT48" s="22">
        <f t="shared" si="40"/>
        <v>0</v>
      </c>
      <c r="BU48" s="460"/>
      <c r="BV48" s="384">
        <v>0</v>
      </c>
      <c r="BW48" s="384">
        <f>IF(BV48=0,5,IF(BV48&lt;=3,2,0))</f>
        <v>5</v>
      </c>
      <c r="BX48" s="384">
        <v>0</v>
      </c>
      <c r="BY48" s="1239">
        <f>IF(BX48=0,5,IF(BX48&lt;=3,2,0))</f>
        <v>5</v>
      </c>
      <c r="BZ48" s="1173">
        <f t="shared" si="41"/>
        <v>0</v>
      </c>
    </row>
    <row r="49" spans="1:82" ht="16.5" customHeight="1">
      <c r="A49" s="394" t="s">
        <v>1154</v>
      </c>
      <c r="B49" s="394" t="s">
        <v>1267</v>
      </c>
      <c r="C49" s="1362">
        <v>26</v>
      </c>
      <c r="D49" s="453" t="s">
        <v>1266</v>
      </c>
      <c r="E49" s="454" t="s">
        <v>205</v>
      </c>
      <c r="F49" s="455"/>
      <c r="G49" s="456" t="s">
        <v>400</v>
      </c>
      <c r="H49" s="455" t="s">
        <v>231</v>
      </c>
      <c r="I49" s="457" t="s">
        <v>462</v>
      </c>
      <c r="J49" s="458">
        <f t="shared" si="30"/>
        <v>0</v>
      </c>
      <c r="K49" s="478"/>
      <c r="L49" s="458">
        <f t="shared" si="42"/>
        <v>0</v>
      </c>
      <c r="M49" s="478"/>
      <c r="N49" s="462">
        <f t="shared" si="12"/>
        <v>0</v>
      </c>
      <c r="O49" s="399"/>
      <c r="P49" s="478"/>
      <c r="Q49" s="478"/>
      <c r="R49" s="478"/>
      <c r="S49" s="460"/>
      <c r="T49" s="384">
        <v>0</v>
      </c>
      <c r="U49" s="362" t="s">
        <v>1156</v>
      </c>
      <c r="V49" s="384">
        <v>0</v>
      </c>
      <c r="W49" s="1239" t="str">
        <f>IF(V49=0,"不扣分",-10*V49)</f>
        <v>不扣分</v>
      </c>
      <c r="X49" s="22">
        <f t="shared" si="32"/>
        <v>0</v>
      </c>
      <c r="Y49" s="460"/>
      <c r="Z49" s="384">
        <v>0</v>
      </c>
      <c r="AA49" s="384" t="s">
        <v>1156</v>
      </c>
      <c r="AB49" s="384">
        <v>0</v>
      </c>
      <c r="AC49" s="1203" t="str">
        <f>IF(AB49=0,"不扣分",-10*AB49)</f>
        <v>不扣分</v>
      </c>
      <c r="AD49" s="22">
        <f t="shared" si="33"/>
        <v>0</v>
      </c>
      <c r="AE49" s="460"/>
      <c r="AF49" s="384">
        <v>0</v>
      </c>
      <c r="AG49" s="384" t="s">
        <v>1074</v>
      </c>
      <c r="AH49" s="384">
        <v>0</v>
      </c>
      <c r="AI49" s="1203" t="str">
        <f>IF(AH49=0,"不扣分",-10*AH49)</f>
        <v>不扣分</v>
      </c>
      <c r="AJ49" s="22">
        <f t="shared" si="34"/>
        <v>0</v>
      </c>
      <c r="AK49" s="460"/>
      <c r="AL49" s="384">
        <v>0</v>
      </c>
      <c r="AM49" s="384" t="s">
        <v>1074</v>
      </c>
      <c r="AN49" s="384">
        <v>0</v>
      </c>
      <c r="AO49" s="1203" t="str">
        <f>IF(AN49=0,"不扣分",-10*AN49)</f>
        <v>不扣分</v>
      </c>
      <c r="AP49" s="22">
        <f t="shared" si="35"/>
        <v>0</v>
      </c>
      <c r="AQ49" s="460"/>
      <c r="AR49" s="384">
        <v>0</v>
      </c>
      <c r="AS49" s="384" t="s">
        <v>1074</v>
      </c>
      <c r="AT49" s="384">
        <v>0</v>
      </c>
      <c r="AU49" s="1203" t="str">
        <f>IF(AT49=0,"不扣分",-10*AT49)</f>
        <v>不扣分</v>
      </c>
      <c r="AV49" s="22">
        <f t="shared" si="36"/>
        <v>0</v>
      </c>
      <c r="AW49" s="460"/>
      <c r="AX49" s="384">
        <v>0</v>
      </c>
      <c r="AY49" s="384" t="s">
        <v>1074</v>
      </c>
      <c r="AZ49" s="384">
        <v>0</v>
      </c>
      <c r="BA49" s="1203" t="str">
        <f>IF(AZ49=0,"不扣分",-10*AZ49)</f>
        <v>不扣分</v>
      </c>
      <c r="BB49" s="22">
        <f t="shared" si="37"/>
        <v>0</v>
      </c>
      <c r="BC49" s="460"/>
      <c r="BD49" s="384">
        <v>0</v>
      </c>
      <c r="BE49" s="384" t="s">
        <v>1074</v>
      </c>
      <c r="BF49" s="384">
        <v>0</v>
      </c>
      <c r="BG49" s="1203" t="str">
        <f>IF(BF49=0,"不扣分",-10*BF49)</f>
        <v>不扣分</v>
      </c>
      <c r="BH49" s="22">
        <f t="shared" si="38"/>
        <v>0</v>
      </c>
      <c r="BI49" s="460"/>
      <c r="BJ49" s="384">
        <v>0</v>
      </c>
      <c r="BK49" s="384" t="s">
        <v>1074</v>
      </c>
      <c r="BL49" s="384">
        <v>0</v>
      </c>
      <c r="BM49" s="1203" t="str">
        <f>IF(BL49=0,"不扣分",-10*BL49)</f>
        <v>不扣分</v>
      </c>
      <c r="BN49" s="22">
        <f t="shared" si="39"/>
        <v>0</v>
      </c>
      <c r="BO49" s="460"/>
      <c r="BP49" s="384">
        <v>0</v>
      </c>
      <c r="BQ49" s="384" t="s">
        <v>1074</v>
      </c>
      <c r="BR49" s="384">
        <v>0</v>
      </c>
      <c r="BS49" s="1203" t="str">
        <f>IF(BR49=0,"不扣分",-10*BR49)</f>
        <v>不扣分</v>
      </c>
      <c r="BT49" s="22">
        <f t="shared" si="40"/>
        <v>0</v>
      </c>
      <c r="BU49" s="460"/>
      <c r="BV49" s="384">
        <v>0</v>
      </c>
      <c r="BW49" s="384" t="s">
        <v>1074</v>
      </c>
      <c r="BX49" s="384">
        <v>0</v>
      </c>
      <c r="BY49" s="1239" t="str">
        <f>IF(BX49=0,"不扣分",-10*BX49)</f>
        <v>不扣分</v>
      </c>
      <c r="BZ49" s="1173">
        <f t="shared" si="41"/>
        <v>0</v>
      </c>
    </row>
    <row r="50" spans="1:82" ht="21.75" customHeight="1">
      <c r="A50" s="1683" t="s">
        <v>1269</v>
      </c>
      <c r="B50" s="1683" t="s">
        <v>1270</v>
      </c>
      <c r="C50" s="1362">
        <v>27</v>
      </c>
      <c r="D50" s="453" t="s">
        <v>1268</v>
      </c>
      <c r="E50" s="454" t="s">
        <v>452</v>
      </c>
      <c r="F50" s="455"/>
      <c r="G50" s="456" t="s">
        <v>1491</v>
      </c>
      <c r="H50" s="455" t="s">
        <v>1521</v>
      </c>
      <c r="I50" s="1720">
        <v>3</v>
      </c>
      <c r="J50" s="458">
        <f t="shared" si="30"/>
        <v>0</v>
      </c>
      <c r="K50" s="1733">
        <f>AVERAGE(BW50,BQ50,BK50,BE50,AY50,AS50,AM50,AG50,AA50,U50)</f>
        <v>3</v>
      </c>
      <c r="L50" s="458">
        <f t="shared" si="42"/>
        <v>0</v>
      </c>
      <c r="M50" s="1733">
        <f>AVERAGE(BY50,BS50,BM50,BG50,BA50,AU50,AO50,AI50,AC50,W50)</f>
        <v>3</v>
      </c>
      <c r="N50" s="462">
        <f t="shared" si="12"/>
        <v>0</v>
      </c>
      <c r="O50" s="396">
        <f>I50-M50</f>
        <v>0</v>
      </c>
      <c r="P50" s="459">
        <f t="shared" si="13"/>
        <v>0</v>
      </c>
      <c r="Q50" s="459">
        <f t="shared" si="14"/>
        <v>0</v>
      </c>
      <c r="R50" s="459">
        <f t="shared" si="15"/>
        <v>0</v>
      </c>
      <c r="S50" s="460"/>
      <c r="T50" s="384">
        <v>0</v>
      </c>
      <c r="U50" s="1675">
        <f>3-T50-T51*0.5</f>
        <v>3</v>
      </c>
      <c r="V50" s="384">
        <v>0</v>
      </c>
      <c r="W50" s="1676">
        <f>3-V50-V51*0.5</f>
        <v>3</v>
      </c>
      <c r="X50" s="22">
        <f t="shared" si="32"/>
        <v>0</v>
      </c>
      <c r="Y50" s="460"/>
      <c r="Z50" s="384">
        <v>0</v>
      </c>
      <c r="AA50" s="1719">
        <f>3-Z50-Z51*0.5</f>
        <v>3</v>
      </c>
      <c r="AB50" s="384">
        <v>0</v>
      </c>
      <c r="AC50" s="1721">
        <f>3-AB50-AB51*0.5</f>
        <v>3</v>
      </c>
      <c r="AD50" s="22">
        <f t="shared" si="33"/>
        <v>0</v>
      </c>
      <c r="AE50" s="460"/>
      <c r="AF50" s="384">
        <v>0</v>
      </c>
      <c r="AG50" s="1719">
        <f>3-AF50-AF51*0.5</f>
        <v>3</v>
      </c>
      <c r="AH50" s="384">
        <v>0</v>
      </c>
      <c r="AI50" s="1721">
        <f>3-AH50-AH51*0.5</f>
        <v>3</v>
      </c>
      <c r="AJ50" s="22">
        <f t="shared" si="34"/>
        <v>0</v>
      </c>
      <c r="AK50" s="460"/>
      <c r="AL50" s="384">
        <v>0</v>
      </c>
      <c r="AM50" s="1719">
        <f>3-AL50-AL51*0.5</f>
        <v>3</v>
      </c>
      <c r="AN50" s="384">
        <v>0</v>
      </c>
      <c r="AO50" s="1721">
        <f>3-AN50-AN51*0.5</f>
        <v>3</v>
      </c>
      <c r="AP50" s="22">
        <f t="shared" si="35"/>
        <v>0</v>
      </c>
      <c r="AQ50" s="460"/>
      <c r="AR50" s="384">
        <v>0</v>
      </c>
      <c r="AS50" s="1719">
        <f>3-AR50-AR51*0.5</f>
        <v>3</v>
      </c>
      <c r="AT50" s="384">
        <v>0</v>
      </c>
      <c r="AU50" s="1721">
        <f>3-AT50-AT51*0.5</f>
        <v>3</v>
      </c>
      <c r="AV50" s="22">
        <f t="shared" si="36"/>
        <v>0</v>
      </c>
      <c r="AW50" s="460"/>
      <c r="AX50" s="384">
        <v>0</v>
      </c>
      <c r="AY50" s="1719">
        <f>3-AX50-AX51*0.5</f>
        <v>3</v>
      </c>
      <c r="AZ50" s="384">
        <v>0</v>
      </c>
      <c r="BA50" s="1721">
        <f>3-AZ50-AZ51*0.5</f>
        <v>3</v>
      </c>
      <c r="BB50" s="22">
        <f t="shared" si="37"/>
        <v>0</v>
      </c>
      <c r="BC50" s="460"/>
      <c r="BD50" s="384">
        <v>0</v>
      </c>
      <c r="BE50" s="1719">
        <f>3-BD50-BD51*0.5</f>
        <v>3</v>
      </c>
      <c r="BF50" s="384">
        <v>0</v>
      </c>
      <c r="BG50" s="1721">
        <f>3-BF50-BF51*0.5</f>
        <v>3</v>
      </c>
      <c r="BH50" s="22">
        <f t="shared" si="38"/>
        <v>0</v>
      </c>
      <c r="BI50" s="460"/>
      <c r="BJ50" s="384">
        <v>0</v>
      </c>
      <c r="BK50" s="1719">
        <f>3-BJ50-BJ51*0.5</f>
        <v>3</v>
      </c>
      <c r="BL50" s="384">
        <v>0</v>
      </c>
      <c r="BM50" s="1721">
        <f>3-BL50-BL51*0.5</f>
        <v>3</v>
      </c>
      <c r="BN50" s="22">
        <f t="shared" si="39"/>
        <v>0</v>
      </c>
      <c r="BO50" s="460"/>
      <c r="BP50" s="384">
        <v>0</v>
      </c>
      <c r="BQ50" s="1719">
        <f>3-BP50-BP51*0.5</f>
        <v>3</v>
      </c>
      <c r="BR50" s="384">
        <v>0</v>
      </c>
      <c r="BS50" s="1721">
        <f>3-BR50-BR51*0.5</f>
        <v>3</v>
      </c>
      <c r="BT50" s="22">
        <f t="shared" si="40"/>
        <v>0</v>
      </c>
      <c r="BU50" s="460"/>
      <c r="BV50" s="384">
        <v>0</v>
      </c>
      <c r="BW50" s="1719">
        <f>3-BV50-BV51*0.5</f>
        <v>3</v>
      </c>
      <c r="BX50" s="384">
        <v>0</v>
      </c>
      <c r="BY50" s="1676">
        <f>3-BX50-BX51*0.5</f>
        <v>3</v>
      </c>
      <c r="BZ50" s="1173">
        <f t="shared" si="41"/>
        <v>0</v>
      </c>
    </row>
    <row r="51" spans="1:82" ht="22.5" customHeight="1">
      <c r="A51" s="1683"/>
      <c r="B51" s="1683"/>
      <c r="C51" s="1362">
        <v>28</v>
      </c>
      <c r="D51" s="453" t="s">
        <v>1271</v>
      </c>
      <c r="E51" s="454" t="s">
        <v>1520</v>
      </c>
      <c r="F51" s="455"/>
      <c r="G51" s="456" t="s">
        <v>1491</v>
      </c>
      <c r="H51" s="455" t="s">
        <v>1521</v>
      </c>
      <c r="I51" s="1720"/>
      <c r="J51" s="458">
        <f t="shared" si="30"/>
        <v>0</v>
      </c>
      <c r="K51" s="1734"/>
      <c r="L51" s="458">
        <f t="shared" si="42"/>
        <v>0</v>
      </c>
      <c r="M51" s="1734"/>
      <c r="N51" s="462">
        <f t="shared" si="12"/>
        <v>0</v>
      </c>
      <c r="O51" s="396">
        <f>I51-M51</f>
        <v>0</v>
      </c>
      <c r="P51" s="459">
        <f t="shared" si="13"/>
        <v>0</v>
      </c>
      <c r="Q51" s="459">
        <f t="shared" si="14"/>
        <v>0</v>
      </c>
      <c r="R51" s="459">
        <f t="shared" si="15"/>
        <v>0</v>
      </c>
      <c r="S51" s="460"/>
      <c r="T51" s="384">
        <v>0</v>
      </c>
      <c r="U51" s="1675"/>
      <c r="V51" s="384">
        <v>0</v>
      </c>
      <c r="W51" s="1676"/>
      <c r="X51" s="22">
        <f t="shared" si="32"/>
        <v>0</v>
      </c>
      <c r="Y51" s="460"/>
      <c r="Z51" s="384">
        <v>0</v>
      </c>
      <c r="AA51" s="1719"/>
      <c r="AB51" s="384">
        <v>0</v>
      </c>
      <c r="AC51" s="1721"/>
      <c r="AD51" s="22">
        <f t="shared" si="33"/>
        <v>0</v>
      </c>
      <c r="AE51" s="460"/>
      <c r="AF51" s="384">
        <v>0</v>
      </c>
      <c r="AG51" s="1719"/>
      <c r="AH51" s="384">
        <v>0</v>
      </c>
      <c r="AI51" s="1721"/>
      <c r="AJ51" s="22">
        <f t="shared" si="34"/>
        <v>0</v>
      </c>
      <c r="AK51" s="460"/>
      <c r="AL51" s="384">
        <v>0</v>
      </c>
      <c r="AM51" s="1719"/>
      <c r="AN51" s="384">
        <v>0</v>
      </c>
      <c r="AO51" s="1721"/>
      <c r="AP51" s="22">
        <f t="shared" si="35"/>
        <v>0</v>
      </c>
      <c r="AQ51" s="460"/>
      <c r="AR51" s="384">
        <v>0</v>
      </c>
      <c r="AS51" s="1719"/>
      <c r="AT51" s="384">
        <v>0</v>
      </c>
      <c r="AU51" s="1721"/>
      <c r="AV51" s="22">
        <f t="shared" si="36"/>
        <v>0</v>
      </c>
      <c r="AW51" s="460"/>
      <c r="AX51" s="384">
        <v>0</v>
      </c>
      <c r="AY51" s="1719"/>
      <c r="AZ51" s="384">
        <v>0</v>
      </c>
      <c r="BA51" s="1721"/>
      <c r="BB51" s="22">
        <f t="shared" si="37"/>
        <v>0</v>
      </c>
      <c r="BC51" s="460"/>
      <c r="BD51" s="384">
        <v>0</v>
      </c>
      <c r="BE51" s="1719"/>
      <c r="BF51" s="384">
        <v>0</v>
      </c>
      <c r="BG51" s="1721"/>
      <c r="BH51" s="22">
        <f t="shared" si="38"/>
        <v>0</v>
      </c>
      <c r="BI51" s="460"/>
      <c r="BJ51" s="384">
        <v>0</v>
      </c>
      <c r="BK51" s="1719"/>
      <c r="BL51" s="384">
        <v>0</v>
      </c>
      <c r="BM51" s="1721"/>
      <c r="BN51" s="22">
        <f t="shared" si="39"/>
        <v>0</v>
      </c>
      <c r="BO51" s="460"/>
      <c r="BP51" s="384">
        <v>0</v>
      </c>
      <c r="BQ51" s="1719"/>
      <c r="BR51" s="22">
        <v>0</v>
      </c>
      <c r="BS51" s="1721"/>
      <c r="BT51" s="22">
        <f t="shared" si="40"/>
        <v>0</v>
      </c>
      <c r="BU51" s="460"/>
      <c r="BV51" s="384">
        <v>0</v>
      </c>
      <c r="BW51" s="1719"/>
      <c r="BX51" s="384">
        <v>0</v>
      </c>
      <c r="BY51" s="1676"/>
      <c r="BZ51" s="1173">
        <f t="shared" si="41"/>
        <v>0</v>
      </c>
      <c r="CD51" s="447" t="s">
        <v>2404</v>
      </c>
    </row>
    <row r="52" spans="1:82" ht="14.25" customHeight="1">
      <c r="A52" s="596" t="s">
        <v>1272</v>
      </c>
      <c r="B52" s="596" t="s">
        <v>1273</v>
      </c>
      <c r="C52" s="1362">
        <v>29</v>
      </c>
      <c r="D52" s="453" t="s">
        <v>1208</v>
      </c>
      <c r="E52" s="454" t="s">
        <v>1520</v>
      </c>
      <c r="F52" s="455"/>
      <c r="G52" s="456" t="s">
        <v>1522</v>
      </c>
      <c r="H52" s="455" t="s">
        <v>1521</v>
      </c>
      <c r="I52" s="457">
        <v>2</v>
      </c>
      <c r="J52" s="1287" t="s">
        <v>1274</v>
      </c>
      <c r="K52" s="458">
        <f>AVERAGE(BW52,BQ52,BK52,BE52,AY52,AS52,AM52,AG52,AA52,U52)</f>
        <v>2</v>
      </c>
      <c r="L52" s="1287" t="s">
        <v>1274</v>
      </c>
      <c r="M52" s="458">
        <f>AVERAGE(BY52,BS52,BM52,BG52,BA52,AU52,AO52,AI52,AC52,W52)</f>
        <v>2</v>
      </c>
      <c r="N52" s="462">
        <f t="shared" si="12"/>
        <v>0</v>
      </c>
      <c r="O52" s="396">
        <f>I52-M52</f>
        <v>0</v>
      </c>
      <c r="P52" s="459">
        <f t="shared" si="13"/>
        <v>0</v>
      </c>
      <c r="Q52" s="459">
        <f t="shared" si="14"/>
        <v>0</v>
      </c>
      <c r="R52" s="459">
        <f t="shared" si="15"/>
        <v>0</v>
      </c>
      <c r="S52" s="460"/>
      <c r="T52" s="342" t="s">
        <v>1274</v>
      </c>
      <c r="U52" s="362">
        <f>IF(LEFT(T52,1)="1",2,0)</f>
        <v>2</v>
      </c>
      <c r="V52" s="342" t="s">
        <v>1274</v>
      </c>
      <c r="W52" s="1239">
        <f>IF(LEFT(V52)="1",2,0)</f>
        <v>2</v>
      </c>
      <c r="X52" s="22">
        <f>IF((V52=T52)=TRUE,0,1)</f>
        <v>0</v>
      </c>
      <c r="Y52" s="460"/>
      <c r="Z52" s="342" t="s">
        <v>1274</v>
      </c>
      <c r="AA52" s="384">
        <f>IF(LEFT(Z52,1)="1",2,0)</f>
        <v>2</v>
      </c>
      <c r="AB52" s="342" t="s">
        <v>1274</v>
      </c>
      <c r="AC52" s="1203">
        <f>IF(LEFT(AB52)="1",2,0)</f>
        <v>2</v>
      </c>
      <c r="AD52" s="22">
        <f>IF((AB52=Z52)=TRUE,0,1)</f>
        <v>0</v>
      </c>
      <c r="AE52" s="460"/>
      <c r="AF52" s="342" t="s">
        <v>1274</v>
      </c>
      <c r="AG52" s="384">
        <f>IF(LEFT(AF52,1)="1",2,0)</f>
        <v>2</v>
      </c>
      <c r="AH52" s="342" t="s">
        <v>1274</v>
      </c>
      <c r="AI52" s="1203">
        <f>IF(LEFT(AH52)="1",2,0)</f>
        <v>2</v>
      </c>
      <c r="AJ52" s="22">
        <f>IF((AH52=AF52)=TRUE,0,1)</f>
        <v>0</v>
      </c>
      <c r="AK52" s="460"/>
      <c r="AL52" s="342" t="s">
        <v>1274</v>
      </c>
      <c r="AM52" s="384">
        <f>IF(LEFT(AL52,1)="1",2,0)</f>
        <v>2</v>
      </c>
      <c r="AN52" s="342" t="s">
        <v>1274</v>
      </c>
      <c r="AO52" s="1203">
        <f>IF(LEFT(AN52)="1",2,0)</f>
        <v>2</v>
      </c>
      <c r="AP52" s="22">
        <f>IF((AN52=AL52)=TRUE,0,1)</f>
        <v>0</v>
      </c>
      <c r="AQ52" s="460"/>
      <c r="AR52" s="342" t="s">
        <v>1274</v>
      </c>
      <c r="AS52" s="384">
        <f>IF(LEFT(AR52,1)="1",2,0)</f>
        <v>2</v>
      </c>
      <c r="AT52" s="342" t="s">
        <v>1274</v>
      </c>
      <c r="AU52" s="1203">
        <f>IF(LEFT(AT52)="1",2,0)</f>
        <v>2</v>
      </c>
      <c r="AV52" s="22">
        <f>IF((AT52=AR52)=TRUE,0,1)</f>
        <v>0</v>
      </c>
      <c r="AW52" s="460"/>
      <c r="AX52" s="342" t="s">
        <v>1274</v>
      </c>
      <c r="AY52" s="384">
        <f>IF(LEFT(AX52,1)="1",2,0)</f>
        <v>2</v>
      </c>
      <c r="AZ52" s="342" t="s">
        <v>1274</v>
      </c>
      <c r="BA52" s="1203">
        <f>IF(LEFT(AZ52)="1",2,0)</f>
        <v>2</v>
      </c>
      <c r="BB52" s="22">
        <f>IF((AZ52=AX52)=TRUE,0,1)</f>
        <v>0</v>
      </c>
      <c r="BC52" s="460"/>
      <c r="BD52" s="342" t="s">
        <v>1274</v>
      </c>
      <c r="BE52" s="384">
        <f>IF(LEFT(BD52,1)="1",2,0)</f>
        <v>2</v>
      </c>
      <c r="BF52" s="342" t="s">
        <v>1274</v>
      </c>
      <c r="BG52" s="1203">
        <f>IF(LEFT(BF52)="1",2,0)</f>
        <v>2</v>
      </c>
      <c r="BH52" s="22">
        <f>IF((BF52=BD52)=TRUE,0,1)</f>
        <v>0</v>
      </c>
      <c r="BI52" s="460"/>
      <c r="BJ52" s="342" t="s">
        <v>1274</v>
      </c>
      <c r="BK52" s="384">
        <f>IF(LEFT(BJ52,1)="1",2,0)</f>
        <v>2</v>
      </c>
      <c r="BL52" s="342" t="s">
        <v>1274</v>
      </c>
      <c r="BM52" s="1203">
        <f>IF(LEFT(BL52)="1",2,0)</f>
        <v>2</v>
      </c>
      <c r="BN52" s="22">
        <f>IF((BL52=BJ52)=TRUE,0,1)</f>
        <v>0</v>
      </c>
      <c r="BO52" s="460"/>
      <c r="BP52" s="342" t="s">
        <v>1274</v>
      </c>
      <c r="BQ52" s="384">
        <f>IF(LEFT(BP52,1)="1",2,0)</f>
        <v>2</v>
      </c>
      <c r="BR52" s="342" t="s">
        <v>1274</v>
      </c>
      <c r="BS52" s="1203">
        <f>IF(LEFT(BR52)="1",2,0)</f>
        <v>2</v>
      </c>
      <c r="BT52" s="22">
        <f>IF((BR52=BP52)=TRUE,0,1)</f>
        <v>0</v>
      </c>
      <c r="BU52" s="460"/>
      <c r="BV52" s="342" t="s">
        <v>1274</v>
      </c>
      <c r="BW52" s="384">
        <f>IF(LEFT(BV52,1)="1",2,0)</f>
        <v>2</v>
      </c>
      <c r="BX52" s="342" t="s">
        <v>1274</v>
      </c>
      <c r="BY52" s="1239">
        <f>IF(LEFT(BX52)="1",2,0)</f>
        <v>2</v>
      </c>
      <c r="BZ52" s="1173">
        <f>IF((BX52=BV52)=TRUE,0,1)</f>
        <v>0</v>
      </c>
    </row>
    <row r="53" spans="1:82" ht="16.5" customHeight="1">
      <c r="A53" s="1683" t="s">
        <v>2034</v>
      </c>
      <c r="B53" s="1683" t="s">
        <v>1523</v>
      </c>
      <c r="C53" s="1362">
        <v>30</v>
      </c>
      <c r="D53" s="1332" t="s">
        <v>140</v>
      </c>
      <c r="E53" s="454" t="s">
        <v>205</v>
      </c>
      <c r="F53" s="455"/>
      <c r="G53" s="456" t="s">
        <v>1524</v>
      </c>
      <c r="H53" s="1700" t="s">
        <v>1493</v>
      </c>
      <c r="I53" s="1720">
        <v>10</v>
      </c>
      <c r="J53" s="458">
        <f>AVERAGE(BV53,BP53,BJ53,BD53,AX53,AR53,AL53,AF53,Z53,T53)</f>
        <v>0</v>
      </c>
      <c r="K53" s="1733">
        <v>0</v>
      </c>
      <c r="L53" s="458">
        <f>AVERAGE(BX53,BR53,BL53,BF53,AZ53,AT53,AN53,AH53,AB53,V53)</f>
        <v>0</v>
      </c>
      <c r="M53" s="1733">
        <v>0</v>
      </c>
      <c r="N53" s="1708">
        <f t="shared" si="12"/>
        <v>0</v>
      </c>
      <c r="O53" s="1722">
        <f>I53-M53</f>
        <v>10</v>
      </c>
      <c r="P53" s="1733">
        <f t="shared" si="13"/>
        <v>4</v>
      </c>
      <c r="Q53" s="1733">
        <f t="shared" si="14"/>
        <v>0.44444444444444442</v>
      </c>
      <c r="R53" s="1733">
        <f t="shared" si="15"/>
        <v>0.22222222222222221</v>
      </c>
      <c r="S53" s="460"/>
      <c r="T53" s="384">
        <v>0</v>
      </c>
      <c r="U53" s="1675">
        <f>IF(T20+T21+T35+T36+T38+T39+T46+T47+T48=0,10,"行业水平得分")</f>
        <v>10</v>
      </c>
      <c r="V53" s="384">
        <v>0</v>
      </c>
      <c r="W53" s="1676">
        <f>IF(V20+V21+V35+V36+V38+V39+V46+V47+V48=0,10,"行业水平得分")</f>
        <v>10</v>
      </c>
      <c r="X53" s="22">
        <f>IF(AND(T53=0,V53&lt;&gt;0),1,IF(AND(T53=0,V53=0),0,V53/T53-1))</f>
        <v>0</v>
      </c>
      <c r="Y53" s="460"/>
      <c r="Z53" s="384">
        <v>0</v>
      </c>
      <c r="AA53" s="1718">
        <f>IF(Z20+Z21+Z35+Z36+Z38+Z39+Z46+Z47+Z48=0,10,"行业水平得分")</f>
        <v>10</v>
      </c>
      <c r="AB53" s="384">
        <v>0</v>
      </c>
      <c r="AC53" s="1676">
        <f>IF(AB20+AB21+AB35+AB36+AB38+AB39+AB46+AB47+AB48=0,10,"行业水平得分")</f>
        <v>10</v>
      </c>
      <c r="AD53" s="22">
        <f>IF(AND(Z53=0,AB53&lt;&gt;0),1,IF(AND(Z53=0,AB53=0),0,AB53/Z53-1))</f>
        <v>0</v>
      </c>
      <c r="AE53" s="460"/>
      <c r="AF53" s="384">
        <v>0</v>
      </c>
      <c r="AG53" s="1675">
        <f>IF(AF20+AF21+AF35+AF36+AF38+AF39+AF46+AF47+AF48=0,10,"行业水平得分")</f>
        <v>10</v>
      </c>
      <c r="AH53" s="384">
        <v>0</v>
      </c>
      <c r="AI53" s="1676">
        <f>IF(AH20+AH21+AH35+AH36+AH38+AH39+AH46+AH47+AH48=0,10,"行业水平得分")</f>
        <v>10</v>
      </c>
      <c r="AJ53" s="22">
        <f>IF(AND(AF53=0,AH53&lt;&gt;0),1,IF(AND(AF53=0,AH53=0),0,AH53/AF53-1))</f>
        <v>0</v>
      </c>
      <c r="AK53" s="460"/>
      <c r="AL53" s="384">
        <v>0</v>
      </c>
      <c r="AM53" s="1718" t="str">
        <f>IF(AL20+AL21+AL35+AL36+AL38+AL39+AL46+AL47+AL48=0,10,"行业水平得分")</f>
        <v>行业水平得分</v>
      </c>
      <c r="AN53" s="384">
        <v>0</v>
      </c>
      <c r="AO53" s="1676">
        <f>IF(AN20+AN21+AN35+AN36+AN38+AN39+AN46+AN47+AN48=0,10,"行业水平得分")</f>
        <v>10</v>
      </c>
      <c r="AP53" s="22">
        <f>IF(AND(AL53=0,AN53&lt;&gt;0),1,IF(AND(AL53=0,AN53=0),0,AN53/AL53-1))</f>
        <v>0</v>
      </c>
      <c r="AQ53" s="460"/>
      <c r="AR53" s="384">
        <v>0</v>
      </c>
      <c r="AS53" s="1675">
        <f>IF(AR20+AR21+AR35+AR36+AR38+AR39+AR46+AR47+AR48=0,10,"行业水平得分")</f>
        <v>10</v>
      </c>
      <c r="AT53" s="384">
        <v>0</v>
      </c>
      <c r="AU53" s="1676">
        <f>IF(AT20+AT21+AT35+AT36+AT38+AT39+AT46+AT47+AT48=0,10,"行业水平得分")</f>
        <v>10</v>
      </c>
      <c r="AV53" s="22">
        <f>IF(AND(AR53=0,AT53&lt;&gt;0),1,IF(AND(AR53=0,AT53=0),0,AT53/AR53-1))</f>
        <v>0</v>
      </c>
      <c r="AW53" s="460"/>
      <c r="AX53" s="384">
        <v>0</v>
      </c>
      <c r="AY53" s="1675">
        <f>IF(AX20+AX21+AX35+AX36+AX38+AX39+AX46+AX47+AX48=0,10,"行业水平得分")</f>
        <v>10</v>
      </c>
      <c r="AZ53" s="384">
        <v>0</v>
      </c>
      <c r="BA53" s="1676">
        <f>IF(AZ20+AZ21+AZ35+AZ36+AZ38+AZ39+AZ46+AZ47+AZ48=0,10,"行业水平得分")</f>
        <v>10</v>
      </c>
      <c r="BB53" s="22">
        <f>IF(AND(AX53=0,AZ53&lt;&gt;0),1,IF(AND(AX53=0,AZ53=0),0,AZ53/AX53-1))</f>
        <v>0</v>
      </c>
      <c r="BC53" s="460"/>
      <c r="BD53" s="384">
        <v>0</v>
      </c>
      <c r="BE53" s="1675">
        <f>IF(BD20+BD21+BD35+BD36+BD38+BD39+BD46+BD47+BD48=0,10,"行业水平得分")</f>
        <v>10</v>
      </c>
      <c r="BF53" s="384">
        <v>0</v>
      </c>
      <c r="BG53" s="1676">
        <f>IF(BF20+BF21+BF35+BF36+BF38+BF39+BF46+BF47+BF48=0,10,"行业水平得分")</f>
        <v>10</v>
      </c>
      <c r="BH53" s="22">
        <f>IF(AND(BD53=0,BF53&lt;&gt;0),1,IF(AND(BD53=0,BF53=0),0,BF53/BD53-1))</f>
        <v>0</v>
      </c>
      <c r="BI53" s="460"/>
      <c r="BJ53" s="384">
        <v>0</v>
      </c>
      <c r="BK53" s="1675">
        <f>IF(BJ20+BJ21+BJ35+BJ36+BJ38+BJ39+BJ46+BJ47+BJ48=0,10,"行业水平得分")</f>
        <v>10</v>
      </c>
      <c r="BL53" s="384">
        <v>0</v>
      </c>
      <c r="BM53" s="1676">
        <f>IF(BL20+BL21+BL35+BL36+BL38+BL39+BL46+BL47+BL48=0,10,"行业水平得分")</f>
        <v>10</v>
      </c>
      <c r="BN53" s="22">
        <f>IF(AND(BJ53=0,BL53&lt;&gt;0),1,IF(AND(BJ53=0,BL53=0),0,BL53/BJ53-1))</f>
        <v>0</v>
      </c>
      <c r="BO53" s="460"/>
      <c r="BP53" s="384">
        <v>0</v>
      </c>
      <c r="BQ53" s="1675">
        <f>IF(BP20+BP21+BP35+BP36+BP38+BP39+BP46+BP47+BP48=0,10,"行业水平得分")</f>
        <v>10</v>
      </c>
      <c r="BR53" s="384">
        <v>0</v>
      </c>
      <c r="BS53" s="1676">
        <f>IF(BR20+BR21+BR35+BR36+BR38+BR39+BR46+BR47+BR48=0,10,"行业水平得分")</f>
        <v>10</v>
      </c>
      <c r="BT53" s="22">
        <f>IF(AND(BP53=0,BR53&lt;&gt;0),1,IF(AND(BP53=0,BR53=0),0,BR53/BP53-1))</f>
        <v>0</v>
      </c>
      <c r="BU53" s="460"/>
      <c r="BV53" s="384">
        <v>0</v>
      </c>
      <c r="BW53" s="1675">
        <f>IF(BV20+BV21+BV35+BV36+BV38+BV39+BV46+BV47+BV48=0,10,"行业水平得分")</f>
        <v>10</v>
      </c>
      <c r="BX53" s="384">
        <v>0</v>
      </c>
      <c r="BY53" s="1676">
        <f>IF(BX20+BX21+BX35+BX36+BX38+BX39+BX46+BX47+BX48=0,10,"行业水平得分")</f>
        <v>10</v>
      </c>
      <c r="BZ53" s="1173">
        <f>IF(AND(BV53=0,BX53&lt;&gt;0),1,IF(AND(BV53=0,BX53=0),0,BX53/BV53-1))</f>
        <v>0</v>
      </c>
    </row>
    <row r="54" spans="1:82" ht="15.6" customHeight="1">
      <c r="A54" s="1683"/>
      <c r="B54" s="1683"/>
      <c r="C54" s="1362">
        <v>31</v>
      </c>
      <c r="D54" s="1332" t="s">
        <v>1163</v>
      </c>
      <c r="E54" s="454" t="s">
        <v>205</v>
      </c>
      <c r="F54" s="467"/>
      <c r="G54" s="1722" t="s">
        <v>399</v>
      </c>
      <c r="H54" s="1736"/>
      <c r="I54" s="1720"/>
      <c r="J54" s="458">
        <f>AVERAGE(BV54,BP54,BJ54,BD54,AX54,AR54,AL54,AF54,Z54,T54)</f>
        <v>359015069.08300006</v>
      </c>
      <c r="K54" s="1735"/>
      <c r="L54" s="458">
        <f>AVERAGE(BX54,BR54,BL54,BF54,AZ54,AT54,AN54,AH54,AB54,V54)</f>
        <v>374235180.671</v>
      </c>
      <c r="M54" s="1735"/>
      <c r="N54" s="1709"/>
      <c r="O54" s="1723"/>
      <c r="P54" s="1735"/>
      <c r="Q54" s="1735"/>
      <c r="R54" s="1735"/>
      <c r="S54" s="460"/>
      <c r="T54" s="384">
        <v>219161691.91999999</v>
      </c>
      <c r="U54" s="1675"/>
      <c r="V54" s="384">
        <v>224257018.72999999</v>
      </c>
      <c r="W54" s="1676"/>
      <c r="X54" s="22">
        <f>IF(AND(T54=0,V54&lt;&gt;0),1,IF(AND(T54=0,V54=0),0,V54/T54-1))</f>
        <v>2.3249167157643358E-2</v>
      </c>
      <c r="Y54" s="460"/>
      <c r="Z54" s="384">
        <v>803965379.51999998</v>
      </c>
      <c r="AA54" s="1718"/>
      <c r="AB54" s="384">
        <v>816692964.88</v>
      </c>
      <c r="AC54" s="1676"/>
      <c r="AD54" s="22">
        <f>IF(AND(Z54=0,AB54&lt;&gt;0),1,IF(AND(Z54=0,AB54=0),0,AB54/Z54-1))</f>
        <v>1.5831011737842404E-2</v>
      </c>
      <c r="AE54" s="460"/>
      <c r="AF54" s="384">
        <v>553478053.49000013</v>
      </c>
      <c r="AG54" s="1675"/>
      <c r="AH54" s="384">
        <v>566654306.72000003</v>
      </c>
      <c r="AI54" s="1676"/>
      <c r="AJ54" s="22">
        <f>IF(AND(AF54=0,AH54&lt;&gt;0),1,IF(AND(AF54=0,AH54=0),0,AH54/AF54-1))</f>
        <v>2.380627948464431E-2</v>
      </c>
      <c r="AK54" s="460"/>
      <c r="AL54" s="384">
        <v>268983251.95999998</v>
      </c>
      <c r="AM54" s="1718"/>
      <c r="AN54" s="384">
        <v>306998636.07999998</v>
      </c>
      <c r="AO54" s="1676"/>
      <c r="AP54" s="22">
        <f>IF(AND(AL54=0,AN54&lt;&gt;0),1,IF(AND(AL54=0,AN54=0),0,AN54/AL54-1))</f>
        <v>0.14132992981158998</v>
      </c>
      <c r="AQ54" s="460"/>
      <c r="AR54" s="384">
        <v>498430654.99000007</v>
      </c>
      <c r="AS54" s="1675"/>
      <c r="AT54" s="384">
        <v>525688483</v>
      </c>
      <c r="AU54" s="1676"/>
      <c r="AV54" s="22">
        <f>IF(AND(AR54=0,AT54&lt;&gt;0),1,IF(AND(AR54=0,AT54=0),0,AT54/AR54-1))</f>
        <v>5.4687302510610714E-2</v>
      </c>
      <c r="AW54" s="460"/>
      <c r="AX54" s="384">
        <v>510216980.48000002</v>
      </c>
      <c r="AY54" s="1675"/>
      <c r="AZ54" s="384">
        <v>541961679.08999991</v>
      </c>
      <c r="BA54" s="1676"/>
      <c r="BB54" s="22">
        <f>IF(AND(AX54=0,AZ54&lt;&gt;0),1,IF(AND(AX54=0,AZ54=0),0,AZ54/AX54-1))</f>
        <v>6.2218036295333068E-2</v>
      </c>
      <c r="BC54" s="460"/>
      <c r="BD54" s="384">
        <v>86955164.340000004</v>
      </c>
      <c r="BE54" s="1675"/>
      <c r="BF54" s="384">
        <v>87224857.019999996</v>
      </c>
      <c r="BG54" s="1676"/>
      <c r="BH54" s="22">
        <f>IF(AND(BD54=0,BF54&lt;&gt;0),1,IF(AND(BD54=0,BF54=0),0,BF54/BD54-1))</f>
        <v>3.101514234916225E-3</v>
      </c>
      <c r="BI54" s="460"/>
      <c r="BJ54" s="384">
        <v>416219170.48000002</v>
      </c>
      <c r="BK54" s="1675"/>
      <c r="BL54" s="384">
        <v>427053943.67000008</v>
      </c>
      <c r="BM54" s="1676"/>
      <c r="BN54" s="22">
        <f>IF(AND(BJ54=0,BL54&lt;&gt;0),1,IF(AND(BJ54=0,BL54=0),0,BL54/BJ54-1))</f>
        <v>2.6031413155489735E-2</v>
      </c>
      <c r="BO54" s="460"/>
      <c r="BP54" s="384">
        <v>97065923.040000007</v>
      </c>
      <c r="BQ54" s="1675"/>
      <c r="BR54" s="384">
        <v>104187336.73999999</v>
      </c>
      <c r="BS54" s="1676"/>
      <c r="BT54" s="22">
        <f>IF(AND(BP54=0,BR54&lt;&gt;0),1,IF(AND(BP54=0,BR54=0),0,BR54/BP54-1))</f>
        <v>7.3366774630735376E-2</v>
      </c>
      <c r="BU54" s="460"/>
      <c r="BV54" s="384">
        <v>135674420.60999998</v>
      </c>
      <c r="BW54" s="1675"/>
      <c r="BX54" s="384">
        <v>141632580.78</v>
      </c>
      <c r="BY54" s="1676"/>
      <c r="BZ54" s="1173">
        <f>IF(AND(BV54=0,BX54&lt;&gt;0),1,IF(AND(BV54=0,BX54=0),0,BX54/BV54-1))</f>
        <v>4.3915132588823846E-2</v>
      </c>
    </row>
    <row r="55" spans="1:82" ht="15.6" customHeight="1">
      <c r="A55" s="1683"/>
      <c r="B55" s="1683"/>
      <c r="C55" s="1362">
        <v>32</v>
      </c>
      <c r="D55" s="1332" t="s">
        <v>1166</v>
      </c>
      <c r="E55" s="454" t="s">
        <v>205</v>
      </c>
      <c r="F55" s="467"/>
      <c r="G55" s="1723"/>
      <c r="H55" s="1736"/>
      <c r="I55" s="1720"/>
      <c r="J55" s="458">
        <f>AVERAGE(BV55,BP55,BJ55,BD55,AX55,AR55,AL55,AF55,Z55,T55)</f>
        <v>15842242.294</v>
      </c>
      <c r="K55" s="1735"/>
      <c r="L55" s="458">
        <f>AVERAGE(BX55,BR55,BL55,BF55,AZ55,AT55,AN55,AH55,AB55,V55)</f>
        <v>12901857.574999999</v>
      </c>
      <c r="M55" s="1735"/>
      <c r="N55" s="1709"/>
      <c r="O55" s="1723"/>
      <c r="P55" s="1735"/>
      <c r="Q55" s="1735"/>
      <c r="R55" s="1735"/>
      <c r="S55" s="460"/>
      <c r="T55" s="384">
        <v>5024700</v>
      </c>
      <c r="U55" s="1675"/>
      <c r="V55" s="384">
        <v>4990300</v>
      </c>
      <c r="W55" s="1676"/>
      <c r="X55" s="22">
        <f>IF(AND(T55=0,V55&lt;&gt;0),1,IF(AND(T55=0,V55=0),0,V55/T55-1))</f>
        <v>-6.8461798714350985E-3</v>
      </c>
      <c r="Y55" s="460"/>
      <c r="Z55" s="384">
        <v>29273930.940000001</v>
      </c>
      <c r="AA55" s="1718"/>
      <c r="AB55" s="384">
        <v>25843931.18</v>
      </c>
      <c r="AC55" s="1676"/>
      <c r="AD55" s="22">
        <f>IF(AND(Z55=0,AB55&lt;&gt;0),1,IF(AND(Z55=0,AB55=0),0,AB55/Z55-1))</f>
        <v>-0.11716908696102846</v>
      </c>
      <c r="AE55" s="460"/>
      <c r="AF55" s="384">
        <v>29287800</v>
      </c>
      <c r="AG55" s="1675"/>
      <c r="AH55" s="384">
        <v>28525800</v>
      </c>
      <c r="AI55" s="1676"/>
      <c r="AJ55" s="22">
        <f>IF(AND(AF55=0,AH55&lt;&gt;0),1,IF(AND(AF55=0,AH55=0),0,AH55/AF55-1))</f>
        <v>-2.6017659230123114E-2</v>
      </c>
      <c r="AK55" s="460"/>
      <c r="AL55" s="384">
        <v>20000</v>
      </c>
      <c r="AM55" s="1718"/>
      <c r="AN55" s="384">
        <v>20000</v>
      </c>
      <c r="AO55" s="1676"/>
      <c r="AP55" s="22">
        <f>IF(AND(AL55=0,AN55&lt;&gt;0),1,IF(AND(AL55=0,AN55=0),0,AN55/AL55-1))</f>
        <v>0</v>
      </c>
      <c r="AQ55" s="460"/>
      <c r="AR55" s="384">
        <v>60377401</v>
      </c>
      <c r="AS55" s="1675"/>
      <c r="AT55" s="384">
        <v>33480092.550000001</v>
      </c>
      <c r="AU55" s="1676"/>
      <c r="AV55" s="22">
        <f>IF(AND(AR55=0,AT55&lt;&gt;0),1,IF(AND(AR55=0,AT55=0),0,AT55/AR55-1))</f>
        <v>-0.44548635755288635</v>
      </c>
      <c r="AW55" s="460"/>
      <c r="AX55" s="384">
        <v>16492600</v>
      </c>
      <c r="AY55" s="1675"/>
      <c r="AZ55" s="384">
        <v>17797000</v>
      </c>
      <c r="BA55" s="1676"/>
      <c r="BB55" s="22">
        <f>IF(AND(AX55=0,AZ55&lt;&gt;0),1,IF(AND(AX55=0,AZ55=0),0,AZ55/AX55-1))</f>
        <v>7.9090016128445573E-2</v>
      </c>
      <c r="BC55" s="460"/>
      <c r="BD55" s="384">
        <v>6113730</v>
      </c>
      <c r="BE55" s="1675"/>
      <c r="BF55" s="384">
        <v>6357330</v>
      </c>
      <c r="BG55" s="1676"/>
      <c r="BH55" s="22">
        <f>IF(AND(BD55=0,BF55&lt;&gt;0),1,IF(AND(BD55=0,BF55=0),0,BF55/BD55-1))</f>
        <v>3.9844742898361485E-2</v>
      </c>
      <c r="BI55" s="460"/>
      <c r="BJ55" s="384">
        <v>2813500</v>
      </c>
      <c r="BK55" s="1675"/>
      <c r="BL55" s="384">
        <v>2968000</v>
      </c>
      <c r="BM55" s="1676"/>
      <c r="BN55" s="22">
        <f>IF(AND(BJ55=0,BL55&lt;&gt;0),1,IF(AND(BJ55=0,BL55=0),0,BL55/BJ55-1))</f>
        <v>5.4913808423671551E-2</v>
      </c>
      <c r="BO55" s="460"/>
      <c r="BP55" s="384">
        <v>321661</v>
      </c>
      <c r="BQ55" s="1675"/>
      <c r="BR55" s="384">
        <v>648222.02</v>
      </c>
      <c r="BS55" s="1676"/>
      <c r="BT55" s="22">
        <f>IF(AND(BP55=0,BR55&lt;&gt;0),1,IF(AND(BP55=0,BR55=0),0,BR55/BP55-1))</f>
        <v>1.0152334911599481</v>
      </c>
      <c r="BU55" s="460"/>
      <c r="BV55" s="384">
        <v>8697100</v>
      </c>
      <c r="BW55" s="1675"/>
      <c r="BX55" s="384">
        <v>8387900</v>
      </c>
      <c r="BY55" s="1676"/>
      <c r="BZ55" s="1173">
        <f>IF(AND(BV55=0,BX55&lt;&gt;0),1,IF(AND(BV55=0,BX55=0),0,BX55/BV55-1))</f>
        <v>-3.5552080578583611E-2</v>
      </c>
    </row>
    <row r="56" spans="1:82" ht="16.5" customHeight="1">
      <c r="A56" s="1683"/>
      <c r="B56" s="1683"/>
      <c r="C56" s="1362">
        <v>33</v>
      </c>
      <c r="D56" s="1332" t="s">
        <v>1167</v>
      </c>
      <c r="E56" s="454" t="s">
        <v>205</v>
      </c>
      <c r="F56" s="467"/>
      <c r="G56" s="1724"/>
      <c r="H56" s="1701"/>
      <c r="I56" s="1720"/>
      <c r="J56" s="458">
        <f>AVERAGE(BV56,BP56,BJ56,BD56,AX56,AR56,AL56,AF56,Z56,T56)</f>
        <v>177428.05</v>
      </c>
      <c r="K56" s="1734"/>
      <c r="L56" s="458">
        <f>AVERAGE(BX56,BR56,BL56,BF56,AZ56,AT56,AN56,AH56,AB56,V56)</f>
        <v>158786.16999999998</v>
      </c>
      <c r="M56" s="1734"/>
      <c r="N56" s="1710"/>
      <c r="O56" s="1724"/>
      <c r="P56" s="1734"/>
      <c r="Q56" s="1734"/>
      <c r="R56" s="1734"/>
      <c r="S56" s="460"/>
      <c r="T56" s="384">
        <v>0</v>
      </c>
      <c r="U56" s="1675"/>
      <c r="V56" s="384">
        <v>0</v>
      </c>
      <c r="W56" s="1676"/>
      <c r="X56" s="22">
        <f>IF(AND(T56=0,V56&lt;&gt;0),1,IF(AND(T56=0,V56=0),0,V56/T56-1))</f>
        <v>0</v>
      </c>
      <c r="Y56" s="460"/>
      <c r="Z56" s="384">
        <v>264700.5</v>
      </c>
      <c r="AA56" s="1718"/>
      <c r="AB56" s="384">
        <v>258851.8</v>
      </c>
      <c r="AC56" s="1676"/>
      <c r="AD56" s="22">
        <f>IF(AND(Z56=0,AB56&lt;&gt;0),1,IF(AND(Z56=0,AB56=0),0,AB56/Z56-1))</f>
        <v>-2.2095538164831563E-2</v>
      </c>
      <c r="AE56" s="460"/>
      <c r="AF56" s="384">
        <v>619131.6</v>
      </c>
      <c r="AG56" s="1675"/>
      <c r="AH56" s="384">
        <v>458840.7</v>
      </c>
      <c r="AI56" s="1676"/>
      <c r="AJ56" s="22">
        <f>IF(AND(AF56=0,AH56&lt;&gt;0),1,IF(AND(AF56=0,AH56=0),0,AH56/AF56-1))</f>
        <v>-0.25889633157151071</v>
      </c>
      <c r="AK56" s="460"/>
      <c r="AL56" s="384">
        <v>11066.1</v>
      </c>
      <c r="AM56" s="1718"/>
      <c r="AN56" s="384">
        <v>11066.1</v>
      </c>
      <c r="AO56" s="1676"/>
      <c r="AP56" s="22">
        <f>IF(AND(AL56=0,AN56&lt;&gt;0),1,IF(AND(AL56=0,AN56=0),0,AN56/AL56-1))</f>
        <v>0</v>
      </c>
      <c r="AQ56" s="460"/>
      <c r="AR56" s="384">
        <v>227487.9</v>
      </c>
      <c r="AS56" s="1675"/>
      <c r="AT56" s="384">
        <v>217232.8</v>
      </c>
      <c r="AU56" s="1676"/>
      <c r="AV56" s="22">
        <f>IF(AND(AR56=0,AT56&lt;&gt;0),1,IF(AND(AR56=0,AT56=0),0,AT56/AR56-1))</f>
        <v>-4.507976028615146E-2</v>
      </c>
      <c r="AW56" s="460"/>
      <c r="AX56" s="384">
        <v>217848.19999999998</v>
      </c>
      <c r="AY56" s="1675"/>
      <c r="AZ56" s="384">
        <v>216091.8</v>
      </c>
      <c r="BA56" s="1676"/>
      <c r="BB56" s="22">
        <f>IF(AND(AX56=0,AZ56&lt;&gt;0),1,IF(AND(AX56=0,AZ56=0),0,AZ56/AX56-1))</f>
        <v>-8.0624948932329632E-3</v>
      </c>
      <c r="BC56" s="460"/>
      <c r="BD56" s="384">
        <v>1025.3</v>
      </c>
      <c r="BE56" s="1675"/>
      <c r="BF56" s="384">
        <v>1025.3</v>
      </c>
      <c r="BG56" s="1676"/>
      <c r="BH56" s="22">
        <f>IF(AND(BD56=0,BF56&lt;&gt;0),1,IF(AND(BD56=0,BF56=0),0,BF56/BD56-1))</f>
        <v>0</v>
      </c>
      <c r="BI56" s="460"/>
      <c r="BJ56" s="384">
        <v>208138.5</v>
      </c>
      <c r="BK56" s="1675"/>
      <c r="BL56" s="384">
        <v>208374.2</v>
      </c>
      <c r="BM56" s="1676"/>
      <c r="BN56" s="22">
        <f>IF(AND(BJ56=0,BL56&lt;&gt;0),1,IF(AND(BJ56=0,BL56=0),0,BL56/BJ56-1))</f>
        <v>1.1324190382846488E-3</v>
      </c>
      <c r="BO56" s="460"/>
      <c r="BP56" s="384">
        <v>222864.40000000002</v>
      </c>
      <c r="BQ56" s="1675"/>
      <c r="BR56" s="384">
        <v>214360.99999999997</v>
      </c>
      <c r="BS56" s="1676"/>
      <c r="BT56" s="22">
        <f>IF(AND(BP56=0,BR56&lt;&gt;0),1,IF(AND(BP56=0,BR56=0),0,BR56/BP56-1))</f>
        <v>-3.8155039566660442E-2</v>
      </c>
      <c r="BU56" s="460"/>
      <c r="BV56" s="384">
        <v>2018</v>
      </c>
      <c r="BW56" s="1675"/>
      <c r="BX56" s="384">
        <v>2018</v>
      </c>
      <c r="BY56" s="1676"/>
      <c r="BZ56" s="1198">
        <f>IF(AND(BV56=0,BX56&lt;&gt;0),1,IF(AND(BV56=0,BX56=0),0,BX56/BV56-1))</f>
        <v>0</v>
      </c>
    </row>
    <row r="57" spans="1:82" s="486" customFormat="1" ht="16.149999999999999" customHeight="1">
      <c r="A57" s="453"/>
      <c r="B57" s="453"/>
      <c r="C57" s="1362"/>
      <c r="D57" s="416" t="s">
        <v>1494</v>
      </c>
      <c r="E57" s="474"/>
      <c r="F57" s="479"/>
      <c r="G57" s="480"/>
      <c r="H57" s="479"/>
      <c r="I57" s="481">
        <v>90</v>
      </c>
      <c r="J57" s="482"/>
      <c r="K57" s="653"/>
      <c r="L57" s="458"/>
      <c r="M57" s="410">
        <f>SUM(M4:M56)</f>
        <v>78.400000000000006</v>
      </c>
      <c r="N57" s="483">
        <f>SUM(N4:N56)</f>
        <v>-0.39999999999999925</v>
      </c>
      <c r="O57" s="484">
        <f>SUM(O4:O56)</f>
        <v>11.6</v>
      </c>
      <c r="P57" s="485">
        <f>O57*0.4</f>
        <v>4.6399999999999997</v>
      </c>
      <c r="Q57" s="485">
        <f t="shared" si="14"/>
        <v>0.51555555555555554</v>
      </c>
      <c r="R57" s="485">
        <f t="shared" si="15"/>
        <v>0.25777777777777777</v>
      </c>
      <c r="S57" s="460"/>
      <c r="T57" s="453"/>
      <c r="U57" s="406">
        <f>SUM(U4:U56)</f>
        <v>88</v>
      </c>
      <c r="V57" s="453"/>
      <c r="W57" s="1240">
        <f>SUM(W4:W56)</f>
        <v>85</v>
      </c>
      <c r="X57" s="1178"/>
      <c r="Y57" s="460"/>
      <c r="Z57" s="453"/>
      <c r="AA57" s="406">
        <f>SUM(AA4:AA56)</f>
        <v>90</v>
      </c>
      <c r="AB57" s="453"/>
      <c r="AC57" s="1240">
        <f>SUM(AC4:AC56)</f>
        <v>86</v>
      </c>
      <c r="AD57" s="1178"/>
      <c r="AE57" s="460"/>
      <c r="AF57" s="453"/>
      <c r="AG57" s="406">
        <f>SUM(AG4:AG56)</f>
        <v>88</v>
      </c>
      <c r="AH57" s="453"/>
      <c r="AI57" s="1240">
        <f>SUM(AI4:AI56)</f>
        <v>88</v>
      </c>
      <c r="AJ57" s="1178"/>
      <c r="AK57" s="460"/>
      <c r="AL57" s="453"/>
      <c r="AM57" s="406">
        <f>SUM(AM4:AM56)</f>
        <v>77</v>
      </c>
      <c r="AN57" s="453"/>
      <c r="AO57" s="1240">
        <f>SUM(AO4:AO56)</f>
        <v>90</v>
      </c>
      <c r="AP57" s="1178"/>
      <c r="AQ57" s="460"/>
      <c r="AR57" s="453"/>
      <c r="AS57" s="406">
        <f>SUM(AS4:AS56)</f>
        <v>89</v>
      </c>
      <c r="AT57" s="453"/>
      <c r="AU57" s="1240">
        <f>SUM(AU4:AU56)</f>
        <v>89</v>
      </c>
      <c r="AV57" s="1178"/>
      <c r="AW57" s="460"/>
      <c r="AX57" s="453"/>
      <c r="AY57" s="406">
        <f>SUM(AY4:AY56)</f>
        <v>88</v>
      </c>
      <c r="AZ57" s="453"/>
      <c r="BA57" s="1240">
        <f>SUM(BA4:BA56)</f>
        <v>90</v>
      </c>
      <c r="BB57" s="1178"/>
      <c r="BC57" s="460"/>
      <c r="BD57" s="453"/>
      <c r="BE57" s="406">
        <f>SUM(BE4:BE56)</f>
        <v>90</v>
      </c>
      <c r="BF57" s="453"/>
      <c r="BG57" s="1240">
        <f>SUM(BG4:BG56)</f>
        <v>90</v>
      </c>
      <c r="BH57" s="1178"/>
      <c r="BI57" s="460"/>
      <c r="BJ57" s="453"/>
      <c r="BK57" s="406">
        <f>SUM(BK4:BK56)</f>
        <v>88</v>
      </c>
      <c r="BL57" s="453"/>
      <c r="BM57" s="406">
        <f>SUM(BM4:BM56)</f>
        <v>86</v>
      </c>
      <c r="BN57" s="1178"/>
      <c r="BO57" s="460"/>
      <c r="BP57" s="453"/>
      <c r="BQ57" s="406">
        <f>SUM(BQ4:BQ56)</f>
        <v>90</v>
      </c>
      <c r="BR57" s="453"/>
      <c r="BS57" s="406">
        <f>SUM(BS4:BS56)</f>
        <v>90</v>
      </c>
      <c r="BT57" s="1178"/>
      <c r="BU57" s="460"/>
      <c r="BV57" s="453"/>
      <c r="BW57" s="406">
        <f>SUM(BW4:BW56)</f>
        <v>90</v>
      </c>
      <c r="BX57" s="453"/>
      <c r="BY57" s="406">
        <f>SUM(BY4:BY56)</f>
        <v>90</v>
      </c>
      <c r="BZ57" s="1178"/>
    </row>
    <row r="58" spans="1:82" s="486" customFormat="1" ht="14.25">
      <c r="A58" s="487"/>
      <c r="B58" s="487"/>
      <c r="C58" s="488"/>
      <c r="D58" s="416" t="s">
        <v>1495</v>
      </c>
      <c r="E58" s="487"/>
      <c r="F58" s="487"/>
      <c r="G58" s="489"/>
      <c r="H58" s="487"/>
      <c r="I58" s="481">
        <v>80</v>
      </c>
      <c r="J58" s="490"/>
      <c r="K58" s="490"/>
      <c r="L58" s="490"/>
      <c r="M58" s="1326">
        <f>M4+M5+M9+M12+M15+M16+M17+M20+M22+M23+M28+M32+M35+M37+M38+M40+M43+M46+M48+M49+M50+M52</f>
        <v>78.400000000000006</v>
      </c>
      <c r="N58" s="490"/>
      <c r="O58" s="484">
        <f>SUM(O4:O52)</f>
        <v>1.5999999999999999</v>
      </c>
      <c r="P58" s="485">
        <f>O58*0.4</f>
        <v>0.64</v>
      </c>
      <c r="Q58" s="485">
        <f t="shared" si="14"/>
        <v>7.1111111111111111E-2</v>
      </c>
      <c r="R58" s="485">
        <f t="shared" si="15"/>
        <v>3.5555555555555556E-2</v>
      </c>
      <c r="S58" s="491" t="s">
        <v>1496</v>
      </c>
      <c r="T58" s="487"/>
      <c r="U58" s="489"/>
      <c r="V58" s="487"/>
      <c r="W58" s="1249"/>
      <c r="X58" s="1194"/>
      <c r="Y58" s="489"/>
      <c r="Z58" s="487"/>
      <c r="AA58" s="489"/>
      <c r="AB58" s="487"/>
      <c r="AC58" s="1249"/>
      <c r="AD58" s="1194"/>
      <c r="AE58" s="489"/>
      <c r="AF58" s="487"/>
      <c r="AG58" s="489"/>
      <c r="AH58" s="487"/>
      <c r="AI58" s="1249"/>
      <c r="AJ58" s="1194"/>
      <c r="AK58" s="489"/>
      <c r="AL58" s="487"/>
      <c r="AM58" s="489"/>
      <c r="AN58" s="487"/>
      <c r="AO58" s="1249"/>
      <c r="AP58" s="1194"/>
      <c r="AQ58" s="489"/>
      <c r="AR58" s="487"/>
      <c r="AS58" s="489"/>
      <c r="AT58" s="487"/>
      <c r="AU58" s="1249"/>
      <c r="AV58" s="1194"/>
      <c r="AW58" s="489"/>
      <c r="AX58" s="487"/>
      <c r="AY58" s="489"/>
      <c r="AZ58" s="487"/>
      <c r="BA58" s="1249"/>
      <c r="BB58" s="1194"/>
      <c r="BC58" s="489"/>
      <c r="BD58" s="487"/>
      <c r="BE58" s="489"/>
      <c r="BF58" s="487"/>
      <c r="BG58" s="1249"/>
      <c r="BH58" s="1194"/>
      <c r="BI58" s="489"/>
      <c r="BJ58" s="487"/>
      <c r="BK58" s="489"/>
      <c r="BL58" s="487"/>
      <c r="BM58" s="489"/>
      <c r="BN58" s="1194"/>
      <c r="BO58" s="489"/>
      <c r="BP58" s="487"/>
      <c r="BQ58" s="489"/>
      <c r="BR58" s="487"/>
      <c r="BS58" s="489"/>
      <c r="BT58" s="1194"/>
      <c r="BU58" s="489"/>
      <c r="BV58" s="487"/>
      <c r="BW58" s="489"/>
      <c r="BX58" s="487"/>
      <c r="BY58" s="489"/>
      <c r="BZ58" s="1194"/>
    </row>
    <row r="59" spans="1:82" s="500" customFormat="1" ht="14.25">
      <c r="A59" s="492"/>
      <c r="B59" s="492"/>
      <c r="C59" s="493"/>
      <c r="D59" s="416" t="s">
        <v>1497</v>
      </c>
      <c r="E59" s="492"/>
      <c r="F59" s="492"/>
      <c r="G59" s="494"/>
      <c r="H59" s="492"/>
      <c r="I59" s="481">
        <v>10</v>
      </c>
      <c r="J59" s="495"/>
      <c r="K59" s="495"/>
      <c r="L59" s="495"/>
      <c r="M59" s="1327">
        <f>M53</f>
        <v>0</v>
      </c>
      <c r="N59" s="496"/>
      <c r="O59" s="484"/>
      <c r="P59" s="485"/>
      <c r="Q59" s="485"/>
      <c r="R59" s="497"/>
      <c r="S59" s="359"/>
      <c r="T59" s="498"/>
      <c r="U59" s="498"/>
      <c r="V59" s="499"/>
      <c r="W59" s="1250"/>
      <c r="X59" s="1195"/>
      <c r="Y59" s="498"/>
      <c r="Z59" s="498"/>
      <c r="AA59" s="498"/>
      <c r="AB59" s="499"/>
      <c r="AC59" s="1250"/>
      <c r="AD59" s="1195"/>
      <c r="AE59" s="498"/>
      <c r="AF59" s="498"/>
      <c r="AG59" s="498"/>
      <c r="AH59" s="499"/>
      <c r="AI59" s="1250"/>
      <c r="AJ59" s="1195"/>
      <c r="AK59" s="498"/>
      <c r="AL59" s="498"/>
      <c r="AM59" s="498"/>
      <c r="AN59" s="499"/>
      <c r="AO59" s="1250"/>
      <c r="AP59" s="1195"/>
      <c r="AQ59" s="498"/>
      <c r="AR59" s="498"/>
      <c r="AS59" s="498"/>
      <c r="AT59" s="499"/>
      <c r="AU59" s="1250"/>
      <c r="AV59" s="1195"/>
      <c r="AW59" s="498"/>
      <c r="AX59" s="498"/>
      <c r="AY59" s="498"/>
      <c r="AZ59" s="499"/>
      <c r="BA59" s="1250"/>
      <c r="BB59" s="1195"/>
      <c r="BC59" s="498"/>
      <c r="BD59" s="498"/>
      <c r="BE59" s="498"/>
      <c r="BF59" s="499"/>
      <c r="BG59" s="1250"/>
      <c r="BH59" s="1195"/>
      <c r="BI59" s="498"/>
      <c r="BJ59" s="498"/>
      <c r="BK59" s="498"/>
      <c r="BL59" s="499"/>
      <c r="BM59" s="498"/>
      <c r="BN59" s="1195"/>
      <c r="BO59" s="498"/>
      <c r="BP59" s="498"/>
      <c r="BQ59" s="498"/>
      <c r="BR59" s="499"/>
      <c r="BS59" s="498"/>
      <c r="BT59" s="1195"/>
      <c r="BU59" s="498"/>
      <c r="BV59" s="498"/>
      <c r="BW59" s="498"/>
      <c r="BX59" s="499"/>
      <c r="BY59" s="498"/>
      <c r="BZ59" s="1195"/>
    </row>
    <row r="60" spans="1:82" s="448" customFormat="1" ht="14.25">
      <c r="A60" s="425"/>
      <c r="B60" s="425"/>
      <c r="C60" s="415"/>
      <c r="D60" s="426" t="s">
        <v>1525</v>
      </c>
      <c r="E60" s="425"/>
      <c r="F60" s="428"/>
      <c r="H60" s="428"/>
      <c r="I60" s="435"/>
      <c r="J60" s="621"/>
      <c r="K60" s="621"/>
      <c r="L60" s="621"/>
      <c r="M60" s="621"/>
      <c r="N60" s="435"/>
      <c r="O60" s="501">
        <f t="shared" ref="O60:O65" si="43">AVERAGE(W60,AC60,AI60,AO60,AU60,BA60,BG60,BM60,BS60,BY60)</f>
        <v>88.4</v>
      </c>
      <c r="P60" s="502"/>
      <c r="Q60" s="502"/>
      <c r="R60" s="502"/>
      <c r="S60" s="435"/>
      <c r="T60" s="399"/>
      <c r="U60" s="503">
        <f>SUBTOTAL(9,U4:U56)</f>
        <v>88</v>
      </c>
      <c r="V60" s="399"/>
      <c r="W60" s="1251">
        <f>SUBTOTAL(9,W4:W56)</f>
        <v>85</v>
      </c>
      <c r="X60" s="1196"/>
      <c r="Y60" s="399"/>
      <c r="Z60" s="399"/>
      <c r="AA60" s="503">
        <f>SUBTOTAL(9,AA4:AA56)</f>
        <v>90</v>
      </c>
      <c r="AB60" s="399"/>
      <c r="AC60" s="1251">
        <f>SUBTOTAL(9,AC4:AC56)</f>
        <v>86</v>
      </c>
      <c r="AD60" s="1196"/>
      <c r="AE60" s="399"/>
      <c r="AF60" s="399"/>
      <c r="AG60" s="503">
        <f>SUBTOTAL(9,AG4:AG56)</f>
        <v>88</v>
      </c>
      <c r="AH60" s="399"/>
      <c r="AI60" s="1251">
        <f>SUBTOTAL(9,AI4:AI56)</f>
        <v>88</v>
      </c>
      <c r="AJ60" s="1196"/>
      <c r="AK60" s="399"/>
      <c r="AL60" s="399"/>
      <c r="AM60" s="503">
        <f>SUBTOTAL(9,AM4:AM56)</f>
        <v>77</v>
      </c>
      <c r="AN60" s="399"/>
      <c r="AO60" s="1251">
        <f>SUBTOTAL(9,AO4:AO56)</f>
        <v>90</v>
      </c>
      <c r="AP60" s="1196"/>
      <c r="AQ60" s="399"/>
      <c r="AR60" s="399"/>
      <c r="AS60" s="503">
        <f>SUBTOTAL(9,AS4:AS56)</f>
        <v>89</v>
      </c>
      <c r="AT60" s="399"/>
      <c r="AU60" s="1251">
        <f>SUBTOTAL(9,AU4:AU56)</f>
        <v>89</v>
      </c>
      <c r="AV60" s="1196"/>
      <c r="AW60" s="399"/>
      <c r="AX60" s="399"/>
      <c r="AY60" s="503">
        <f>SUBTOTAL(9,AY4:AY56)</f>
        <v>88</v>
      </c>
      <c r="AZ60" s="399"/>
      <c r="BA60" s="1251">
        <f>SUBTOTAL(9,BA4:BA56)</f>
        <v>90</v>
      </c>
      <c r="BB60" s="1196"/>
      <c r="BC60" s="399"/>
      <c r="BD60" s="399"/>
      <c r="BE60" s="503">
        <f>SUBTOTAL(9,BE4:BE56)</f>
        <v>90</v>
      </c>
      <c r="BF60" s="399"/>
      <c r="BG60" s="1251">
        <f>SUBTOTAL(9,BG4:BG56)</f>
        <v>90</v>
      </c>
      <c r="BH60" s="1196"/>
      <c r="BI60" s="399"/>
      <c r="BJ60" s="399"/>
      <c r="BK60" s="503">
        <f>SUBTOTAL(9,BK4:BK56)</f>
        <v>88</v>
      </c>
      <c r="BL60" s="399"/>
      <c r="BM60" s="503">
        <f>SUBTOTAL(9,BM4:BM56)</f>
        <v>86</v>
      </c>
      <c r="BN60" s="1196"/>
      <c r="BO60" s="399"/>
      <c r="BP60" s="399"/>
      <c r="BQ60" s="503">
        <f>SUBTOTAL(9,BQ4:BQ56)</f>
        <v>90</v>
      </c>
      <c r="BR60" s="399"/>
      <c r="BS60" s="503">
        <f>SUBTOTAL(9,BS4:BS56)</f>
        <v>90</v>
      </c>
      <c r="BT60" s="1196"/>
      <c r="BU60" s="399"/>
      <c r="BV60" s="399"/>
      <c r="BW60" s="503">
        <f>SUBTOTAL(9,BW4:BW56)</f>
        <v>90</v>
      </c>
      <c r="BX60" s="399"/>
      <c r="BY60" s="503">
        <f>SUBTOTAL(9,BY4:BY56)</f>
        <v>90</v>
      </c>
      <c r="BZ60" s="1196"/>
    </row>
    <row r="61" spans="1:82" s="448" customFormat="1" ht="14.25">
      <c r="A61" s="435"/>
      <c r="B61" s="435"/>
      <c r="C61" s="415"/>
      <c r="D61" s="504" t="s">
        <v>1521</v>
      </c>
      <c r="E61" s="435"/>
      <c r="F61" s="358"/>
      <c r="H61" s="358"/>
      <c r="I61" s="435"/>
      <c r="J61" s="621"/>
      <c r="K61" s="621"/>
      <c r="L61" s="621"/>
      <c r="M61" s="621"/>
      <c r="N61" s="435"/>
      <c r="O61" s="501">
        <f t="shared" si="43"/>
        <v>78.400000000000006</v>
      </c>
      <c r="P61" s="502"/>
      <c r="Q61" s="502"/>
      <c r="R61" s="502"/>
      <c r="S61" s="435"/>
      <c r="T61" s="399"/>
      <c r="U61" s="459">
        <f>U60-U62</f>
        <v>78</v>
      </c>
      <c r="V61" s="399"/>
      <c r="W61" s="1252">
        <f>W60-W62</f>
        <v>75</v>
      </c>
      <c r="X61" s="1196"/>
      <c r="Y61" s="399"/>
      <c r="Z61" s="399"/>
      <c r="AA61" s="459">
        <f>AA60-AA62</f>
        <v>80</v>
      </c>
      <c r="AB61" s="399"/>
      <c r="AC61" s="1252">
        <f>AC60-AC62</f>
        <v>76</v>
      </c>
      <c r="AD61" s="1196"/>
      <c r="AE61" s="399"/>
      <c r="AF61" s="399"/>
      <c r="AG61" s="459">
        <f>AG60-AG62</f>
        <v>78</v>
      </c>
      <c r="AH61" s="399"/>
      <c r="AI61" s="1252">
        <f>AI60-AI62</f>
        <v>78</v>
      </c>
      <c r="AJ61" s="1196"/>
      <c r="AK61" s="399"/>
      <c r="AL61" s="399"/>
      <c r="AM61" s="459">
        <f>AM60-AM62</f>
        <v>77</v>
      </c>
      <c r="AN61" s="399"/>
      <c r="AO61" s="1252">
        <f>AO60-AO62</f>
        <v>80</v>
      </c>
      <c r="AP61" s="1196"/>
      <c r="AQ61" s="399"/>
      <c r="AR61" s="399"/>
      <c r="AS61" s="459">
        <f>AS60-AS62</f>
        <v>79</v>
      </c>
      <c r="AT61" s="399"/>
      <c r="AU61" s="1252">
        <f>AU60-AU62</f>
        <v>79</v>
      </c>
      <c r="AV61" s="1196"/>
      <c r="AW61" s="399"/>
      <c r="AX61" s="399"/>
      <c r="AY61" s="459">
        <f>AY60-AY62</f>
        <v>78</v>
      </c>
      <c r="AZ61" s="399"/>
      <c r="BA61" s="1252">
        <f>BA60-BA62</f>
        <v>80</v>
      </c>
      <c r="BB61" s="1196"/>
      <c r="BC61" s="399"/>
      <c r="BD61" s="399"/>
      <c r="BE61" s="459">
        <f>BE60-BE62</f>
        <v>80</v>
      </c>
      <c r="BF61" s="399"/>
      <c r="BG61" s="1252">
        <f>BG60-BG62</f>
        <v>80</v>
      </c>
      <c r="BH61" s="1196"/>
      <c r="BI61" s="399"/>
      <c r="BJ61" s="399"/>
      <c r="BK61" s="459">
        <f>BK60-BK62</f>
        <v>78</v>
      </c>
      <c r="BL61" s="399"/>
      <c r="BM61" s="459">
        <f>BM60-BM62</f>
        <v>76</v>
      </c>
      <c r="BN61" s="1196"/>
      <c r="BO61" s="399"/>
      <c r="BP61" s="399"/>
      <c r="BQ61" s="459">
        <f>BQ60-BQ62</f>
        <v>80</v>
      </c>
      <c r="BR61" s="399"/>
      <c r="BS61" s="459">
        <f>BS60-BS62</f>
        <v>80</v>
      </c>
      <c r="BT61" s="1196"/>
      <c r="BU61" s="399"/>
      <c r="BV61" s="399"/>
      <c r="BW61" s="459">
        <f>BW60-BW62</f>
        <v>80</v>
      </c>
      <c r="BX61" s="399"/>
      <c r="BY61" s="459">
        <f>BY60-BY62</f>
        <v>80</v>
      </c>
      <c r="BZ61" s="1196"/>
    </row>
    <row r="62" spans="1:82" s="448" customFormat="1" ht="14.25">
      <c r="A62" s="435"/>
      <c r="B62" s="435"/>
      <c r="C62" s="415"/>
      <c r="D62" s="504" t="s">
        <v>1529</v>
      </c>
      <c r="E62" s="435"/>
      <c r="F62" s="358"/>
      <c r="H62" s="358"/>
      <c r="I62" s="435"/>
      <c r="J62" s="621"/>
      <c r="K62" s="621"/>
      <c r="L62" s="621"/>
      <c r="M62" s="621"/>
      <c r="N62" s="435"/>
      <c r="O62" s="505">
        <f t="shared" si="43"/>
        <v>10</v>
      </c>
      <c r="P62" s="485">
        <f>O62*0.4</f>
        <v>4</v>
      </c>
      <c r="Q62" s="485">
        <f>P62/9</f>
        <v>0.44444444444444442</v>
      </c>
      <c r="R62" s="485">
        <f>Q62/2</f>
        <v>0.22222222222222221</v>
      </c>
      <c r="S62" s="435"/>
      <c r="T62" s="399"/>
      <c r="U62" s="459">
        <f>IF(U53=10,10,0)</f>
        <v>10</v>
      </c>
      <c r="V62" s="399"/>
      <c r="W62" s="1252">
        <f>IF(W53=10,10,0)</f>
        <v>10</v>
      </c>
      <c r="X62" s="1196"/>
      <c r="Y62" s="399"/>
      <c r="Z62" s="399"/>
      <c r="AA62" s="459">
        <f>IF(AA53=10,10,0)</f>
        <v>10</v>
      </c>
      <c r="AB62" s="399"/>
      <c r="AC62" s="1252">
        <f>IF(AC53=10,10,0)</f>
        <v>10</v>
      </c>
      <c r="AD62" s="1196"/>
      <c r="AE62" s="399"/>
      <c r="AF62" s="399"/>
      <c r="AG62" s="459">
        <f>IF(AG53=10,10,0)</f>
        <v>10</v>
      </c>
      <c r="AH62" s="399"/>
      <c r="AI62" s="1252">
        <f>IF(AI53=10,10,0)</f>
        <v>10</v>
      </c>
      <c r="AJ62" s="1196"/>
      <c r="AK62" s="399"/>
      <c r="AL62" s="399"/>
      <c r="AM62" s="459">
        <f>IF(AM53=10,10,0)</f>
        <v>0</v>
      </c>
      <c r="AN62" s="399"/>
      <c r="AO62" s="1252">
        <f>IF(AO53=10,10,0)</f>
        <v>10</v>
      </c>
      <c r="AP62" s="1196"/>
      <c r="AQ62" s="399"/>
      <c r="AR62" s="399"/>
      <c r="AS62" s="459">
        <f>IF(AS53=10,10,0)</f>
        <v>10</v>
      </c>
      <c r="AT62" s="399"/>
      <c r="AU62" s="1252">
        <f>IF(AU53=10,10,0)</f>
        <v>10</v>
      </c>
      <c r="AV62" s="1196"/>
      <c r="AW62" s="399"/>
      <c r="AX62" s="399"/>
      <c r="AY62" s="459">
        <f>IF(AY53=10,10,0)</f>
        <v>10</v>
      </c>
      <c r="AZ62" s="399"/>
      <c r="BA62" s="1252">
        <f>IF(BA53=10,10,0)</f>
        <v>10</v>
      </c>
      <c r="BB62" s="1196"/>
      <c r="BC62" s="399"/>
      <c r="BD62" s="399"/>
      <c r="BE62" s="459">
        <f>IF(BE53=10,10,0)</f>
        <v>10</v>
      </c>
      <c r="BF62" s="399"/>
      <c r="BG62" s="1252">
        <f>IF(BG53=10,10,0)</f>
        <v>10</v>
      </c>
      <c r="BH62" s="1196"/>
      <c r="BI62" s="399"/>
      <c r="BJ62" s="399"/>
      <c r="BK62" s="459">
        <f>IF(BK53=10,10,0)</f>
        <v>10</v>
      </c>
      <c r="BL62" s="399"/>
      <c r="BM62" s="459">
        <f>IF(BM53=10,10,0)</f>
        <v>10</v>
      </c>
      <c r="BN62" s="1196"/>
      <c r="BO62" s="399"/>
      <c r="BP62" s="399"/>
      <c r="BQ62" s="459">
        <f>IF(BQ53=10,10,0)</f>
        <v>10</v>
      </c>
      <c r="BR62" s="399"/>
      <c r="BS62" s="459">
        <f>IF(BS53=10,10,0)</f>
        <v>10</v>
      </c>
      <c r="BT62" s="1196"/>
      <c r="BU62" s="399"/>
      <c r="BV62" s="399"/>
      <c r="BW62" s="459">
        <f>IF(BW53=10,10,0)</f>
        <v>10</v>
      </c>
      <c r="BX62" s="399"/>
      <c r="BY62" s="459">
        <f>IF(BY53=10,10,0)</f>
        <v>10</v>
      </c>
      <c r="BZ62" s="1196"/>
    </row>
    <row r="63" spans="1:82" s="448" customFormat="1" ht="14.25">
      <c r="A63" s="435"/>
      <c r="B63" s="435"/>
      <c r="C63" s="415"/>
      <c r="D63" s="504" t="s">
        <v>1526</v>
      </c>
      <c r="E63" s="435"/>
      <c r="F63" s="358"/>
      <c r="H63" s="358"/>
      <c r="I63" s="435"/>
      <c r="J63" s="621"/>
      <c r="K63" s="621"/>
      <c r="L63" s="621"/>
      <c r="M63" s="621"/>
      <c r="N63" s="435"/>
      <c r="O63" s="505">
        <f t="shared" si="43"/>
        <v>0</v>
      </c>
      <c r="P63" s="485">
        <f>O63*0.4</f>
        <v>0</v>
      </c>
      <c r="Q63" s="485">
        <f>P63/9</f>
        <v>0</v>
      </c>
      <c r="R63" s="485">
        <f>Q63/2</f>
        <v>0</v>
      </c>
      <c r="S63" s="435"/>
      <c r="T63" s="399"/>
      <c r="U63" s="472">
        <f>10-U62</f>
        <v>0</v>
      </c>
      <c r="V63" s="399"/>
      <c r="W63" s="1253">
        <f>10-W62</f>
        <v>0</v>
      </c>
      <c r="X63" s="1196"/>
      <c r="Y63" s="399"/>
      <c r="Z63" s="399"/>
      <c r="AA63" s="472">
        <f>10-AA62</f>
        <v>0</v>
      </c>
      <c r="AB63" s="399"/>
      <c r="AC63" s="1253">
        <f>10-AC62</f>
        <v>0</v>
      </c>
      <c r="AD63" s="1196"/>
      <c r="AE63" s="399"/>
      <c r="AF63" s="399"/>
      <c r="AG63" s="472">
        <f>10-AG62</f>
        <v>0</v>
      </c>
      <c r="AH63" s="399"/>
      <c r="AI63" s="1253">
        <f>10-AI62</f>
        <v>0</v>
      </c>
      <c r="AJ63" s="1196"/>
      <c r="AK63" s="399"/>
      <c r="AL63" s="399"/>
      <c r="AM63" s="472">
        <f>10-AM62</f>
        <v>10</v>
      </c>
      <c r="AN63" s="399"/>
      <c r="AO63" s="1253">
        <f>10-AO62</f>
        <v>0</v>
      </c>
      <c r="AP63" s="1196"/>
      <c r="AQ63" s="399"/>
      <c r="AR63" s="399"/>
      <c r="AS63" s="472">
        <f>10-AS62</f>
        <v>0</v>
      </c>
      <c r="AT63" s="399"/>
      <c r="AU63" s="1253">
        <f>10-AU62</f>
        <v>0</v>
      </c>
      <c r="AV63" s="1196"/>
      <c r="AW63" s="399"/>
      <c r="AX63" s="399"/>
      <c r="AY63" s="472">
        <f>10-AY62</f>
        <v>0</v>
      </c>
      <c r="AZ63" s="399"/>
      <c r="BA63" s="1253">
        <f>10-BA62</f>
        <v>0</v>
      </c>
      <c r="BB63" s="1196"/>
      <c r="BC63" s="399"/>
      <c r="BD63" s="399"/>
      <c r="BE63" s="472">
        <f>10-BE62</f>
        <v>0</v>
      </c>
      <c r="BF63" s="399"/>
      <c r="BG63" s="1253">
        <f>10-BG62</f>
        <v>0</v>
      </c>
      <c r="BH63" s="1196"/>
      <c r="BI63" s="399"/>
      <c r="BJ63" s="399"/>
      <c r="BK63" s="472">
        <f>10-BK62</f>
        <v>0</v>
      </c>
      <c r="BL63" s="399"/>
      <c r="BM63" s="472">
        <f>10-BM62</f>
        <v>0</v>
      </c>
      <c r="BN63" s="1196"/>
      <c r="BO63" s="399"/>
      <c r="BP63" s="399"/>
      <c r="BQ63" s="472">
        <f>10-BQ62</f>
        <v>0</v>
      </c>
      <c r="BR63" s="399"/>
      <c r="BS63" s="472">
        <f>10-BS62</f>
        <v>0</v>
      </c>
      <c r="BT63" s="1196"/>
      <c r="BU63" s="399"/>
      <c r="BV63" s="399"/>
      <c r="BW63" s="472">
        <f>10-BW62</f>
        <v>0</v>
      </c>
      <c r="BX63" s="399"/>
      <c r="BY63" s="472">
        <f>10-BY62</f>
        <v>0</v>
      </c>
      <c r="BZ63" s="1196"/>
    </row>
    <row r="64" spans="1:82" s="448" customFormat="1" ht="14.25">
      <c r="A64" s="435"/>
      <c r="B64" s="435"/>
      <c r="C64" s="415"/>
      <c r="D64" s="504" t="s">
        <v>1527</v>
      </c>
      <c r="E64" s="435"/>
      <c r="F64" s="358"/>
      <c r="H64" s="358"/>
      <c r="I64" s="381">
        <v>10</v>
      </c>
      <c r="J64" s="621"/>
      <c r="K64" s="621"/>
      <c r="L64" s="621"/>
      <c r="M64" s="621"/>
      <c r="N64" s="435"/>
      <c r="O64" s="505">
        <f t="shared" si="43"/>
        <v>10</v>
      </c>
      <c r="P64" s="485">
        <f>O64*0.4</f>
        <v>4</v>
      </c>
      <c r="Q64" s="485">
        <f>P64*0.4</f>
        <v>1.6</v>
      </c>
      <c r="R64" s="485">
        <f>Q64*0.4</f>
        <v>0.64000000000000012</v>
      </c>
      <c r="S64" s="435"/>
      <c r="T64" s="399"/>
      <c r="U64" s="472">
        <v>10</v>
      </c>
      <c r="V64" s="399"/>
      <c r="W64" s="1253">
        <v>10</v>
      </c>
      <c r="X64" s="1196"/>
      <c r="Y64" s="399"/>
      <c r="Z64" s="399"/>
      <c r="AA64" s="472">
        <v>10</v>
      </c>
      <c r="AB64" s="399"/>
      <c r="AC64" s="1253">
        <v>10</v>
      </c>
      <c r="AD64" s="1196"/>
      <c r="AE64" s="399"/>
      <c r="AF64" s="399"/>
      <c r="AG64" s="472">
        <v>10</v>
      </c>
      <c r="AH64" s="399"/>
      <c r="AI64" s="1253">
        <v>10</v>
      </c>
      <c r="AJ64" s="1196"/>
      <c r="AK64" s="399"/>
      <c r="AL64" s="399"/>
      <c r="AM64" s="472">
        <v>10</v>
      </c>
      <c r="AN64" s="399"/>
      <c r="AO64" s="1253">
        <v>10</v>
      </c>
      <c r="AP64" s="1196"/>
      <c r="AQ64" s="399"/>
      <c r="AR64" s="399"/>
      <c r="AS64" s="472">
        <v>10</v>
      </c>
      <c r="AT64" s="399"/>
      <c r="AU64" s="1253">
        <v>10</v>
      </c>
      <c r="AV64" s="1196"/>
      <c r="AW64" s="399"/>
      <c r="AX64" s="399"/>
      <c r="AY64" s="472">
        <v>10</v>
      </c>
      <c r="AZ64" s="399"/>
      <c r="BA64" s="1253">
        <v>10</v>
      </c>
      <c r="BB64" s="1196"/>
      <c r="BC64" s="399"/>
      <c r="BD64" s="399"/>
      <c r="BE64" s="472">
        <v>10</v>
      </c>
      <c r="BF64" s="399"/>
      <c r="BG64" s="1253">
        <v>10</v>
      </c>
      <c r="BH64" s="1196"/>
      <c r="BI64" s="399"/>
      <c r="BJ64" s="399"/>
      <c r="BK64" s="472">
        <v>10</v>
      </c>
      <c r="BL64" s="399"/>
      <c r="BM64" s="472">
        <v>10</v>
      </c>
      <c r="BN64" s="1196"/>
      <c r="BO64" s="399"/>
      <c r="BP64" s="399"/>
      <c r="BQ64" s="472">
        <v>10</v>
      </c>
      <c r="BR64" s="399"/>
      <c r="BS64" s="472">
        <v>10</v>
      </c>
      <c r="BT64" s="1196"/>
      <c r="BU64" s="399"/>
      <c r="BV64" s="399"/>
      <c r="BW64" s="472">
        <v>10</v>
      </c>
      <c r="BX64" s="399"/>
      <c r="BY64" s="472">
        <v>10</v>
      </c>
      <c r="BZ64" s="1196"/>
    </row>
    <row r="65" spans="1:80" s="448" customFormat="1" ht="14.25">
      <c r="A65" s="435"/>
      <c r="B65" s="435"/>
      <c r="C65" s="415"/>
      <c r="D65" s="504" t="s">
        <v>1528</v>
      </c>
      <c r="E65" s="435"/>
      <c r="F65" s="358"/>
      <c r="H65" s="358"/>
      <c r="I65" s="435"/>
      <c r="J65" s="621"/>
      <c r="K65" s="621"/>
      <c r="L65" s="621"/>
      <c r="M65" s="621"/>
      <c r="N65" s="435"/>
      <c r="O65" s="505">
        <f t="shared" si="43"/>
        <v>1.6</v>
      </c>
      <c r="P65" s="502"/>
      <c r="Q65" s="502"/>
      <c r="R65" s="502"/>
      <c r="S65" s="435"/>
      <c r="T65" s="399"/>
      <c r="U65" s="459">
        <f>100-SUM(U61:U64)</f>
        <v>2</v>
      </c>
      <c r="V65" s="399"/>
      <c r="W65" s="1252">
        <f>100-SUM(W61:W64)</f>
        <v>5</v>
      </c>
      <c r="X65" s="1196"/>
      <c r="Y65" s="399"/>
      <c r="Z65" s="399"/>
      <c r="AA65" s="459">
        <f>100-SUM(AA61:AA64)</f>
        <v>0</v>
      </c>
      <c r="AB65" s="399"/>
      <c r="AC65" s="1252">
        <f>100-SUM(AC61:AC64)</f>
        <v>4</v>
      </c>
      <c r="AD65" s="1196"/>
      <c r="AE65" s="399"/>
      <c r="AF65" s="399"/>
      <c r="AG65" s="459">
        <f>100-SUM(AG61:AG64)</f>
        <v>2</v>
      </c>
      <c r="AH65" s="399"/>
      <c r="AI65" s="1252">
        <f>100-SUM(AI61:AI64)</f>
        <v>2</v>
      </c>
      <c r="AJ65" s="1196"/>
      <c r="AK65" s="399"/>
      <c r="AL65" s="399"/>
      <c r="AM65" s="459">
        <f>100-SUM(AM61:AM64)</f>
        <v>3</v>
      </c>
      <c r="AN65" s="399"/>
      <c r="AO65" s="1252">
        <f>100-SUM(AO61:AO64)</f>
        <v>0</v>
      </c>
      <c r="AP65" s="1196"/>
      <c r="AQ65" s="399"/>
      <c r="AR65" s="399"/>
      <c r="AS65" s="459">
        <f>100-SUM(AS61:AS64)</f>
        <v>1</v>
      </c>
      <c r="AT65" s="399"/>
      <c r="AU65" s="1252">
        <f>100-SUM(AU61:AU64)</f>
        <v>1</v>
      </c>
      <c r="AV65" s="1196"/>
      <c r="AW65" s="399"/>
      <c r="AX65" s="399"/>
      <c r="AY65" s="459">
        <f>100-SUM(AY61:AY64)</f>
        <v>2</v>
      </c>
      <c r="AZ65" s="399"/>
      <c r="BA65" s="1252">
        <f>100-SUM(BA61:BA64)</f>
        <v>0</v>
      </c>
      <c r="BB65" s="1196"/>
      <c r="BC65" s="399"/>
      <c r="BD65" s="399"/>
      <c r="BE65" s="459">
        <f>100-SUM(BE61:BE64)</f>
        <v>0</v>
      </c>
      <c r="BF65" s="399"/>
      <c r="BG65" s="1252">
        <f>100-SUM(BG61:BG64)</f>
        <v>0</v>
      </c>
      <c r="BH65" s="1196"/>
      <c r="BI65" s="399"/>
      <c r="BJ65" s="399"/>
      <c r="BK65" s="459">
        <f>100-SUM(BK61:BK64)</f>
        <v>2</v>
      </c>
      <c r="BL65" s="399"/>
      <c r="BM65" s="459">
        <f>100-SUM(BM61:BM64)</f>
        <v>4</v>
      </c>
      <c r="BN65" s="1196"/>
      <c r="BO65" s="399"/>
      <c r="BP65" s="399"/>
      <c r="BQ65" s="459">
        <f>100-SUM(BQ61:BQ64)</f>
        <v>0</v>
      </c>
      <c r="BR65" s="399"/>
      <c r="BS65" s="459">
        <f>100-SUM(BS61:BS64)</f>
        <v>0</v>
      </c>
      <c r="BT65" s="1196"/>
      <c r="BU65" s="399"/>
      <c r="BV65" s="399"/>
      <c r="BW65" s="459">
        <f>100-SUM(BW61:BW64)</f>
        <v>0</v>
      </c>
      <c r="BX65" s="399"/>
      <c r="BY65" s="459">
        <f>100-SUM(BY61:BY64)</f>
        <v>0</v>
      </c>
      <c r="BZ65" s="1196"/>
    </row>
    <row r="66" spans="1:80" ht="14.25">
      <c r="O66" s="447"/>
      <c r="P66" s="447"/>
      <c r="Q66" s="447"/>
      <c r="R66" s="447"/>
      <c r="S66" s="447"/>
      <c r="T66" s="448"/>
      <c r="U66" s="448"/>
      <c r="V66" s="448"/>
      <c r="W66" s="1254"/>
      <c r="X66" s="1197"/>
      <c r="Y66" s="448"/>
      <c r="Z66" s="447"/>
      <c r="AA66" s="447"/>
      <c r="AB66" s="447"/>
      <c r="AC66" s="1246"/>
      <c r="AD66" s="1193"/>
      <c r="AE66" s="447"/>
      <c r="AF66" s="448"/>
      <c r="AG66" s="448"/>
      <c r="AH66" s="448"/>
      <c r="AI66" s="1254"/>
      <c r="AJ66" s="1197"/>
      <c r="AK66" s="448"/>
      <c r="AL66" s="447"/>
      <c r="AM66" s="447"/>
      <c r="AN66" s="447"/>
      <c r="AO66" s="1246"/>
      <c r="AP66" s="1193"/>
      <c r="AQ66" s="447"/>
      <c r="AR66" s="448"/>
      <c r="AS66" s="448"/>
      <c r="AT66" s="448"/>
      <c r="AU66" s="1254"/>
      <c r="AV66" s="1197"/>
      <c r="AW66" s="448"/>
      <c r="AX66" s="447"/>
      <c r="AY66" s="447"/>
      <c r="AZ66" s="447"/>
      <c r="BA66" s="1246"/>
      <c r="BB66" s="1193"/>
      <c r="BC66" s="447"/>
      <c r="BD66" s="448"/>
      <c r="BE66" s="448"/>
      <c r="BF66" s="448"/>
      <c r="BG66" s="1254"/>
      <c r="BH66" s="1197"/>
      <c r="BI66" s="448"/>
      <c r="BJ66" s="447"/>
      <c r="BK66" s="447"/>
      <c r="BL66" s="447"/>
      <c r="BM66" s="447"/>
      <c r="BN66" s="1193"/>
      <c r="BO66" s="447"/>
      <c r="BP66" s="448"/>
      <c r="BQ66" s="448"/>
      <c r="BR66" s="448"/>
      <c r="BS66" s="448"/>
      <c r="BT66" s="1197"/>
      <c r="BU66" s="448"/>
      <c r="BV66" s="447"/>
      <c r="BW66" s="447"/>
    </row>
    <row r="67" spans="1:80" ht="14.25">
      <c r="O67" s="447"/>
      <c r="P67" s="447"/>
      <c r="Q67" s="447"/>
      <c r="R67" s="447"/>
      <c r="S67" s="447"/>
      <c r="T67" s="448"/>
      <c r="U67" s="448"/>
      <c r="V67" s="448"/>
      <c r="W67" s="1254"/>
      <c r="X67" s="1197"/>
      <c r="Y67" s="448"/>
      <c r="Z67" s="447"/>
      <c r="AA67" s="447"/>
      <c r="AB67" s="447"/>
      <c r="AC67" s="1246"/>
      <c r="AD67" s="1193"/>
      <c r="AE67" s="447"/>
      <c r="AF67" s="448"/>
      <c r="AG67" s="448"/>
      <c r="AH67" s="448"/>
      <c r="AI67" s="1254"/>
      <c r="AJ67" s="1197"/>
      <c r="AK67" s="448"/>
      <c r="AL67" s="447"/>
      <c r="AM67" s="447"/>
      <c r="AN67" s="447"/>
      <c r="AO67" s="1246"/>
      <c r="AP67" s="1193"/>
      <c r="AQ67" s="447"/>
      <c r="AR67" s="448"/>
      <c r="AS67" s="448"/>
      <c r="AT67" s="448"/>
      <c r="AU67" s="1254"/>
      <c r="AV67" s="1197"/>
      <c r="AW67" s="448"/>
      <c r="AX67" s="447"/>
      <c r="AY67" s="447"/>
      <c r="AZ67" s="447"/>
      <c r="BA67" s="1246"/>
      <c r="BB67" s="1193"/>
      <c r="BC67" s="447"/>
      <c r="BD67" s="448"/>
      <c r="BE67" s="448"/>
      <c r="BF67" s="448"/>
      <c r="BG67" s="1254"/>
      <c r="BH67" s="1197"/>
      <c r="BI67" s="448"/>
      <c r="BJ67" s="447"/>
      <c r="BK67" s="447"/>
      <c r="BL67" s="447"/>
      <c r="BM67" s="447"/>
      <c r="BN67" s="1193"/>
      <c r="BO67" s="447"/>
      <c r="BP67" s="448"/>
      <c r="BQ67" s="448"/>
      <c r="BR67" s="448"/>
      <c r="BS67" s="448"/>
      <c r="BT67" s="1197"/>
      <c r="BU67" s="448"/>
      <c r="BV67" s="447"/>
      <c r="BW67" s="447"/>
    </row>
    <row r="68" spans="1:80" ht="14.25">
      <c r="O68" s="447"/>
      <c r="P68" s="447"/>
      <c r="Q68" s="447"/>
      <c r="R68" s="447"/>
      <c r="S68" s="447"/>
      <c r="T68" s="448"/>
      <c r="U68" s="448"/>
      <c r="V68" s="448"/>
      <c r="W68" s="1254"/>
      <c r="X68" s="1197"/>
      <c r="Y68" s="448"/>
      <c r="Z68" s="447"/>
      <c r="AA68" s="447"/>
      <c r="AB68" s="447"/>
      <c r="AC68" s="1246"/>
      <c r="AD68" s="1193"/>
      <c r="AE68" s="447"/>
      <c r="AF68" s="448"/>
      <c r="AG68" s="448"/>
      <c r="AH68" s="448"/>
      <c r="AI68" s="1254"/>
      <c r="AJ68" s="1197"/>
      <c r="AK68" s="448"/>
      <c r="AL68" s="447"/>
      <c r="AM68" s="447"/>
      <c r="AN68" s="447"/>
      <c r="AO68" s="1246"/>
      <c r="AP68" s="1193"/>
      <c r="AQ68" s="447"/>
      <c r="AR68" s="448"/>
      <c r="AS68" s="448"/>
      <c r="AT68" s="448"/>
      <c r="AU68" s="1254"/>
      <c r="AV68" s="1197"/>
      <c r="AW68" s="448"/>
      <c r="AX68" s="447"/>
      <c r="AY68" s="447"/>
      <c r="AZ68" s="447"/>
      <c r="BA68" s="1246"/>
      <c r="BB68" s="1193"/>
      <c r="BC68" s="447"/>
      <c r="BD68" s="448"/>
      <c r="BE68" s="448"/>
      <c r="BF68" s="448"/>
      <c r="BG68" s="1254"/>
      <c r="BH68" s="1197"/>
      <c r="BI68" s="448"/>
      <c r="BJ68" s="447"/>
      <c r="BK68" s="447"/>
      <c r="BL68" s="447"/>
      <c r="BM68" s="447"/>
      <c r="BN68" s="1193"/>
      <c r="BO68" s="447"/>
      <c r="BP68" s="448"/>
      <c r="BQ68" s="448"/>
      <c r="BR68" s="448"/>
      <c r="BS68" s="448"/>
      <c r="BT68" s="1197"/>
      <c r="BU68" s="448"/>
      <c r="BV68" s="447"/>
      <c r="BW68" s="447"/>
    </row>
    <row r="69" spans="1:80" s="448" customFormat="1" ht="16.5" customHeight="1">
      <c r="A69" s="414"/>
      <c r="B69" s="414"/>
      <c r="C69" s="415"/>
      <c r="D69" s="506" t="s">
        <v>1592</v>
      </c>
      <c r="E69" s="414"/>
      <c r="F69" s="414"/>
      <c r="G69" s="418"/>
      <c r="H69" s="414"/>
      <c r="I69" s="435"/>
      <c r="J69" s="621"/>
      <c r="K69" s="621"/>
      <c r="L69" s="621"/>
      <c r="M69" s="621"/>
      <c r="N69" s="435"/>
      <c r="W69" s="1254"/>
      <c r="X69" s="1197"/>
      <c r="AC69" s="1254"/>
      <c r="AD69" s="1197"/>
      <c r="AI69" s="1254"/>
      <c r="AJ69" s="1197"/>
      <c r="AO69" s="1254"/>
      <c r="AP69" s="1197"/>
      <c r="AU69" s="1254"/>
      <c r="AV69" s="1197"/>
      <c r="BA69" s="1254"/>
      <c r="BB69" s="1197"/>
      <c r="BG69" s="1254"/>
      <c r="BH69" s="1197"/>
      <c r="BN69" s="1197"/>
      <c r="BT69" s="1197"/>
      <c r="BZ69" s="1197"/>
      <c r="CB69" s="447"/>
    </row>
    <row r="70" spans="1:80" s="448" customFormat="1" ht="16.5" customHeight="1">
      <c r="A70" s="414"/>
      <c r="B70" s="414"/>
      <c r="C70" s="415"/>
      <c r="D70" s="357" t="s">
        <v>1636</v>
      </c>
      <c r="E70" s="414"/>
      <c r="F70" s="414"/>
      <c r="G70" s="418"/>
      <c r="H70" s="414"/>
      <c r="I70" s="435"/>
      <c r="J70" s="621"/>
      <c r="K70" s="621"/>
      <c r="L70" s="621"/>
      <c r="M70" s="621"/>
      <c r="N70" s="435"/>
      <c r="W70" s="1254"/>
      <c r="X70" s="1197"/>
      <c r="AC70" s="1254"/>
      <c r="AD70" s="1197"/>
      <c r="AI70" s="1254"/>
      <c r="AJ70" s="1197"/>
      <c r="AO70" s="1254"/>
      <c r="AP70" s="1197"/>
      <c r="AU70" s="1254"/>
      <c r="AV70" s="1197"/>
      <c r="BA70" s="1254"/>
      <c r="BB70" s="1197"/>
      <c r="BG70" s="1254"/>
      <c r="BH70" s="1197"/>
      <c r="BN70" s="1197"/>
      <c r="BT70" s="1197"/>
      <c r="BZ70" s="1197"/>
      <c r="CB70" s="447"/>
    </row>
    <row r="71" spans="1:80" ht="14.25">
      <c r="O71" s="447"/>
      <c r="P71" s="447"/>
      <c r="Q71" s="447"/>
      <c r="R71" s="447"/>
      <c r="S71" s="447"/>
      <c r="T71" s="448"/>
      <c r="U71" s="448"/>
      <c r="V71" s="448"/>
      <c r="W71" s="1254"/>
      <c r="X71" s="1197"/>
      <c r="Y71" s="448"/>
      <c r="Z71" s="447"/>
      <c r="AA71" s="447"/>
      <c r="AB71" s="447"/>
      <c r="AC71" s="1246"/>
      <c r="AD71" s="1193"/>
      <c r="AE71" s="447"/>
      <c r="AF71" s="448"/>
      <c r="AG71" s="448"/>
      <c r="AH71" s="448"/>
      <c r="AI71" s="1254"/>
      <c r="AJ71" s="1197"/>
      <c r="AK71" s="448"/>
      <c r="AL71" s="447"/>
      <c r="AM71" s="447"/>
      <c r="AN71" s="447"/>
      <c r="AO71" s="1246"/>
      <c r="AP71" s="1193"/>
      <c r="AQ71" s="447"/>
      <c r="AR71" s="448"/>
      <c r="AS71" s="448"/>
      <c r="AT71" s="448"/>
      <c r="AU71" s="1254"/>
      <c r="AV71" s="1197"/>
      <c r="AW71" s="448"/>
      <c r="AX71" s="447"/>
      <c r="AY71" s="447"/>
      <c r="AZ71" s="447"/>
      <c r="BA71" s="1246"/>
      <c r="BB71" s="1193"/>
      <c r="BC71" s="447"/>
      <c r="BD71" s="448"/>
      <c r="BE71" s="448"/>
      <c r="BF71" s="448"/>
      <c r="BG71" s="1254"/>
      <c r="BH71" s="1197"/>
      <c r="BI71" s="448"/>
      <c r="BJ71" s="447"/>
      <c r="BK71" s="447"/>
      <c r="BL71" s="447"/>
      <c r="BM71" s="447"/>
      <c r="BN71" s="1193"/>
      <c r="BO71" s="447"/>
      <c r="BP71" s="448"/>
      <c r="BQ71" s="448"/>
      <c r="BR71" s="448"/>
      <c r="BS71" s="448"/>
      <c r="BT71" s="1197"/>
      <c r="BU71" s="448"/>
      <c r="BV71" s="447"/>
      <c r="BW71" s="447"/>
    </row>
    <row r="72" spans="1:80" ht="14.25">
      <c r="O72" s="448"/>
      <c r="P72" s="447"/>
      <c r="Q72" s="447"/>
      <c r="R72" s="447"/>
      <c r="S72" s="447"/>
      <c r="T72" s="448"/>
      <c r="U72" s="448"/>
      <c r="V72" s="448"/>
      <c r="W72" s="1254"/>
      <c r="X72" s="1197"/>
      <c r="Y72" s="448"/>
      <c r="Z72" s="447"/>
      <c r="AA72" s="447"/>
      <c r="AB72" s="447"/>
      <c r="AC72" s="1246"/>
      <c r="AD72" s="1193"/>
      <c r="AE72" s="447"/>
      <c r="AF72" s="448"/>
      <c r="AG72" s="448"/>
      <c r="AH72" s="448"/>
      <c r="AI72" s="1254"/>
      <c r="AJ72" s="1197"/>
      <c r="AK72" s="448"/>
      <c r="AL72" s="447"/>
      <c r="AM72" s="447"/>
      <c r="AN72" s="447"/>
      <c r="AO72" s="1246"/>
      <c r="AP72" s="1193"/>
      <c r="AQ72" s="447"/>
      <c r="AR72" s="448"/>
      <c r="AS72" s="448"/>
      <c r="AT72" s="448"/>
      <c r="AU72" s="1254"/>
      <c r="AV72" s="1197"/>
      <c r="AW72" s="448"/>
      <c r="AX72" s="447"/>
      <c r="AY72" s="447"/>
      <c r="AZ72" s="447"/>
      <c r="BA72" s="1246"/>
      <c r="BB72" s="1193"/>
      <c r="BC72" s="447"/>
      <c r="BD72" s="448"/>
      <c r="BE72" s="448"/>
      <c r="BF72" s="448"/>
      <c r="BG72" s="1254"/>
      <c r="BH72" s="1197"/>
      <c r="BI72" s="448"/>
      <c r="BJ72" s="447"/>
      <c r="BK72" s="447"/>
      <c r="BL72" s="447"/>
      <c r="BM72" s="447"/>
      <c r="BN72" s="1193"/>
      <c r="BO72" s="447"/>
      <c r="BP72" s="448"/>
      <c r="BQ72" s="448"/>
      <c r="BR72" s="448"/>
      <c r="BS72" s="448"/>
      <c r="BT72" s="1197"/>
      <c r="BU72" s="448"/>
      <c r="BV72" s="447"/>
      <c r="BW72" s="447"/>
    </row>
    <row r="73" spans="1:80" ht="14.25">
      <c r="O73" s="447"/>
      <c r="P73" s="447"/>
      <c r="Q73" s="447"/>
      <c r="R73" s="447"/>
      <c r="S73" s="447"/>
      <c r="T73" s="448"/>
      <c r="U73" s="448"/>
      <c r="V73" s="448"/>
      <c r="W73" s="1254"/>
      <c r="X73" s="1197"/>
      <c r="Y73" s="448"/>
      <c r="Z73" s="447"/>
      <c r="AA73" s="447"/>
      <c r="AB73" s="447"/>
      <c r="AC73" s="1246"/>
      <c r="AD73" s="1193"/>
      <c r="AE73" s="447"/>
      <c r="AF73" s="448"/>
      <c r="AG73" s="448"/>
      <c r="AH73" s="448"/>
      <c r="AI73" s="1254"/>
      <c r="AJ73" s="1197"/>
      <c r="AK73" s="448"/>
      <c r="AL73" s="447"/>
      <c r="AM73" s="447"/>
      <c r="AN73" s="447"/>
      <c r="AO73" s="1246"/>
      <c r="AP73" s="1193"/>
      <c r="AQ73" s="447"/>
      <c r="AR73" s="448"/>
      <c r="AS73" s="448"/>
      <c r="AT73" s="448"/>
      <c r="AU73" s="1254"/>
      <c r="AV73" s="1197"/>
      <c r="AW73" s="448"/>
      <c r="AX73" s="447"/>
      <c r="AY73" s="447"/>
      <c r="AZ73" s="447"/>
      <c r="BA73" s="1246"/>
      <c r="BB73" s="1193"/>
      <c r="BC73" s="447"/>
      <c r="BD73" s="448"/>
      <c r="BE73" s="448"/>
      <c r="BF73" s="448"/>
      <c r="BG73" s="1254"/>
      <c r="BH73" s="1197"/>
      <c r="BI73" s="448"/>
      <c r="BJ73" s="447"/>
      <c r="BK73" s="447"/>
      <c r="BL73" s="447"/>
      <c r="BM73" s="447"/>
      <c r="BN73" s="1193"/>
      <c r="BO73" s="447"/>
      <c r="BP73" s="448"/>
      <c r="BQ73" s="448"/>
      <c r="BR73" s="448"/>
      <c r="BS73" s="448"/>
      <c r="BT73" s="1197"/>
      <c r="BU73" s="448"/>
      <c r="BV73" s="447"/>
      <c r="BW73" s="447"/>
    </row>
    <row r="74" spans="1:80" ht="14.25">
      <c r="O74" s="447"/>
      <c r="P74" s="447"/>
      <c r="Q74" s="447"/>
      <c r="R74" s="447"/>
      <c r="S74" s="447"/>
      <c r="T74" s="448"/>
      <c r="U74" s="448"/>
      <c r="V74" s="448"/>
      <c r="W74" s="1254"/>
      <c r="X74" s="1197"/>
      <c r="Y74" s="448"/>
      <c r="Z74" s="447"/>
      <c r="AA74" s="447"/>
      <c r="AB74" s="447"/>
      <c r="AC74" s="1246"/>
      <c r="AD74" s="1193"/>
      <c r="AE74" s="447"/>
      <c r="AF74" s="448"/>
      <c r="AG74" s="448"/>
      <c r="AH74" s="448"/>
      <c r="AI74" s="1254"/>
      <c r="AJ74" s="1197"/>
      <c r="AK74" s="448"/>
      <c r="AL74" s="447"/>
      <c r="AM74" s="447"/>
      <c r="AN74" s="447"/>
      <c r="AO74" s="1246"/>
      <c r="AP74" s="1193"/>
      <c r="AQ74" s="447"/>
      <c r="AR74" s="448"/>
      <c r="AS74" s="448"/>
      <c r="AT74" s="448"/>
      <c r="AU74" s="1254"/>
      <c r="AV74" s="1197"/>
      <c r="AW74" s="448"/>
      <c r="AX74" s="447"/>
      <c r="AY74" s="447"/>
      <c r="AZ74" s="447"/>
      <c r="BA74" s="1246"/>
      <c r="BB74" s="1193"/>
      <c r="BC74" s="447"/>
      <c r="BD74" s="448"/>
      <c r="BE74" s="448"/>
      <c r="BF74" s="448"/>
      <c r="BG74" s="1254"/>
      <c r="BH74" s="1197"/>
      <c r="BI74" s="448"/>
      <c r="BJ74" s="447"/>
      <c r="BK74" s="447"/>
      <c r="BL74" s="447"/>
      <c r="BM74" s="447"/>
      <c r="BN74" s="1193"/>
      <c r="BO74" s="447"/>
      <c r="BP74" s="448"/>
      <c r="BQ74" s="448"/>
      <c r="BR74" s="448"/>
      <c r="BS74" s="448"/>
      <c r="BT74" s="1197"/>
      <c r="BU74" s="448"/>
      <c r="BV74" s="447"/>
      <c r="BW74" s="447"/>
    </row>
    <row r="75" spans="1:80" ht="14.25">
      <c r="O75" s="447"/>
      <c r="P75" s="447"/>
      <c r="Q75" s="447"/>
      <c r="R75" s="447"/>
      <c r="S75" s="447"/>
      <c r="T75" s="448"/>
      <c r="U75" s="448"/>
      <c r="V75" s="448"/>
      <c r="W75" s="1254"/>
      <c r="X75" s="1197"/>
      <c r="Y75" s="448"/>
      <c r="Z75" s="447"/>
      <c r="AA75" s="447"/>
      <c r="AB75" s="447"/>
      <c r="AC75" s="1246"/>
      <c r="AD75" s="1193"/>
      <c r="AE75" s="447"/>
      <c r="AF75" s="448"/>
      <c r="AG75" s="448"/>
      <c r="AH75" s="448"/>
      <c r="AI75" s="1254"/>
      <c r="AJ75" s="1197"/>
      <c r="AK75" s="448"/>
      <c r="AL75" s="447"/>
      <c r="AM75" s="447"/>
      <c r="AN75" s="447"/>
      <c r="AO75" s="1246"/>
      <c r="AP75" s="1193"/>
      <c r="AQ75" s="447"/>
      <c r="AR75" s="448"/>
      <c r="AS75" s="448"/>
      <c r="AT75" s="448"/>
      <c r="AU75" s="1254"/>
      <c r="AV75" s="1197"/>
      <c r="AW75" s="448"/>
      <c r="AX75" s="447"/>
      <c r="AY75" s="447"/>
      <c r="AZ75" s="447"/>
      <c r="BA75" s="1246"/>
      <c r="BB75" s="1193"/>
      <c r="BC75" s="447"/>
      <c r="BD75" s="448"/>
      <c r="BE75" s="448"/>
      <c r="BF75" s="448"/>
      <c r="BG75" s="1254"/>
      <c r="BH75" s="1197"/>
      <c r="BI75" s="448"/>
      <c r="BJ75" s="447"/>
      <c r="BK75" s="447"/>
      <c r="BL75" s="447"/>
      <c r="BM75" s="447"/>
      <c r="BN75" s="1193"/>
      <c r="BO75" s="447"/>
      <c r="BP75" s="448"/>
      <c r="BQ75" s="448"/>
      <c r="BR75" s="448"/>
      <c r="BS75" s="448"/>
      <c r="BT75" s="1197"/>
      <c r="BU75" s="448"/>
      <c r="BV75" s="447"/>
      <c r="BW75" s="447"/>
    </row>
    <row r="76" spans="1:80" ht="14.25">
      <c r="O76" s="447"/>
      <c r="P76" s="447"/>
      <c r="Q76" s="447"/>
      <c r="R76" s="447"/>
      <c r="S76" s="447"/>
      <c r="T76" s="448"/>
      <c r="U76" s="448"/>
      <c r="V76" s="448"/>
      <c r="W76" s="1254"/>
      <c r="X76" s="1197"/>
      <c r="Y76" s="448"/>
      <c r="Z76" s="447"/>
      <c r="AA76" s="447"/>
      <c r="AB76" s="447"/>
      <c r="AC76" s="1246"/>
      <c r="AD76" s="1193"/>
      <c r="AE76" s="447"/>
      <c r="AF76" s="448"/>
      <c r="AG76" s="448"/>
      <c r="AH76" s="448"/>
      <c r="AI76" s="1254"/>
      <c r="AJ76" s="1197"/>
      <c r="AK76" s="448"/>
      <c r="AL76" s="447"/>
      <c r="AM76" s="447"/>
      <c r="AN76" s="447"/>
      <c r="AO76" s="1246"/>
      <c r="AP76" s="1193"/>
      <c r="AQ76" s="447"/>
      <c r="AR76" s="448"/>
      <c r="AS76" s="448"/>
      <c r="AT76" s="448"/>
      <c r="AU76" s="1254"/>
      <c r="AV76" s="1197"/>
      <c r="AW76" s="448"/>
      <c r="AX76" s="447"/>
      <c r="AY76" s="447"/>
      <c r="AZ76" s="447"/>
      <c r="BA76" s="1246"/>
      <c r="BB76" s="1193"/>
      <c r="BC76" s="447"/>
      <c r="BD76" s="448"/>
      <c r="BE76" s="448"/>
      <c r="BF76" s="448"/>
      <c r="BG76" s="1254"/>
      <c r="BH76" s="1197"/>
      <c r="BI76" s="448"/>
      <c r="BJ76" s="447"/>
      <c r="BK76" s="447"/>
      <c r="BL76" s="447"/>
      <c r="BM76" s="447"/>
      <c r="BN76" s="1193"/>
      <c r="BO76" s="447"/>
      <c r="BP76" s="448"/>
      <c r="BQ76" s="448"/>
      <c r="BR76" s="448"/>
      <c r="BS76" s="448"/>
      <c r="BT76" s="1197"/>
      <c r="BU76" s="448"/>
      <c r="BV76" s="447"/>
      <c r="BW76" s="447"/>
    </row>
    <row r="77" spans="1:80" ht="14.25">
      <c r="O77" s="447"/>
      <c r="P77" s="447"/>
      <c r="Q77" s="447"/>
      <c r="R77" s="447"/>
      <c r="S77" s="447"/>
      <c r="T77" s="448"/>
      <c r="U77" s="448"/>
      <c r="V77" s="448"/>
      <c r="W77" s="1254"/>
      <c r="X77" s="1197"/>
      <c r="Y77" s="448"/>
      <c r="Z77" s="447"/>
      <c r="AA77" s="447"/>
      <c r="AB77" s="447"/>
      <c r="AC77" s="1246"/>
      <c r="AD77" s="1193"/>
      <c r="AE77" s="447"/>
      <c r="AF77" s="448"/>
      <c r="AG77" s="448"/>
      <c r="AH77" s="448"/>
      <c r="AI77" s="1254"/>
      <c r="AJ77" s="1197"/>
      <c r="AK77" s="448"/>
      <c r="AL77" s="447"/>
      <c r="AM77" s="447"/>
      <c r="AN77" s="447"/>
      <c r="AO77" s="1246"/>
      <c r="AP77" s="1193"/>
      <c r="AQ77" s="447"/>
      <c r="AR77" s="448"/>
      <c r="AS77" s="448"/>
      <c r="AT77" s="448"/>
      <c r="AU77" s="1254"/>
      <c r="AV77" s="1197"/>
      <c r="AW77" s="448"/>
      <c r="AX77" s="447"/>
      <c r="AY77" s="447"/>
      <c r="AZ77" s="447"/>
      <c r="BA77" s="1246"/>
      <c r="BB77" s="1193"/>
      <c r="BC77" s="447"/>
      <c r="BD77" s="448"/>
      <c r="BE77" s="448"/>
      <c r="BF77" s="448"/>
      <c r="BG77" s="1254"/>
      <c r="BH77" s="1197"/>
      <c r="BI77" s="448"/>
      <c r="BJ77" s="447"/>
      <c r="BK77" s="447"/>
      <c r="BL77" s="447"/>
      <c r="BM77" s="447"/>
      <c r="BN77" s="1193"/>
      <c r="BO77" s="447"/>
      <c r="BP77" s="448"/>
      <c r="BQ77" s="448"/>
      <c r="BR77" s="448"/>
      <c r="BS77" s="448"/>
      <c r="BT77" s="1197"/>
      <c r="BU77" s="448"/>
      <c r="BV77" s="447"/>
      <c r="BW77" s="447"/>
    </row>
    <row r="78" spans="1:80" ht="14.25">
      <c r="O78" s="447"/>
      <c r="P78" s="447"/>
      <c r="Q78" s="447"/>
      <c r="R78" s="447"/>
      <c r="S78" s="447"/>
      <c r="T78" s="448"/>
      <c r="U78" s="448"/>
      <c r="V78" s="448"/>
      <c r="W78" s="1254"/>
      <c r="X78" s="1197"/>
      <c r="Y78" s="448"/>
      <c r="Z78" s="447"/>
      <c r="AA78" s="447"/>
      <c r="AB78" s="447"/>
      <c r="AC78" s="1246"/>
      <c r="AD78" s="1193"/>
      <c r="AE78" s="447"/>
      <c r="AF78" s="448"/>
      <c r="AG78" s="448"/>
      <c r="AH78" s="448"/>
      <c r="AI78" s="1254"/>
      <c r="AJ78" s="1197"/>
      <c r="AK78" s="448"/>
      <c r="AL78" s="447"/>
      <c r="AM78" s="447"/>
      <c r="AN78" s="447"/>
      <c r="AO78" s="1246"/>
      <c r="AP78" s="1193"/>
      <c r="AQ78" s="447"/>
      <c r="AR78" s="448"/>
      <c r="AS78" s="448"/>
      <c r="AT78" s="448"/>
      <c r="AU78" s="1254"/>
      <c r="AV78" s="1197"/>
      <c r="AW78" s="448"/>
      <c r="AX78" s="447"/>
      <c r="AY78" s="447"/>
      <c r="AZ78" s="447"/>
      <c r="BA78" s="1246"/>
      <c r="BB78" s="1193"/>
      <c r="BC78" s="447"/>
      <c r="BD78" s="448"/>
      <c r="BE78" s="448"/>
      <c r="BF78" s="448"/>
      <c r="BG78" s="1254"/>
      <c r="BH78" s="1197"/>
      <c r="BI78" s="448"/>
      <c r="BJ78" s="447"/>
      <c r="BK78" s="447"/>
      <c r="BL78" s="447"/>
      <c r="BM78" s="447"/>
      <c r="BN78" s="1193"/>
      <c r="BO78" s="447"/>
      <c r="BP78" s="448"/>
      <c r="BQ78" s="448"/>
      <c r="BR78" s="448"/>
      <c r="BS78" s="448"/>
      <c r="BT78" s="1197"/>
      <c r="BU78" s="448"/>
      <c r="BV78" s="447"/>
      <c r="BW78" s="447"/>
    </row>
    <row r="79" spans="1:80" ht="14.25">
      <c r="O79" s="447"/>
      <c r="P79" s="447"/>
      <c r="Q79" s="447"/>
      <c r="R79" s="447"/>
      <c r="S79" s="447"/>
      <c r="T79" s="448"/>
      <c r="U79" s="448"/>
      <c r="V79" s="448"/>
      <c r="W79" s="1254"/>
      <c r="X79" s="1197"/>
      <c r="Y79" s="448"/>
      <c r="Z79" s="447"/>
      <c r="AA79" s="447"/>
      <c r="AB79" s="447"/>
      <c r="AC79" s="1246"/>
      <c r="AD79" s="1193"/>
      <c r="AE79" s="447"/>
      <c r="AF79" s="448"/>
      <c r="AG79" s="448"/>
      <c r="AH79" s="448"/>
      <c r="AI79" s="1254"/>
      <c r="AJ79" s="1197"/>
      <c r="AK79" s="448"/>
      <c r="AL79" s="447"/>
      <c r="AM79" s="447"/>
      <c r="AN79" s="447"/>
      <c r="AO79" s="1246"/>
      <c r="AP79" s="1193"/>
      <c r="AQ79" s="447"/>
      <c r="AR79" s="448"/>
      <c r="AS79" s="448"/>
      <c r="AT79" s="448"/>
      <c r="AU79" s="1254"/>
      <c r="AV79" s="1197"/>
      <c r="AW79" s="448"/>
      <c r="AX79" s="447"/>
      <c r="AY79" s="447"/>
      <c r="AZ79" s="447"/>
      <c r="BA79" s="1246"/>
      <c r="BB79" s="1193"/>
      <c r="BC79" s="447"/>
      <c r="BD79" s="448"/>
      <c r="BE79" s="448"/>
      <c r="BF79" s="448"/>
      <c r="BG79" s="1254"/>
      <c r="BH79" s="1197"/>
      <c r="BI79" s="448"/>
      <c r="BJ79" s="447"/>
      <c r="BK79" s="447"/>
      <c r="BL79" s="447"/>
      <c r="BM79" s="447"/>
      <c r="BN79" s="1193"/>
      <c r="BO79" s="447"/>
      <c r="BP79" s="448"/>
      <c r="BQ79" s="448"/>
      <c r="BR79" s="448"/>
      <c r="BS79" s="448"/>
      <c r="BT79" s="1197"/>
      <c r="BU79" s="448"/>
      <c r="BV79" s="447"/>
      <c r="BW79" s="447"/>
    </row>
    <row r="80" spans="1:80" ht="14.25">
      <c r="O80" s="447"/>
      <c r="P80" s="447"/>
      <c r="Q80" s="447"/>
      <c r="R80" s="447"/>
      <c r="S80" s="447"/>
      <c r="T80" s="448"/>
      <c r="U80" s="448"/>
      <c r="V80" s="448"/>
      <c r="W80" s="1254"/>
      <c r="X80" s="1197"/>
      <c r="Y80" s="448"/>
      <c r="Z80" s="447"/>
      <c r="AA80" s="447"/>
      <c r="AB80" s="447"/>
      <c r="AC80" s="1246"/>
      <c r="AD80" s="1193"/>
      <c r="AE80" s="447"/>
      <c r="AF80" s="448"/>
      <c r="AG80" s="448"/>
      <c r="AH80" s="448"/>
      <c r="AI80" s="1254"/>
      <c r="AJ80" s="1197"/>
      <c r="AK80" s="448"/>
      <c r="AL80" s="447"/>
      <c r="AM80" s="447"/>
      <c r="AN80" s="447"/>
      <c r="AO80" s="1246"/>
      <c r="AP80" s="1193"/>
      <c r="AQ80" s="447"/>
      <c r="AR80" s="448"/>
      <c r="AS80" s="448"/>
      <c r="AT80" s="448"/>
      <c r="AU80" s="1254"/>
      <c r="AV80" s="1197"/>
      <c r="AW80" s="448"/>
      <c r="AX80" s="447"/>
      <c r="AY80" s="447"/>
      <c r="AZ80" s="447"/>
      <c r="BA80" s="1246"/>
      <c r="BB80" s="1193"/>
      <c r="BC80" s="447"/>
      <c r="BD80" s="448"/>
      <c r="BE80" s="448"/>
      <c r="BF80" s="448"/>
      <c r="BG80" s="1254"/>
      <c r="BH80" s="1197"/>
      <c r="BI80" s="448"/>
      <c r="BJ80" s="447"/>
      <c r="BK80" s="447"/>
      <c r="BL80" s="447"/>
      <c r="BM80" s="447"/>
      <c r="BN80" s="1193"/>
      <c r="BO80" s="447"/>
      <c r="BP80" s="448"/>
      <c r="BQ80" s="448"/>
      <c r="BR80" s="448"/>
      <c r="BS80" s="448"/>
      <c r="BT80" s="1197"/>
      <c r="BU80" s="448"/>
      <c r="BV80" s="447"/>
      <c r="BW80" s="447"/>
    </row>
    <row r="81" spans="15:75" ht="14.25">
      <c r="O81" s="447"/>
      <c r="P81" s="447"/>
      <c r="Q81" s="447"/>
      <c r="R81" s="447"/>
      <c r="S81" s="447"/>
      <c r="T81" s="448"/>
      <c r="U81" s="448"/>
      <c r="V81" s="448"/>
      <c r="W81" s="1254"/>
      <c r="X81" s="1197"/>
      <c r="Y81" s="448"/>
      <c r="Z81" s="447"/>
      <c r="AA81" s="447"/>
      <c r="AB81" s="447"/>
      <c r="AC81" s="1246"/>
      <c r="AD81" s="1193"/>
      <c r="AE81" s="447"/>
      <c r="AF81" s="448"/>
      <c r="AG81" s="448"/>
      <c r="AH81" s="448"/>
      <c r="AI81" s="1254"/>
      <c r="AJ81" s="1197"/>
      <c r="AK81" s="448"/>
      <c r="AL81" s="447"/>
      <c r="AM81" s="447"/>
      <c r="AN81" s="447"/>
      <c r="AO81" s="1246"/>
      <c r="AP81" s="1193"/>
      <c r="AQ81" s="447"/>
      <c r="AR81" s="448"/>
      <c r="AS81" s="448"/>
      <c r="AT81" s="448"/>
      <c r="AU81" s="1254"/>
      <c r="AV81" s="1197"/>
      <c r="AW81" s="448"/>
      <c r="AX81" s="447"/>
      <c r="AY81" s="447"/>
      <c r="AZ81" s="447"/>
      <c r="BA81" s="1246"/>
      <c r="BB81" s="1193"/>
      <c r="BC81" s="447"/>
      <c r="BD81" s="448"/>
      <c r="BE81" s="448"/>
      <c r="BF81" s="448"/>
      <c r="BG81" s="1254"/>
      <c r="BH81" s="1197"/>
      <c r="BI81" s="448"/>
      <c r="BJ81" s="447"/>
      <c r="BK81" s="447"/>
      <c r="BL81" s="447"/>
      <c r="BM81" s="447"/>
      <c r="BN81" s="1193"/>
      <c r="BO81" s="447"/>
      <c r="BP81" s="448"/>
      <c r="BQ81" s="448"/>
      <c r="BR81" s="448"/>
      <c r="BS81" s="448"/>
      <c r="BT81" s="1197"/>
      <c r="BU81" s="448"/>
      <c r="BV81" s="447"/>
      <c r="BW81" s="447"/>
    </row>
    <row r="82" spans="15:75" ht="14.25">
      <c r="O82" s="447"/>
      <c r="P82" s="447"/>
      <c r="Q82" s="447"/>
      <c r="R82" s="447"/>
      <c r="S82" s="447"/>
      <c r="T82" s="448"/>
      <c r="U82" s="448"/>
      <c r="V82" s="448"/>
      <c r="W82" s="1254"/>
      <c r="X82" s="1197"/>
      <c r="Y82" s="448"/>
      <c r="Z82" s="447"/>
      <c r="AA82" s="447"/>
      <c r="AB82" s="447"/>
      <c r="AC82" s="1246"/>
      <c r="AD82" s="1193"/>
      <c r="AE82" s="447"/>
      <c r="AF82" s="448"/>
      <c r="AG82" s="448"/>
      <c r="AH82" s="448"/>
      <c r="AI82" s="1254"/>
      <c r="AJ82" s="1197"/>
      <c r="AK82" s="448"/>
      <c r="AL82" s="447"/>
      <c r="AM82" s="447"/>
      <c r="AN82" s="447"/>
      <c r="AO82" s="1246"/>
      <c r="AP82" s="1193"/>
      <c r="AQ82" s="447"/>
      <c r="AR82" s="448"/>
      <c r="AS82" s="448"/>
      <c r="AT82" s="448"/>
      <c r="AU82" s="1254"/>
      <c r="AV82" s="1197"/>
      <c r="AW82" s="448"/>
      <c r="AX82" s="447"/>
      <c r="AY82" s="447"/>
      <c r="AZ82" s="447"/>
      <c r="BA82" s="1246"/>
      <c r="BB82" s="1193"/>
      <c r="BC82" s="447"/>
      <c r="BD82" s="448"/>
      <c r="BE82" s="448"/>
      <c r="BF82" s="448"/>
      <c r="BG82" s="1254"/>
      <c r="BH82" s="1197"/>
      <c r="BI82" s="448"/>
      <c r="BJ82" s="447"/>
      <c r="BK82" s="447"/>
      <c r="BL82" s="447"/>
      <c r="BM82" s="447"/>
      <c r="BN82" s="1193"/>
      <c r="BO82" s="447"/>
      <c r="BP82" s="448"/>
      <c r="BQ82" s="448"/>
      <c r="BR82" s="448"/>
      <c r="BS82" s="448"/>
      <c r="BT82" s="1197"/>
      <c r="BU82" s="448"/>
      <c r="BV82" s="447"/>
      <c r="BW82" s="447"/>
    </row>
    <row r="83" spans="15:75" ht="14.25">
      <c r="O83" s="447"/>
      <c r="P83" s="447"/>
      <c r="Q83" s="447"/>
      <c r="R83" s="447"/>
      <c r="S83" s="447"/>
      <c r="T83" s="448"/>
      <c r="U83" s="448"/>
      <c r="V83" s="448"/>
      <c r="W83" s="1254"/>
      <c r="X83" s="1197"/>
      <c r="Y83" s="448"/>
      <c r="Z83" s="447"/>
      <c r="AA83" s="447"/>
      <c r="AB83" s="447"/>
      <c r="AC83" s="1246"/>
      <c r="AD83" s="1193"/>
      <c r="AE83" s="447"/>
      <c r="AF83" s="448"/>
      <c r="AG83" s="448"/>
      <c r="AH83" s="448"/>
      <c r="AI83" s="1254"/>
      <c r="AJ83" s="1197"/>
      <c r="AK83" s="448"/>
      <c r="AL83" s="447"/>
      <c r="AM83" s="447"/>
      <c r="AN83" s="447"/>
      <c r="AO83" s="1246"/>
      <c r="AP83" s="1193"/>
      <c r="AQ83" s="447"/>
      <c r="AR83" s="448"/>
      <c r="AS83" s="448"/>
      <c r="AT83" s="448"/>
      <c r="AU83" s="1254"/>
      <c r="AV83" s="1197"/>
      <c r="AW83" s="448"/>
      <c r="AX83" s="447"/>
      <c r="AY83" s="447"/>
      <c r="AZ83" s="447"/>
      <c r="BA83" s="1246"/>
      <c r="BB83" s="1193"/>
      <c r="BC83" s="447"/>
      <c r="BD83" s="448"/>
      <c r="BE83" s="448"/>
      <c r="BF83" s="448"/>
      <c r="BG83" s="1254"/>
      <c r="BH83" s="1197"/>
      <c r="BI83" s="448"/>
      <c r="BJ83" s="447"/>
      <c r="BK83" s="447"/>
      <c r="BL83" s="447"/>
      <c r="BM83" s="447"/>
      <c r="BN83" s="1193"/>
      <c r="BO83" s="447"/>
      <c r="BP83" s="448"/>
      <c r="BQ83" s="448"/>
      <c r="BR83" s="448"/>
      <c r="BS83" s="448"/>
      <c r="BT83" s="1197"/>
      <c r="BU83" s="448"/>
      <c r="BV83" s="447"/>
      <c r="BW83" s="447"/>
    </row>
    <row r="84" spans="15:75" ht="14.25">
      <c r="O84" s="447"/>
      <c r="P84" s="447"/>
      <c r="Q84" s="447"/>
      <c r="R84" s="447"/>
      <c r="S84" s="447"/>
      <c r="T84" s="448"/>
      <c r="U84" s="448"/>
      <c r="V84" s="448"/>
      <c r="W84" s="1254"/>
      <c r="X84" s="1197"/>
      <c r="Y84" s="448"/>
      <c r="Z84" s="447"/>
      <c r="AA84" s="447"/>
      <c r="AB84" s="447"/>
      <c r="AC84" s="1246"/>
      <c r="AD84" s="1193"/>
      <c r="AE84" s="447"/>
      <c r="AF84" s="448"/>
      <c r="AG84" s="448"/>
      <c r="AH84" s="448"/>
      <c r="AI84" s="1254"/>
      <c r="AJ84" s="1197"/>
      <c r="AK84" s="448"/>
      <c r="AL84" s="447"/>
      <c r="AM84" s="447"/>
      <c r="AN84" s="447"/>
      <c r="AO84" s="1246"/>
      <c r="AP84" s="1193"/>
      <c r="AQ84" s="447"/>
      <c r="AR84" s="448"/>
      <c r="AS84" s="448"/>
      <c r="AT84" s="448"/>
      <c r="AU84" s="1254"/>
      <c r="AV84" s="1197"/>
      <c r="AW84" s="448"/>
      <c r="AX84" s="447"/>
      <c r="AY84" s="447"/>
      <c r="AZ84" s="447"/>
      <c r="BA84" s="1246"/>
      <c r="BB84" s="1193"/>
      <c r="BC84" s="447"/>
      <c r="BD84" s="448"/>
      <c r="BE84" s="448"/>
      <c r="BF84" s="448"/>
      <c r="BG84" s="1254"/>
      <c r="BH84" s="1197"/>
      <c r="BI84" s="448"/>
      <c r="BJ84" s="447"/>
      <c r="BK84" s="447"/>
      <c r="BL84" s="447"/>
      <c r="BM84" s="447"/>
      <c r="BN84" s="1193"/>
      <c r="BO84" s="447"/>
      <c r="BP84" s="448"/>
      <c r="BQ84" s="448"/>
      <c r="BR84" s="448"/>
      <c r="BS84" s="448"/>
      <c r="BT84" s="1197"/>
      <c r="BU84" s="448"/>
      <c r="BV84" s="447"/>
      <c r="BW84" s="447"/>
    </row>
    <row r="85" spans="15:75" ht="14.25">
      <c r="P85" s="356"/>
      <c r="Q85" s="356"/>
      <c r="R85" s="356"/>
    </row>
    <row r="86" spans="15:75" ht="14.25">
      <c r="P86" s="351"/>
      <c r="Q86" s="351"/>
      <c r="R86" s="351"/>
    </row>
    <row r="87" spans="15:75" ht="14.25">
      <c r="P87" s="351"/>
      <c r="Q87" s="351"/>
      <c r="R87" s="351"/>
    </row>
    <row r="88" spans="15:75" ht="14.25">
      <c r="P88" s="351"/>
      <c r="Q88" s="351"/>
      <c r="R88" s="351"/>
    </row>
    <row r="89" spans="15:75" ht="14.25">
      <c r="P89" s="351"/>
      <c r="Q89" s="351"/>
      <c r="R89" s="351"/>
    </row>
    <row r="90" spans="15:75" ht="14.25">
      <c r="P90" s="351"/>
      <c r="Q90" s="351"/>
      <c r="R90" s="351"/>
    </row>
    <row r="91" spans="15:75" ht="14.25">
      <c r="P91" s="351"/>
      <c r="Q91" s="351"/>
      <c r="R91" s="351"/>
    </row>
    <row r="92" spans="15:75" ht="14.25">
      <c r="P92" s="351"/>
      <c r="Q92" s="351"/>
      <c r="R92" s="351"/>
    </row>
    <row r="93" spans="15:75" ht="14.25">
      <c r="P93" s="351"/>
      <c r="Q93" s="351"/>
      <c r="R93" s="351"/>
    </row>
    <row r="94" spans="15:75" ht="14.25">
      <c r="P94" s="351"/>
      <c r="Q94" s="351"/>
      <c r="R94" s="351"/>
    </row>
    <row r="95" spans="15:75" ht="14.25">
      <c r="P95" s="351"/>
      <c r="Q95" s="351"/>
      <c r="R95" s="351"/>
    </row>
    <row r="96" spans="15:75" ht="14.25">
      <c r="P96" s="351"/>
      <c r="Q96" s="351"/>
      <c r="R96" s="351"/>
    </row>
    <row r="97" spans="16:18" ht="14.25">
      <c r="P97" s="351"/>
      <c r="Q97" s="351"/>
      <c r="R97" s="351"/>
    </row>
    <row r="98" spans="16:18" ht="14.25">
      <c r="P98" s="351"/>
      <c r="Q98" s="351"/>
      <c r="R98" s="351"/>
    </row>
    <row r="99" spans="16:18" ht="14.25">
      <c r="P99" s="351"/>
      <c r="Q99" s="351"/>
      <c r="R99" s="351"/>
    </row>
    <row r="100" spans="16:18" ht="14.25">
      <c r="P100" s="351"/>
      <c r="Q100" s="351"/>
      <c r="R100" s="351"/>
    </row>
    <row r="101" spans="16:18" ht="14.25">
      <c r="P101" s="351"/>
      <c r="Q101" s="351"/>
      <c r="R101" s="351"/>
    </row>
    <row r="102" spans="16:18" ht="14.25">
      <c r="P102" s="351"/>
      <c r="Q102" s="351"/>
      <c r="R102" s="351"/>
    </row>
    <row r="103" spans="16:18" ht="14.25">
      <c r="P103" s="351"/>
      <c r="Q103" s="351"/>
      <c r="R103" s="351"/>
    </row>
    <row r="104" spans="16:18" ht="14.25">
      <c r="P104" s="351"/>
      <c r="Q104" s="351"/>
      <c r="R104" s="351"/>
    </row>
    <row r="105" spans="16:18" ht="14.25">
      <c r="P105" s="351"/>
      <c r="Q105" s="351"/>
      <c r="R105" s="351"/>
    </row>
    <row r="106" spans="16:18" ht="14.25">
      <c r="P106" s="351"/>
      <c r="Q106" s="351"/>
      <c r="R106" s="351"/>
    </row>
    <row r="107" spans="16:18" ht="14.25">
      <c r="P107" s="351"/>
      <c r="Q107" s="351"/>
      <c r="R107" s="351"/>
    </row>
    <row r="108" spans="16:18" ht="14.25">
      <c r="P108" s="351"/>
      <c r="Q108" s="351"/>
      <c r="R108" s="351"/>
    </row>
    <row r="109" spans="16:18" ht="14.25">
      <c r="P109" s="351"/>
      <c r="Q109" s="351"/>
      <c r="R109" s="351"/>
    </row>
    <row r="110" spans="16:18" ht="14.25">
      <c r="P110" s="351"/>
      <c r="Q110" s="351"/>
      <c r="R110" s="351"/>
    </row>
    <row r="111" spans="16:18" ht="14.25">
      <c r="P111" s="351"/>
      <c r="Q111" s="351"/>
      <c r="R111" s="351"/>
    </row>
    <row r="112" spans="16:18" ht="14.25">
      <c r="P112" s="351"/>
      <c r="Q112" s="351"/>
      <c r="R112" s="351"/>
    </row>
    <row r="113" spans="16:18" ht="14.25">
      <c r="P113" s="351"/>
      <c r="Q113" s="351"/>
      <c r="R113" s="351"/>
    </row>
    <row r="114" spans="16:18" ht="14.25">
      <c r="P114" s="351"/>
      <c r="Q114" s="351"/>
      <c r="R114" s="351"/>
    </row>
    <row r="115" spans="16:18" ht="14.25">
      <c r="P115" s="351"/>
      <c r="Q115" s="351"/>
      <c r="R115" s="351"/>
    </row>
    <row r="116" spans="16:18" ht="14.25">
      <c r="P116" s="351"/>
      <c r="Q116" s="351"/>
      <c r="R116" s="351"/>
    </row>
    <row r="117" spans="16:18" ht="14.25">
      <c r="P117" s="351"/>
      <c r="Q117" s="351"/>
      <c r="R117" s="351"/>
    </row>
    <row r="118" spans="16:18" ht="14.25">
      <c r="P118" s="351"/>
      <c r="Q118" s="351"/>
      <c r="R118" s="351"/>
    </row>
    <row r="119" spans="16:18" ht="14.25">
      <c r="P119" s="351"/>
      <c r="Q119" s="351"/>
      <c r="R119" s="351"/>
    </row>
    <row r="120" spans="16:18" ht="14.25">
      <c r="P120" s="351"/>
      <c r="Q120" s="351"/>
      <c r="R120" s="351"/>
    </row>
    <row r="121" spans="16:18" ht="14.25">
      <c r="P121" s="351"/>
      <c r="Q121" s="351"/>
      <c r="R121" s="351"/>
    </row>
    <row r="122" spans="16:18" ht="14.25">
      <c r="P122" s="351"/>
      <c r="Q122" s="351"/>
      <c r="R122" s="351"/>
    </row>
    <row r="123" spans="16:18" ht="14.25">
      <c r="P123" s="351"/>
      <c r="Q123" s="351"/>
      <c r="R123" s="351"/>
    </row>
    <row r="124" spans="16:18" ht="14.25">
      <c r="P124" s="351"/>
      <c r="Q124" s="351"/>
      <c r="R124" s="351"/>
    </row>
    <row r="125" spans="16:18" ht="14.25">
      <c r="P125" s="351"/>
      <c r="Q125" s="351"/>
      <c r="R125" s="351"/>
    </row>
    <row r="126" spans="16:18" ht="14.25">
      <c r="P126" s="351"/>
      <c r="Q126" s="351"/>
      <c r="R126" s="351"/>
    </row>
    <row r="127" spans="16:18" ht="14.25">
      <c r="P127" s="351"/>
      <c r="Q127" s="351"/>
      <c r="R127" s="351"/>
    </row>
    <row r="128" spans="16:18" ht="14.25">
      <c r="P128" s="351"/>
      <c r="Q128" s="351"/>
      <c r="R128" s="351"/>
    </row>
    <row r="129" spans="16:18" ht="14.25">
      <c r="P129" s="351"/>
      <c r="Q129" s="351"/>
      <c r="R129" s="351"/>
    </row>
    <row r="130" spans="16:18" ht="14.25">
      <c r="P130" s="351"/>
      <c r="Q130" s="351"/>
      <c r="R130" s="351"/>
    </row>
    <row r="131" spans="16:18" ht="14.25">
      <c r="P131" s="351"/>
      <c r="Q131" s="351"/>
      <c r="R131" s="351"/>
    </row>
    <row r="132" spans="16:18" ht="14.25">
      <c r="P132" s="351"/>
      <c r="Q132" s="351"/>
      <c r="R132" s="351"/>
    </row>
    <row r="133" spans="16:18" ht="14.25">
      <c r="P133" s="351"/>
      <c r="Q133" s="351"/>
      <c r="R133" s="351"/>
    </row>
    <row r="134" spans="16:18" ht="14.25">
      <c r="P134" s="351"/>
      <c r="Q134" s="351"/>
      <c r="R134" s="351"/>
    </row>
    <row r="135" spans="16:18" ht="14.25">
      <c r="P135" s="351"/>
      <c r="Q135" s="351"/>
      <c r="R135" s="351"/>
    </row>
    <row r="136" spans="16:18" ht="14.25">
      <c r="P136" s="351"/>
      <c r="Q136" s="351"/>
      <c r="R136" s="351"/>
    </row>
    <row r="137" spans="16:18" ht="14.25">
      <c r="P137" s="351"/>
      <c r="Q137" s="351"/>
      <c r="R137" s="351"/>
    </row>
    <row r="138" spans="16:18" ht="14.25">
      <c r="P138" s="351"/>
      <c r="Q138" s="351"/>
      <c r="R138" s="351"/>
    </row>
    <row r="139" spans="16:18" ht="14.25">
      <c r="P139" s="351"/>
      <c r="Q139" s="351"/>
      <c r="R139" s="351"/>
    </row>
    <row r="140" spans="16:18" ht="14.25">
      <c r="P140" s="351"/>
      <c r="Q140" s="351"/>
      <c r="R140" s="351"/>
    </row>
    <row r="141" spans="16:18" ht="14.25">
      <c r="P141" s="351"/>
      <c r="Q141" s="351"/>
      <c r="R141" s="351"/>
    </row>
    <row r="142" spans="16:18" ht="14.25">
      <c r="P142" s="351"/>
      <c r="Q142" s="351"/>
      <c r="R142" s="351"/>
    </row>
    <row r="143" spans="16:18" ht="14.25">
      <c r="P143" s="351"/>
      <c r="Q143" s="351"/>
      <c r="R143" s="351"/>
    </row>
    <row r="144" spans="16:18" ht="14.25">
      <c r="P144" s="351"/>
      <c r="Q144" s="351"/>
      <c r="R144" s="351"/>
    </row>
    <row r="145" spans="16:18" ht="14.25">
      <c r="P145" s="351"/>
      <c r="Q145" s="351"/>
      <c r="R145" s="351"/>
    </row>
    <row r="146" spans="16:18" ht="14.25">
      <c r="P146" s="351"/>
      <c r="Q146" s="351"/>
      <c r="R146" s="351"/>
    </row>
    <row r="147" spans="16:18" ht="14.25">
      <c r="P147" s="351"/>
      <c r="Q147" s="351"/>
      <c r="R147" s="351"/>
    </row>
    <row r="148" spans="16:18" ht="14.25">
      <c r="P148" s="351"/>
      <c r="Q148" s="351"/>
      <c r="R148" s="351"/>
    </row>
    <row r="149" spans="16:18" ht="14.25">
      <c r="P149" s="351"/>
      <c r="Q149" s="351"/>
      <c r="R149" s="351"/>
    </row>
    <row r="150" spans="16:18" ht="14.25">
      <c r="P150" s="351"/>
      <c r="Q150" s="351"/>
      <c r="R150" s="351"/>
    </row>
    <row r="151" spans="16:18" ht="14.25">
      <c r="P151" s="351"/>
      <c r="Q151" s="351"/>
      <c r="R151" s="351"/>
    </row>
    <row r="152" spans="16:18" ht="14.25">
      <c r="P152" s="351"/>
      <c r="Q152" s="351"/>
      <c r="R152" s="351"/>
    </row>
    <row r="153" spans="16:18" ht="14.25">
      <c r="P153" s="351"/>
      <c r="Q153" s="351"/>
      <c r="R153" s="351"/>
    </row>
    <row r="154" spans="16:18" ht="14.25">
      <c r="P154" s="351"/>
      <c r="Q154" s="351"/>
      <c r="R154" s="351"/>
    </row>
    <row r="155" spans="16:18" ht="14.25">
      <c r="P155" s="351"/>
      <c r="Q155" s="351"/>
      <c r="R155" s="351"/>
    </row>
    <row r="156" spans="16:18" ht="14.25">
      <c r="P156" s="351"/>
      <c r="Q156" s="351"/>
      <c r="R156" s="351"/>
    </row>
    <row r="157" spans="16:18" ht="14.25">
      <c r="P157" s="351"/>
      <c r="Q157" s="351"/>
      <c r="R157" s="351"/>
    </row>
    <row r="158" spans="16:18" ht="14.25">
      <c r="P158" s="351"/>
      <c r="Q158" s="351"/>
      <c r="R158" s="351"/>
    </row>
    <row r="159" spans="16:18" ht="14.25">
      <c r="P159" s="351"/>
      <c r="Q159" s="351"/>
      <c r="R159" s="351"/>
    </row>
    <row r="160" spans="16:18" ht="14.25">
      <c r="P160" s="351"/>
      <c r="Q160" s="351"/>
      <c r="R160" s="351"/>
    </row>
    <row r="161" spans="16:18" ht="14.25">
      <c r="P161" s="351"/>
      <c r="Q161" s="351"/>
      <c r="R161" s="351"/>
    </row>
    <row r="162" spans="16:18" ht="14.25">
      <c r="P162" s="351"/>
      <c r="Q162" s="351"/>
      <c r="R162" s="351"/>
    </row>
    <row r="163" spans="16:18" ht="14.25">
      <c r="P163" s="351"/>
      <c r="Q163" s="351"/>
      <c r="R163" s="351"/>
    </row>
    <row r="164" spans="16:18" ht="14.25">
      <c r="P164" s="351"/>
      <c r="Q164" s="351"/>
      <c r="R164" s="351"/>
    </row>
    <row r="165" spans="16:18" ht="14.25">
      <c r="P165" s="351"/>
      <c r="Q165" s="351"/>
      <c r="R165" s="351"/>
    </row>
    <row r="166" spans="16:18" ht="14.25">
      <c r="P166" s="351"/>
      <c r="Q166" s="351"/>
      <c r="R166" s="351"/>
    </row>
    <row r="167" spans="16:18" ht="14.25">
      <c r="P167" s="351"/>
      <c r="Q167" s="351"/>
      <c r="R167" s="351"/>
    </row>
    <row r="168" spans="16:18" ht="14.25">
      <c r="P168" s="351"/>
      <c r="Q168" s="351"/>
      <c r="R168" s="351"/>
    </row>
    <row r="169" spans="16:18" ht="14.25">
      <c r="P169" s="351"/>
      <c r="Q169" s="351"/>
      <c r="R169" s="351"/>
    </row>
    <row r="170" spans="16:18" ht="14.25">
      <c r="P170" s="351"/>
      <c r="Q170" s="351"/>
      <c r="R170" s="351"/>
    </row>
    <row r="171" spans="16:18" ht="14.25">
      <c r="P171" s="351"/>
      <c r="Q171" s="351"/>
      <c r="R171" s="351"/>
    </row>
    <row r="172" spans="16:18" ht="14.25">
      <c r="P172" s="351"/>
      <c r="Q172" s="351"/>
      <c r="R172" s="351"/>
    </row>
    <row r="173" spans="16:18" ht="14.25">
      <c r="P173" s="351"/>
      <c r="Q173" s="351"/>
      <c r="R173" s="351"/>
    </row>
    <row r="174" spans="16:18" ht="14.25">
      <c r="P174" s="351"/>
      <c r="Q174" s="351"/>
      <c r="R174" s="351"/>
    </row>
    <row r="175" spans="16:18" ht="14.25">
      <c r="P175" s="351"/>
      <c r="Q175" s="351"/>
      <c r="R175" s="351"/>
    </row>
    <row r="176" spans="16:18" ht="14.25">
      <c r="P176" s="351"/>
      <c r="Q176" s="351"/>
      <c r="R176" s="351"/>
    </row>
    <row r="177" spans="16:18" ht="14.25">
      <c r="P177" s="351"/>
      <c r="Q177" s="351"/>
      <c r="R177" s="351"/>
    </row>
    <row r="178" spans="16:18" ht="14.25">
      <c r="P178" s="351"/>
      <c r="Q178" s="351"/>
      <c r="R178" s="351"/>
    </row>
    <row r="179" spans="16:18" ht="14.25">
      <c r="P179" s="351"/>
      <c r="Q179" s="351"/>
      <c r="R179" s="351"/>
    </row>
    <row r="180" spans="16:18" ht="14.25">
      <c r="P180" s="351"/>
      <c r="Q180" s="351"/>
      <c r="R180" s="351"/>
    </row>
    <row r="181" spans="16:18" ht="14.25">
      <c r="P181" s="351"/>
      <c r="Q181" s="351"/>
      <c r="R181" s="351"/>
    </row>
    <row r="182" spans="16:18" ht="14.25">
      <c r="P182" s="351"/>
      <c r="Q182" s="351"/>
      <c r="R182" s="351"/>
    </row>
    <row r="183" spans="16:18" ht="14.25">
      <c r="P183" s="351"/>
      <c r="Q183" s="351"/>
      <c r="R183" s="351"/>
    </row>
    <row r="184" spans="16:18" ht="14.25">
      <c r="P184" s="351"/>
      <c r="Q184" s="351"/>
      <c r="R184" s="351"/>
    </row>
    <row r="185" spans="16:18" ht="14.25">
      <c r="P185" s="351"/>
      <c r="Q185" s="351"/>
      <c r="R185" s="351"/>
    </row>
    <row r="186" spans="16:18" ht="14.25">
      <c r="P186" s="351"/>
      <c r="Q186" s="351"/>
      <c r="R186" s="351"/>
    </row>
    <row r="187" spans="16:18" ht="14.25">
      <c r="P187" s="351"/>
      <c r="Q187" s="351"/>
      <c r="R187" s="351"/>
    </row>
    <row r="188" spans="16:18" ht="14.25">
      <c r="P188" s="351"/>
      <c r="Q188" s="351"/>
      <c r="R188" s="351"/>
    </row>
    <row r="189" spans="16:18" ht="14.25">
      <c r="P189" s="351"/>
      <c r="Q189" s="351"/>
      <c r="R189" s="351"/>
    </row>
    <row r="190" spans="16:18" ht="14.25">
      <c r="P190" s="351"/>
      <c r="Q190" s="351"/>
      <c r="R190" s="351"/>
    </row>
    <row r="191" spans="16:18" ht="14.25">
      <c r="P191" s="351"/>
      <c r="Q191" s="351"/>
      <c r="R191" s="351"/>
    </row>
    <row r="192" spans="16:18" ht="14.25">
      <c r="P192" s="351"/>
      <c r="Q192" s="351"/>
      <c r="R192" s="351"/>
    </row>
    <row r="193" spans="16:18" ht="14.25">
      <c r="P193" s="351"/>
      <c r="Q193" s="351"/>
      <c r="R193" s="351"/>
    </row>
    <row r="194" spans="16:18" ht="14.25">
      <c r="P194" s="351"/>
      <c r="Q194" s="351"/>
      <c r="R194" s="351"/>
    </row>
    <row r="195" spans="16:18" ht="14.25">
      <c r="P195" s="351"/>
      <c r="Q195" s="351"/>
      <c r="R195" s="351"/>
    </row>
    <row r="196" spans="16:18" ht="14.25">
      <c r="P196" s="351"/>
      <c r="Q196" s="351"/>
      <c r="R196" s="351"/>
    </row>
    <row r="197" spans="16:18" ht="14.25">
      <c r="P197" s="351"/>
      <c r="Q197" s="351"/>
      <c r="R197" s="351"/>
    </row>
    <row r="198" spans="16:18" ht="14.25">
      <c r="P198" s="351"/>
      <c r="Q198" s="351"/>
      <c r="R198" s="351"/>
    </row>
    <row r="199" spans="16:18" ht="14.25">
      <c r="P199" s="351"/>
      <c r="Q199" s="351"/>
      <c r="R199" s="351"/>
    </row>
    <row r="200" spans="16:18" ht="14.25">
      <c r="P200" s="351"/>
      <c r="Q200" s="351"/>
      <c r="R200" s="351"/>
    </row>
    <row r="201" spans="16:18" ht="14.25">
      <c r="P201" s="351"/>
      <c r="Q201" s="351"/>
      <c r="R201" s="351"/>
    </row>
    <row r="202" spans="16:18" ht="14.25">
      <c r="P202" s="351"/>
      <c r="Q202" s="351"/>
      <c r="R202" s="351"/>
    </row>
    <row r="203" spans="16:18" ht="14.25">
      <c r="P203" s="351"/>
      <c r="Q203" s="351"/>
      <c r="R203" s="351"/>
    </row>
    <row r="204" spans="16:18" ht="14.25">
      <c r="P204" s="351"/>
      <c r="Q204" s="351"/>
      <c r="R204" s="351"/>
    </row>
    <row r="205" spans="16:18" ht="14.25">
      <c r="P205" s="351"/>
      <c r="Q205" s="351"/>
      <c r="R205" s="351"/>
    </row>
  </sheetData>
  <mergeCells count="209">
    <mergeCell ref="AC35:AC36"/>
    <mergeCell ref="AG35:AG36"/>
    <mergeCell ref="A28:A31"/>
    <mergeCell ref="B28:B31"/>
    <mergeCell ref="A32:A34"/>
    <mergeCell ref="P53:P56"/>
    <mergeCell ref="Q53:Q56"/>
    <mergeCell ref="R53:R56"/>
    <mergeCell ref="K53:K56"/>
    <mergeCell ref="M53:M56"/>
    <mergeCell ref="O53:O56"/>
    <mergeCell ref="H53:H56"/>
    <mergeCell ref="N53:N56"/>
    <mergeCell ref="K50:K51"/>
    <mergeCell ref="M50:M51"/>
    <mergeCell ref="K46:K47"/>
    <mergeCell ref="M46:M47"/>
    <mergeCell ref="B32:B34"/>
    <mergeCell ref="A35:A36"/>
    <mergeCell ref="B35:B36"/>
    <mergeCell ref="K35:K36"/>
    <mergeCell ref="M35:M36"/>
    <mergeCell ref="W35:W36"/>
    <mergeCell ref="AA35:AA36"/>
    <mergeCell ref="A5:A8"/>
    <mergeCell ref="B5:B8"/>
    <mergeCell ref="T2:X2"/>
    <mergeCell ref="Z2:AD2"/>
    <mergeCell ref="AF2:AJ2"/>
    <mergeCell ref="AL2:AP2"/>
    <mergeCell ref="AR2:AV2"/>
    <mergeCell ref="A23:A27"/>
    <mergeCell ref="B23:B27"/>
    <mergeCell ref="K20:K21"/>
    <mergeCell ref="M20:M21"/>
    <mergeCell ref="A20:A21"/>
    <mergeCell ref="B20:B21"/>
    <mergeCell ref="I20:I21"/>
    <mergeCell ref="U20:U21"/>
    <mergeCell ref="A9:A11"/>
    <mergeCell ref="B9:B11"/>
    <mergeCell ref="A12:A14"/>
    <mergeCell ref="B12:B14"/>
    <mergeCell ref="A17:A19"/>
    <mergeCell ref="B17:B19"/>
    <mergeCell ref="K17:K19"/>
    <mergeCell ref="M17:M19"/>
    <mergeCell ref="J2:R2"/>
    <mergeCell ref="BS17:BS19"/>
    <mergeCell ref="BG17:BG19"/>
    <mergeCell ref="BK17:BK19"/>
    <mergeCell ref="BM17:BM19"/>
    <mergeCell ref="BQ17:BQ19"/>
    <mergeCell ref="I17:I19"/>
    <mergeCell ref="U17:U19"/>
    <mergeCell ref="BJ2:BN2"/>
    <mergeCell ref="BP2:BT2"/>
    <mergeCell ref="AX2:BB2"/>
    <mergeCell ref="BD2:BH2"/>
    <mergeCell ref="BV2:BZ2"/>
    <mergeCell ref="W17:W19"/>
    <mergeCell ref="AA17:AA19"/>
    <mergeCell ref="AC17:AC19"/>
    <mergeCell ref="AG17:AG19"/>
    <mergeCell ref="BW17:BW19"/>
    <mergeCell ref="BY17:BY19"/>
    <mergeCell ref="W20:W21"/>
    <mergeCell ref="AA20:AA21"/>
    <mergeCell ref="AC20:AC21"/>
    <mergeCell ref="BA17:BA19"/>
    <mergeCell ref="BE17:BE19"/>
    <mergeCell ref="AI17:AI19"/>
    <mergeCell ref="AM17:AM19"/>
    <mergeCell ref="AO17:AO19"/>
    <mergeCell ref="AS17:AS19"/>
    <mergeCell ref="AU17:AU19"/>
    <mergeCell ref="AY17:AY19"/>
    <mergeCell ref="BQ20:BQ21"/>
    <mergeCell ref="BS20:BS21"/>
    <mergeCell ref="BW20:BW21"/>
    <mergeCell ref="BY20:BY21"/>
    <mergeCell ref="AY20:AY21"/>
    <mergeCell ref="BA20:BA21"/>
    <mergeCell ref="BE20:BE21"/>
    <mergeCell ref="BG20:BG21"/>
    <mergeCell ref="BK20:BK21"/>
    <mergeCell ref="BM20:BM21"/>
    <mergeCell ref="AG20:AG21"/>
    <mergeCell ref="AI20:AI21"/>
    <mergeCell ref="AM20:AM21"/>
    <mergeCell ref="AO20:AO21"/>
    <mergeCell ref="AS20:AS21"/>
    <mergeCell ref="AU20:AU21"/>
    <mergeCell ref="BS35:BS36"/>
    <mergeCell ref="BW35:BW36"/>
    <mergeCell ref="BY35:BY36"/>
    <mergeCell ref="A38:A39"/>
    <mergeCell ref="B38:B39"/>
    <mergeCell ref="I38:I39"/>
    <mergeCell ref="U38:U39"/>
    <mergeCell ref="W38:W39"/>
    <mergeCell ref="AA38:AA39"/>
    <mergeCell ref="AC38:AC39"/>
    <mergeCell ref="BA35:BA36"/>
    <mergeCell ref="BE35:BE36"/>
    <mergeCell ref="BG35:BG36"/>
    <mergeCell ref="BK35:BK36"/>
    <mergeCell ref="BM35:BM36"/>
    <mergeCell ref="BQ35:BQ36"/>
    <mergeCell ref="AI35:AI36"/>
    <mergeCell ref="AM35:AM36"/>
    <mergeCell ref="AO35:AO36"/>
    <mergeCell ref="AS35:AS36"/>
    <mergeCell ref="AU35:AU36"/>
    <mergeCell ref="AY35:AY36"/>
    <mergeCell ref="I35:I36"/>
    <mergeCell ref="U35:U36"/>
    <mergeCell ref="BY38:BY39"/>
    <mergeCell ref="A40:A42"/>
    <mergeCell ref="B40:B42"/>
    <mergeCell ref="AY38:AY39"/>
    <mergeCell ref="BA38:BA39"/>
    <mergeCell ref="BE38:BE39"/>
    <mergeCell ref="BG38:BG39"/>
    <mergeCell ref="BK38:BK39"/>
    <mergeCell ref="BM38:BM39"/>
    <mergeCell ref="AG38:AG39"/>
    <mergeCell ref="AI38:AI39"/>
    <mergeCell ref="AM38:AM39"/>
    <mergeCell ref="AO38:AO39"/>
    <mergeCell ref="AS38:AS39"/>
    <mergeCell ref="AU38:AU39"/>
    <mergeCell ref="K38:K39"/>
    <mergeCell ref="M38:M39"/>
    <mergeCell ref="A43:A45"/>
    <mergeCell ref="B43:B45"/>
    <mergeCell ref="A46:A47"/>
    <mergeCell ref="B46:B47"/>
    <mergeCell ref="I46:I47"/>
    <mergeCell ref="U46:U47"/>
    <mergeCell ref="BQ38:BQ39"/>
    <mergeCell ref="BS38:BS39"/>
    <mergeCell ref="BW38:BW39"/>
    <mergeCell ref="AY46:AY47"/>
    <mergeCell ref="BA46:BA47"/>
    <mergeCell ref="BE46:BE47"/>
    <mergeCell ref="W46:W47"/>
    <mergeCell ref="AA46:AA47"/>
    <mergeCell ref="AC46:AC47"/>
    <mergeCell ref="AG46:AG47"/>
    <mergeCell ref="AI46:AI47"/>
    <mergeCell ref="AM46:AM47"/>
    <mergeCell ref="AU50:AU51"/>
    <mergeCell ref="AY50:AY51"/>
    <mergeCell ref="BA50:BA51"/>
    <mergeCell ref="G54:G56"/>
    <mergeCell ref="BA53:BA56"/>
    <mergeCell ref="BY46:BY47"/>
    <mergeCell ref="A50:A51"/>
    <mergeCell ref="B50:B51"/>
    <mergeCell ref="I50:I51"/>
    <mergeCell ref="U50:U51"/>
    <mergeCell ref="W50:W51"/>
    <mergeCell ref="AA50:AA51"/>
    <mergeCell ref="AC50:AC51"/>
    <mergeCell ref="AG50:AG51"/>
    <mergeCell ref="AI50:AI51"/>
    <mergeCell ref="BG46:BG47"/>
    <mergeCell ref="BK46:BK47"/>
    <mergeCell ref="BM46:BM47"/>
    <mergeCell ref="BQ46:BQ47"/>
    <mergeCell ref="BS46:BS47"/>
    <mergeCell ref="BW46:BW47"/>
    <mergeCell ref="AO46:AO47"/>
    <mergeCell ref="AS46:AS47"/>
    <mergeCell ref="AU46:AU47"/>
    <mergeCell ref="BM53:BM56"/>
    <mergeCell ref="BQ53:BQ56"/>
    <mergeCell ref="BS53:BS56"/>
    <mergeCell ref="BW53:BW56"/>
    <mergeCell ref="BY53:BY56"/>
    <mergeCell ref="BW50:BW51"/>
    <mergeCell ref="BY50:BY51"/>
    <mergeCell ref="A53:A56"/>
    <mergeCell ref="B53:B56"/>
    <mergeCell ref="I53:I56"/>
    <mergeCell ref="U53:U56"/>
    <mergeCell ref="W53:W56"/>
    <mergeCell ref="AA53:AA56"/>
    <mergeCell ref="AC53:AC56"/>
    <mergeCell ref="AG53:AG56"/>
    <mergeCell ref="BE50:BE51"/>
    <mergeCell ref="BG50:BG51"/>
    <mergeCell ref="BK50:BK51"/>
    <mergeCell ref="BM50:BM51"/>
    <mergeCell ref="BQ50:BQ51"/>
    <mergeCell ref="BS50:BS51"/>
    <mergeCell ref="AM50:AM51"/>
    <mergeCell ref="AO50:AO51"/>
    <mergeCell ref="AS50:AS51"/>
    <mergeCell ref="BE53:BE56"/>
    <mergeCell ref="BG53:BG56"/>
    <mergeCell ref="AI53:AI56"/>
    <mergeCell ref="AM53:AM56"/>
    <mergeCell ref="AO53:AO56"/>
    <mergeCell ref="AS53:AS56"/>
    <mergeCell ref="AU53:AU56"/>
    <mergeCell ref="AY53:AY56"/>
    <mergeCell ref="BK53:BK56"/>
  </mergeCells>
  <phoneticPr fontId="3" type="noConversion"/>
  <conditionalFormatting sqref="BZ4:BZ56 AJ4:AJ56 AV4:AV56 BB4:BB56 BH4:BH56 AP4:AP56 AD4:AD56 X4:X56 BN4:BN56 BT4:BT56">
    <cfRule type="cellIs" dxfId="170" priority="418" operator="lessThan">
      <formula>-0.3</formula>
    </cfRule>
    <cfRule type="cellIs" dxfId="169" priority="419" operator="greaterThan">
      <formula>0.3</formula>
    </cfRule>
  </conditionalFormatting>
  <conditionalFormatting sqref="U5 AA5 AG5 AM5 AS5 AY5 BE5 BW5 BK5 AC5 U9 U12 U15:U16 W5 BG5 BM5 BQ5">
    <cfRule type="cellIs" dxfId="168" priority="417" operator="notEqual">
      <formula>$I$5</formula>
    </cfRule>
  </conditionalFormatting>
  <conditionalFormatting sqref="U9 AA9 AG9 AM9 AS9 AY9 BE9 BK9 BQ9 BW9 U12 U15:U16 AI9 BM9">
    <cfRule type="cellIs" dxfId="167" priority="406" operator="notEqual">
      <formula>$I$9</formula>
    </cfRule>
  </conditionalFormatting>
  <conditionalFormatting sqref="U12 AA12 AG12 AM12 AS12 AY12 BE12 BK12 BQ12 BW12 U15:U16">
    <cfRule type="cellIs" dxfId="166" priority="396" operator="notEqual">
      <formula>$I$12</formula>
    </cfRule>
  </conditionalFormatting>
  <conditionalFormatting sqref="BW20:BW21 AA20:AA21 AG20:AG21 AM20:AM21 AS20:AS21 AY20:AY21 BE20:BE21 BK20:BK21 BQ20:BQ21 U20">
    <cfRule type="cellIs" dxfId="165" priority="386" operator="notEqual">
      <formula>$I$20</formula>
    </cfRule>
  </conditionalFormatting>
  <conditionalFormatting sqref="AA22 AG22 AM22 AS22 AY22 BE22 BK22 BQ22 BW22 U22 W22 AC22 AI22 AO22 AU22 BA22 BG22 BM22 BS22 BY22">
    <cfRule type="cellIs" dxfId="164" priority="376" operator="notEqual">
      <formula>$I$22</formula>
    </cfRule>
  </conditionalFormatting>
  <conditionalFormatting sqref="U23 AA23 AG23 AM23 AS23 AY23 BE23 BK23 BQ23 BW23 W23 AC23 AI23 AO23 AU23 BA23 BG23 BM23 BS23 BY23">
    <cfRule type="cellIs" dxfId="163" priority="365" operator="notEqual">
      <formula>$I$23</formula>
    </cfRule>
  </conditionalFormatting>
  <conditionalFormatting sqref="U28 AA28 AG28 AM28 AS28 AY28 BE28 BK28 BQ28 BW28 W28 AC28 AI28 AO28 AU28 BA28 BG28 BM28 BS28 BY28">
    <cfRule type="cellIs" dxfId="162" priority="355" operator="notEqual">
      <formula>$I$28</formula>
    </cfRule>
  </conditionalFormatting>
  <conditionalFormatting sqref="U32 AA32 AG32 AS32 AY32 BE32 BQ32 BW32 W32 AC32 AO32 AU32 BA32 BG32 BM32 BS32 BY32 AI32 BK32 AM32">
    <cfRule type="cellIs" dxfId="161" priority="345" operator="notEqual">
      <formula>$I$32</formula>
    </cfRule>
  </conditionalFormatting>
  <conditionalFormatting sqref="U35:U36 AA35:AA36 AG35:AG36 AM35:AM36 AS35:AS36 AY35:AY36 BE35:BE36 BK35:BK36 BQ35:BQ36 BW35:BW36">
    <cfRule type="cellIs" dxfId="160" priority="335" operator="notEqual">
      <formula>$I$35</formula>
    </cfRule>
  </conditionalFormatting>
  <conditionalFormatting sqref="U38:U39 AA38:AA39 AG38:AG39 AM38:AM39 AS38:AS39 AY38:AY39 BE38:BE39 BK38:BK39 BQ38:BQ39 BW38:BW39 W38:W39 AC38:AC39 AI38:AI39 AO38:AO39 AU38:AU39 BA38:BA39 BG38:BG39 BM38:BM39 BS38:BS39 BY38:BY39">
    <cfRule type="cellIs" dxfId="159" priority="325" operator="notEqual">
      <formula>$I$38</formula>
    </cfRule>
  </conditionalFormatting>
  <conditionalFormatting sqref="U40 AA40 AG40 AM40 AS40 AY40 BE40 BK40 BQ40 BW40 W40 AC40 AI40 AO40 AU40 BA40 BG40 BM40 BS40 BY40">
    <cfRule type="cellIs" dxfId="158" priority="315" operator="notEqual">
      <formula>$I$40</formula>
    </cfRule>
  </conditionalFormatting>
  <conditionalFormatting sqref="U43 AA43 AG43 AM43 AS43 AY43 BE43 BK43 BQ43 BW43 W43 AC43 AI43 AO43 AU43 BA43 BG43 BM43 BS43 BY43">
    <cfRule type="cellIs" dxfId="157" priority="305" operator="notEqual">
      <formula>$I$43</formula>
    </cfRule>
  </conditionalFormatting>
  <conditionalFormatting sqref="U46:U47 AA46:AA47 AG46:AG47 AM46:AM47 AS46:AS47 AY46:AY47 BE46:BE47 BK46:BK47 BQ46:BQ47 BW46:BW47">
    <cfRule type="cellIs" dxfId="156" priority="295" operator="notEqual">
      <formula>$I$46</formula>
    </cfRule>
  </conditionalFormatting>
  <conditionalFormatting sqref="U48 AA48 AG48 AM48 AS48 AY48 BE48 BK48 BQ48 BW48">
    <cfRule type="cellIs" dxfId="155" priority="285" operator="notEqual">
      <formula>$I$48</formula>
    </cfRule>
  </conditionalFormatting>
  <conditionalFormatting sqref="U50:U51 AA50:AA51 AG50:AG51 AM50:AM51 AS50:AS51 AY50:AY51 BE50:BE51 BK50:BK51 BQ50:BQ51 BW50:BW51">
    <cfRule type="cellIs" dxfId="154" priority="275" operator="notEqual">
      <formula>$I$50</formula>
    </cfRule>
  </conditionalFormatting>
  <conditionalFormatting sqref="BZ4:BZ55 X4:X55 AD4:AD55 AP4:AP55 BH4:BH55 BB4:BB55 AV4:AV55 AJ4:AJ55 BN4:BN55 BT4:BT55">
    <cfRule type="cellIs" dxfId="153" priority="264" stopIfTrue="1" operator="lessThanOrEqual">
      <formula>-0.3</formula>
    </cfRule>
    <cfRule type="cellIs" dxfId="152" priority="265" stopIfTrue="1" operator="greaterThanOrEqual">
      <formula>0.3</formula>
    </cfRule>
  </conditionalFormatting>
  <conditionalFormatting sqref="W4 AC4 AI4 AO4 AU4 BA4 BG4 BM4 BS4 BY4">
    <cfRule type="cellIs" dxfId="151" priority="125" operator="notEqual">
      <formula>$I$4</formula>
    </cfRule>
  </conditionalFormatting>
  <conditionalFormatting sqref="W37 AC37 AI37 AO37 AU37 BA37 BG37 BM37 BS37 BY37">
    <cfRule type="cellIs" dxfId="150" priority="120" operator="notEqual">
      <formula>$I$37</formula>
    </cfRule>
  </conditionalFormatting>
  <conditionalFormatting sqref="W46:W47 AC46:AC47 AI46:AI47 AO46:AO47 AU46:AU47 BA46:BA47 BG46:BG47 BM46:BM47 BS46:BS47 BY46:BY47">
    <cfRule type="cellIs" dxfId="149" priority="88" operator="notEqual">
      <formula>6</formula>
    </cfRule>
  </conditionalFormatting>
  <conditionalFormatting sqref="W48 AC48 AI48 AO48 AU48 BA48 BG48 BM48 BS48 BY48">
    <cfRule type="cellIs" dxfId="148" priority="78" operator="notEqual">
      <formula>5</formula>
    </cfRule>
  </conditionalFormatting>
  <conditionalFormatting sqref="W49 AC49 AI49 AO49 AU49 BA49 BG49 BM49 BS49 BY49">
    <cfRule type="cellIs" dxfId="147" priority="68" operator="notEqual">
      <formula>"不扣分"</formula>
    </cfRule>
  </conditionalFormatting>
  <conditionalFormatting sqref="W50:W51 AC50:AC51 AI50:AI51 AO50:AO51 AU50:AU51 BA50:BA51 BG50:BG51 BM50:BM51 BS50:BS51 BY50:BY51">
    <cfRule type="cellIs" dxfId="146" priority="58" operator="notEqual">
      <formula>3</formula>
    </cfRule>
  </conditionalFormatting>
  <conditionalFormatting sqref="W52 AC52 AI52 AO52 AU52 BA52 BG52 BM52 BS52 BY52">
    <cfRule type="cellIs" dxfId="145" priority="47" operator="notEqual">
      <formula>$I$52</formula>
    </cfRule>
  </conditionalFormatting>
  <conditionalFormatting sqref="O4:R48 P50:P53">
    <cfRule type="expression" dxfId="144" priority="36">
      <formula>$O4&lt;&gt;0</formula>
    </cfRule>
  </conditionalFormatting>
  <conditionalFormatting sqref="O50:R53">
    <cfRule type="expression" dxfId="143" priority="35">
      <formula>$O50&lt;&gt;0</formula>
    </cfRule>
  </conditionalFormatting>
  <conditionalFormatting sqref="U4">
    <cfRule type="expression" dxfId="142" priority="33">
      <formula>$U4&lt;&gt;$I4</formula>
    </cfRule>
  </conditionalFormatting>
  <conditionalFormatting sqref="U5">
    <cfRule type="expression" dxfId="141" priority="32">
      <formula>$U5&lt;&gt;$I5</formula>
    </cfRule>
  </conditionalFormatting>
  <conditionalFormatting sqref="U9">
    <cfRule type="expression" dxfId="140" priority="30">
      <formula>$U9&lt;&gt;$I9</formula>
    </cfRule>
  </conditionalFormatting>
  <conditionalFormatting sqref="U12">
    <cfRule type="expression" dxfId="139" priority="27">
      <formula>$U12&lt;&gt;$I12</formula>
    </cfRule>
  </conditionalFormatting>
  <conditionalFormatting sqref="U15:U16">
    <cfRule type="expression" dxfId="138" priority="23">
      <formula>$U15&lt;&gt;$I15</formula>
    </cfRule>
  </conditionalFormatting>
  <conditionalFormatting sqref="U17:U19">
    <cfRule type="expression" dxfId="137" priority="22">
      <formula>$U17&lt;&gt;$I17</formula>
    </cfRule>
  </conditionalFormatting>
  <conditionalFormatting sqref="AG17:AG19">
    <cfRule type="expression" dxfId="136" priority="15" stopIfTrue="1">
      <formula>AG$17&lt;&gt;I$17</formula>
    </cfRule>
  </conditionalFormatting>
  <conditionalFormatting sqref="P50:R53 P65:R65 P5:R48 P60:R61">
    <cfRule type="expression" dxfId="135" priority="8">
      <formula>$I5&gt;$M5</formula>
    </cfRule>
  </conditionalFormatting>
  <conditionalFormatting sqref="P4:R4 R50:R53 P50:P53 R65 R5:R48 P5:P48 R60:R61">
    <cfRule type="expression" dxfId="134" priority="6">
      <formula>$I4&gt;$M4</formula>
    </cfRule>
  </conditionalFormatting>
  <conditionalFormatting sqref="Q50:Q53 Q65 Q5:Q48 Q60:Q61">
    <cfRule type="expression" dxfId="133" priority="5">
      <formula>$I5&gt;$M5</formula>
    </cfRule>
  </conditionalFormatting>
  <conditionalFormatting sqref="R50:R53 R65 R5:R48 R60:R61">
    <cfRule type="expression" dxfId="132" priority="4">
      <formula>$I5&gt;$M5</formula>
    </cfRule>
  </conditionalFormatting>
  <conditionalFormatting sqref="N4:N56">
    <cfRule type="cellIs" dxfId="131" priority="2" operator="lessThan">
      <formula>0</formula>
    </cfRule>
    <cfRule type="cellIs" dxfId="130" priority="3" operator="greaterThan">
      <formula>0</formula>
    </cfRule>
  </conditionalFormatting>
  <dataValidations disablePrompts="1" count="1">
    <dataValidation type="list" allowBlank="1" showInputMessage="1" showErrorMessage="1" sqref="A37:B37 A15:B16 A52:B52">
      <formula1>#REF!</formula1>
    </dataValidation>
  </dataValidations>
  <hyperlinks>
    <hyperlink ref="D69" location="权重!A1" display="权重!A1"/>
    <hyperlink ref="D70" location="目录!A1" display="目录!A1"/>
  </hyperlink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6"/>
  </sheetPr>
  <dimension ref="A1:AA176"/>
  <sheetViews>
    <sheetView workbookViewId="0">
      <pane xSplit="8" ySplit="3" topLeftCell="J4" activePane="bottomRight" state="frozenSplit"/>
      <selection activeCell="C1" sqref="C1"/>
      <selection pane="topRight" activeCell="M1" sqref="M1"/>
      <selection pane="bottomLeft" activeCell="C15" sqref="C15"/>
      <selection pane="bottomRight" activeCell="K14" sqref="K14"/>
    </sheetView>
  </sheetViews>
  <sheetFormatPr defaultColWidth="8.875" defaultRowHeight="16.5" outlineLevelCol="2"/>
  <cols>
    <col min="1" max="1" width="23.25" style="366" hidden="1" customWidth="1" outlineLevel="1"/>
    <col min="2" max="2" width="27.75" style="366" hidden="1" customWidth="1" outlineLevel="1"/>
    <col min="3" max="3" width="5" style="518" customWidth="1" collapsed="1"/>
    <col min="4" max="4" width="35.875" style="366" customWidth="1"/>
    <col min="5" max="5" width="13.125" style="356" hidden="1" customWidth="1" outlineLevel="1"/>
    <col min="6" max="6" width="12.25" style="443" hidden="1" customWidth="1" outlineLevel="2"/>
    <col min="7" max="7" width="10.75" style="514" hidden="1" customWidth="1" outlineLevel="1"/>
    <col min="8" max="8" width="6.5" style="353" customWidth="1" collapsed="1"/>
    <col min="9" max="9" width="17.5" style="356" hidden="1" customWidth="1" outlineLevel="2"/>
    <col min="10" max="10" width="15" style="441" customWidth="1" outlineLevel="1" collapsed="1"/>
    <col min="11" max="11" width="13.875" style="441" customWidth="1" outlineLevel="1"/>
    <col min="12" max="12" width="7.125" style="353" customWidth="1" outlineLevel="1"/>
    <col min="13" max="13" width="7" style="353" customWidth="1" outlineLevel="1"/>
    <col min="14" max="14" width="6.5" style="353" customWidth="1" outlineLevel="1"/>
    <col min="15" max="16" width="6.25" style="353" customWidth="1" outlineLevel="1"/>
    <col min="17" max="17" width="8.125" style="634" bestFit="1" customWidth="1"/>
    <col min="18" max="18" width="11.125" style="540" customWidth="1"/>
    <col min="19" max="19" width="10.75" style="353" customWidth="1"/>
    <col min="20" max="20" width="10.125" style="353" customWidth="1"/>
    <col min="21" max="21" width="9.625" style="353" bestFit="1" customWidth="1"/>
    <col min="22" max="22" width="8.5" style="353" customWidth="1"/>
    <col min="23" max="23" width="11.375" style="353" customWidth="1"/>
    <col min="24" max="24" width="12.625" style="723" customWidth="1"/>
    <col min="25" max="27" width="8.875" style="514"/>
    <col min="28" max="16384" width="8.875" style="353"/>
  </cols>
  <sheetData>
    <row r="1" spans="1:25">
      <c r="A1" s="843"/>
      <c r="B1" s="843"/>
      <c r="C1" s="840" t="s">
        <v>0</v>
      </c>
      <c r="D1" s="843"/>
      <c r="F1" s="843"/>
      <c r="J1" s="680"/>
      <c r="K1" s="680"/>
    </row>
    <row r="2" spans="1:25" ht="16.5" customHeight="1">
      <c r="A2" s="509"/>
      <c r="B2" s="509"/>
      <c r="C2" s="510"/>
      <c r="D2" s="844"/>
      <c r="F2" s="509"/>
      <c r="J2" s="680"/>
      <c r="K2" s="680"/>
      <c r="N2" s="846"/>
      <c r="S2" s="346" t="s">
        <v>1637</v>
      </c>
    </row>
    <row r="3" spans="1:25" ht="15.75" customHeight="1">
      <c r="A3" s="513" t="s">
        <v>392</v>
      </c>
      <c r="B3" s="513" t="s">
        <v>413</v>
      </c>
      <c r="C3" s="512" t="s">
        <v>183</v>
      </c>
      <c r="D3" s="513" t="s">
        <v>182</v>
      </c>
      <c r="E3" s="513" t="s">
        <v>1504</v>
      </c>
      <c r="F3" s="513" t="s">
        <v>1505</v>
      </c>
      <c r="G3" s="845" t="s">
        <v>1507</v>
      </c>
      <c r="H3" s="513" t="s">
        <v>485</v>
      </c>
      <c r="I3" s="513" t="s">
        <v>1506</v>
      </c>
      <c r="J3" s="586" t="s">
        <v>2443</v>
      </c>
      <c r="K3" s="587" t="s">
        <v>2442</v>
      </c>
      <c r="L3" s="513" t="s">
        <v>1398</v>
      </c>
      <c r="M3" s="513" t="s">
        <v>1399</v>
      </c>
      <c r="N3" s="513" t="s">
        <v>1400</v>
      </c>
      <c r="O3" s="513" t="s">
        <v>1401</v>
      </c>
      <c r="P3" s="513" t="s">
        <v>2035</v>
      </c>
      <c r="Q3" s="559" t="s">
        <v>1096</v>
      </c>
      <c r="R3" s="587" t="s">
        <v>2434</v>
      </c>
      <c r="S3" s="586" t="s">
        <v>2178</v>
      </c>
      <c r="T3" s="513" t="s">
        <v>1097</v>
      </c>
      <c r="U3" s="513" t="s">
        <v>462</v>
      </c>
      <c r="V3" s="515" t="s">
        <v>1582</v>
      </c>
      <c r="W3" s="515" t="s">
        <v>1583</v>
      </c>
      <c r="X3" s="1214" t="s">
        <v>2382</v>
      </c>
    </row>
    <row r="4" spans="1:25">
      <c r="A4" s="1692" t="s">
        <v>1077</v>
      </c>
      <c r="B4" s="1692" t="s">
        <v>467</v>
      </c>
      <c r="C4" s="842">
        <v>1</v>
      </c>
      <c r="D4" s="1323" t="s">
        <v>2475</v>
      </c>
      <c r="E4" s="516"/>
      <c r="F4" s="517" t="s">
        <v>395</v>
      </c>
      <c r="G4" s="342" t="s">
        <v>1512</v>
      </c>
      <c r="H4" s="651">
        <v>9</v>
      </c>
      <c r="I4" s="523"/>
      <c r="J4" s="22">
        <v>0.25042531473290236</v>
      </c>
      <c r="K4" s="22">
        <f t="shared" ref="K4:P4" si="0">IF(SUM(K6:K7)=0,"",K5*2/SUM(K6:K7))</f>
        <v>0.21124755294536393</v>
      </c>
      <c r="L4" s="1084">
        <f t="shared" si="0"/>
        <v>0.21495502248875561</v>
      </c>
      <c r="M4" s="1084">
        <f t="shared" si="0"/>
        <v>0.10256410256410256</v>
      </c>
      <c r="N4" s="22">
        <f t="shared" si="0"/>
        <v>0.22413793103448276</v>
      </c>
      <c r="O4" s="22">
        <f t="shared" si="0"/>
        <v>3.8461538461538464E-2</v>
      </c>
      <c r="P4" s="22">
        <f t="shared" si="0"/>
        <v>8.4848484848484854E-2</v>
      </c>
      <c r="Q4" s="629">
        <f t="shared" ref="Q4:Q23" si="1">IF(AND(J4=0,K4&lt;&gt;0),1,IF(AND(J4=0,K4=0),0,K4/J4-1))</f>
        <v>-0.15644489387714056</v>
      </c>
      <c r="R4" s="1287" t="str">
        <f>G4</f>
        <v>行业排序评分</v>
      </c>
      <c r="S4" s="342" t="str">
        <f>G4</f>
        <v>行业排序评分</v>
      </c>
      <c r="T4" s="342" t="str">
        <f>"行业排序评分"</f>
        <v>行业排序评分</v>
      </c>
      <c r="U4" s="1364">
        <f>9</f>
        <v>9</v>
      </c>
      <c r="V4" s="1364">
        <f>U4*0.3</f>
        <v>2.6999999999999997</v>
      </c>
      <c r="W4" s="1389">
        <f>V4/9</f>
        <v>0.3</v>
      </c>
      <c r="X4" s="1389">
        <f>W4/2</f>
        <v>0.15</v>
      </c>
    </row>
    <row r="5" spans="1:25">
      <c r="A5" s="1693"/>
      <c r="B5" s="1693"/>
      <c r="C5" s="841">
        <v>1.1000000000000001</v>
      </c>
      <c r="D5" s="850" t="s">
        <v>2395</v>
      </c>
      <c r="E5" s="516" t="s">
        <v>449</v>
      </c>
      <c r="F5" s="517"/>
      <c r="G5" s="851"/>
      <c r="H5" s="852"/>
      <c r="I5" s="523" t="s">
        <v>635</v>
      </c>
      <c r="J5" s="839">
        <v>1472</v>
      </c>
      <c r="K5" s="839">
        <v>1187</v>
      </c>
      <c r="L5" s="603">
        <v>1147</v>
      </c>
      <c r="M5" s="603">
        <v>6</v>
      </c>
      <c r="N5" s="650">
        <v>26</v>
      </c>
      <c r="O5" s="650">
        <v>1</v>
      </c>
      <c r="P5" s="650">
        <v>7</v>
      </c>
      <c r="Q5" s="629">
        <f t="shared" si="1"/>
        <v>-0.19361413043478259</v>
      </c>
      <c r="R5" s="236"/>
      <c r="S5" s="852"/>
      <c r="T5" s="390">
        <f t="shared" ref="T5:T10" si="2">R5-S5</f>
        <v>0</v>
      </c>
      <c r="U5" s="1364">
        <f t="shared" ref="U5:U10" si="3">H5-R5</f>
        <v>0</v>
      </c>
      <c r="V5" s="1364">
        <f t="shared" ref="V5:V36" si="4">U5*0.3</f>
        <v>0</v>
      </c>
      <c r="W5" s="1389">
        <f t="shared" ref="W5:W41" si="5">V5/9</f>
        <v>0</v>
      </c>
      <c r="X5" s="1389">
        <f t="shared" ref="X5:X41" si="6">W5/2</f>
        <v>0</v>
      </c>
    </row>
    <row r="6" spans="1:25">
      <c r="A6" s="1693"/>
      <c r="B6" s="1693"/>
      <c r="C6" s="841">
        <v>1.2</v>
      </c>
      <c r="D6" s="850" t="s">
        <v>2396</v>
      </c>
      <c r="E6" s="516" t="s">
        <v>449</v>
      </c>
      <c r="F6" s="517"/>
      <c r="G6" s="851"/>
      <c r="H6" s="852"/>
      <c r="I6" s="523" t="s">
        <v>635</v>
      </c>
      <c r="J6" s="839">
        <v>5996</v>
      </c>
      <c r="K6" s="1412">
        <v>5760</v>
      </c>
      <c r="L6" s="603">
        <v>5476</v>
      </c>
      <c r="M6" s="603">
        <v>58</v>
      </c>
      <c r="N6" s="650">
        <v>118</v>
      </c>
      <c r="O6" s="650">
        <v>27</v>
      </c>
      <c r="P6" s="650">
        <v>81</v>
      </c>
      <c r="Q6" s="629">
        <f t="shared" si="1"/>
        <v>-3.9359573048699081E-2</v>
      </c>
      <c r="R6" s="236"/>
      <c r="S6" s="852"/>
      <c r="T6" s="390">
        <f t="shared" si="2"/>
        <v>0</v>
      </c>
      <c r="U6" s="1364">
        <f t="shared" si="3"/>
        <v>0</v>
      </c>
      <c r="V6" s="1364">
        <f t="shared" si="4"/>
        <v>0</v>
      </c>
      <c r="W6" s="1389">
        <f t="shared" si="5"/>
        <v>0</v>
      </c>
      <c r="X6" s="1389">
        <f t="shared" si="6"/>
        <v>0</v>
      </c>
    </row>
    <row r="7" spans="1:25">
      <c r="A7" s="1694"/>
      <c r="B7" s="1694"/>
      <c r="C7" s="841">
        <v>1.3</v>
      </c>
      <c r="D7" s="850" t="s">
        <v>188</v>
      </c>
      <c r="E7" s="516" t="s">
        <v>449</v>
      </c>
      <c r="F7" s="517"/>
      <c r="G7" s="851"/>
      <c r="H7" s="852"/>
      <c r="I7" s="523" t="s">
        <v>635</v>
      </c>
      <c r="J7" s="839">
        <v>5760</v>
      </c>
      <c r="K7" s="839">
        <v>5478</v>
      </c>
      <c r="L7" s="603">
        <v>5196</v>
      </c>
      <c r="M7" s="603">
        <v>59</v>
      </c>
      <c r="N7" s="650">
        <v>114</v>
      </c>
      <c r="O7" s="650">
        <v>25</v>
      </c>
      <c r="P7" s="650">
        <v>84</v>
      </c>
      <c r="Q7" s="629">
        <f t="shared" si="1"/>
        <v>-4.8958333333333326E-2</v>
      </c>
      <c r="R7" s="236"/>
      <c r="S7" s="852"/>
      <c r="T7" s="390">
        <f t="shared" si="2"/>
        <v>0</v>
      </c>
      <c r="U7" s="1364">
        <f t="shared" si="3"/>
        <v>0</v>
      </c>
      <c r="V7" s="1364">
        <f t="shared" si="4"/>
        <v>0</v>
      </c>
      <c r="W7" s="1389">
        <f t="shared" si="5"/>
        <v>0</v>
      </c>
      <c r="X7" s="1389">
        <f t="shared" si="6"/>
        <v>0</v>
      </c>
    </row>
    <row r="8" spans="1:25" s="356" customFormat="1" ht="14.25">
      <c r="A8" s="1692" t="s">
        <v>2390</v>
      </c>
      <c r="B8" s="1692" t="s">
        <v>2391</v>
      </c>
      <c r="C8" s="842">
        <v>2</v>
      </c>
      <c r="D8" s="1334" t="s">
        <v>2392</v>
      </c>
      <c r="E8" s="516"/>
      <c r="F8" s="517" t="s">
        <v>397</v>
      </c>
      <c r="G8" s="523" t="s">
        <v>1513</v>
      </c>
      <c r="H8" s="651">
        <v>6</v>
      </c>
      <c r="I8" s="523"/>
      <c r="J8" s="22">
        <v>0.88888888888888884</v>
      </c>
      <c r="K8" s="22">
        <f>IF(K9=0,"",K10/K9)</f>
        <v>0.88888888888888884</v>
      </c>
      <c r="L8" s="603"/>
      <c r="M8" s="22">
        <f>IF(M9=0,"",M10/M9)</f>
        <v>1</v>
      </c>
      <c r="N8" s="650"/>
      <c r="O8" s="650"/>
      <c r="P8" s="650"/>
      <c r="Q8" s="629">
        <f t="shared" si="1"/>
        <v>0</v>
      </c>
      <c r="R8" s="1337" t="str">
        <f>IF(K8=1,6,"行业水平得分")</f>
        <v>行业水平得分</v>
      </c>
      <c r="S8" s="649" t="str">
        <f>IF(J8=1,6,"行业水平得分")</f>
        <v>行业水平得分</v>
      </c>
      <c r="T8" s="1287">
        <v>6</v>
      </c>
      <c r="U8" s="1364">
        <v>6</v>
      </c>
      <c r="V8" s="1364">
        <f t="shared" si="4"/>
        <v>1.7999999999999998</v>
      </c>
      <c r="W8" s="1389">
        <f t="shared" si="5"/>
        <v>0.19999999999999998</v>
      </c>
      <c r="X8" s="1389">
        <f t="shared" si="6"/>
        <v>9.9999999999999992E-2</v>
      </c>
      <c r="Y8" s="356">
        <f>X8/2</f>
        <v>4.9999999999999996E-2</v>
      </c>
    </row>
    <row r="9" spans="1:25" s="356" customFormat="1" ht="15.6" customHeight="1">
      <c r="A9" s="1693"/>
      <c r="B9" s="1693"/>
      <c r="C9" s="841">
        <v>2.1</v>
      </c>
      <c r="D9" s="1335" t="s">
        <v>1461</v>
      </c>
      <c r="E9" s="516" t="s">
        <v>202</v>
      </c>
      <c r="F9" s="517"/>
      <c r="G9" s="523"/>
      <c r="H9" s="361"/>
      <c r="I9" s="523" t="s">
        <v>216</v>
      </c>
      <c r="J9" s="839">
        <v>9</v>
      </c>
      <c r="K9" s="839">
        <v>9</v>
      </c>
      <c r="L9" s="603"/>
      <c r="M9" s="603">
        <v>2</v>
      </c>
      <c r="N9" s="650"/>
      <c r="O9" s="650"/>
      <c r="P9" s="650"/>
      <c r="Q9" s="629">
        <f t="shared" si="1"/>
        <v>0</v>
      </c>
      <c r="R9" s="1287"/>
      <c r="S9" s="361"/>
      <c r="T9" s="390">
        <f t="shared" si="2"/>
        <v>0</v>
      </c>
      <c r="U9" s="1364">
        <f t="shared" si="3"/>
        <v>0</v>
      </c>
      <c r="V9" s="1364">
        <f t="shared" si="4"/>
        <v>0</v>
      </c>
      <c r="W9" s="1389">
        <f t="shared" si="5"/>
        <v>0</v>
      </c>
      <c r="X9" s="1389">
        <f t="shared" si="6"/>
        <v>0</v>
      </c>
    </row>
    <row r="10" spans="1:25" s="356" customFormat="1" ht="15.6" customHeight="1">
      <c r="A10" s="1694"/>
      <c r="B10" s="1694"/>
      <c r="C10" s="841">
        <v>2.2000000000000002</v>
      </c>
      <c r="D10" s="847" t="s">
        <v>2157</v>
      </c>
      <c r="E10" s="516" t="s">
        <v>202</v>
      </c>
      <c r="F10" s="517"/>
      <c r="G10" s="523"/>
      <c r="H10" s="361"/>
      <c r="I10" s="523" t="s">
        <v>216</v>
      </c>
      <c r="J10" s="839">
        <v>8</v>
      </c>
      <c r="K10" s="839">
        <v>8</v>
      </c>
      <c r="L10" s="603"/>
      <c r="M10" s="603">
        <v>2</v>
      </c>
      <c r="N10" s="650"/>
      <c r="O10" s="650"/>
      <c r="P10" s="650"/>
      <c r="Q10" s="629">
        <f t="shared" si="1"/>
        <v>0</v>
      </c>
      <c r="R10" s="1287"/>
      <c r="S10" s="361"/>
      <c r="T10" s="390">
        <f t="shared" si="2"/>
        <v>0</v>
      </c>
      <c r="U10" s="1364">
        <f t="shared" si="3"/>
        <v>0</v>
      </c>
      <c r="V10" s="1364">
        <f t="shared" si="4"/>
        <v>0</v>
      </c>
      <c r="W10" s="1389">
        <f t="shared" si="5"/>
        <v>0</v>
      </c>
      <c r="X10" s="1389">
        <f t="shared" si="6"/>
        <v>0</v>
      </c>
    </row>
    <row r="11" spans="1:25" s="356" customFormat="1" ht="15.6" customHeight="1">
      <c r="A11" s="1692" t="s">
        <v>2394</v>
      </c>
      <c r="B11" s="1692" t="s">
        <v>463</v>
      </c>
      <c r="C11" s="842">
        <v>3</v>
      </c>
      <c r="D11" s="1342" t="s">
        <v>2476</v>
      </c>
      <c r="E11" s="516"/>
      <c r="F11" s="517" t="s">
        <v>397</v>
      </c>
      <c r="G11" s="523" t="s">
        <v>1511</v>
      </c>
      <c r="H11" s="651">
        <v>7</v>
      </c>
      <c r="I11" s="523"/>
      <c r="J11" s="22">
        <v>0.74878472222222225</v>
      </c>
      <c r="K11" s="22">
        <f t="shared" ref="K11:P11" si="7">IF(K12=0,"",K13/K12)</f>
        <v>0.72216137276378245</v>
      </c>
      <c r="L11" s="22">
        <f t="shared" si="7"/>
        <v>0.71497305619707463</v>
      </c>
      <c r="M11" s="22">
        <f t="shared" si="7"/>
        <v>0.9152542372881356</v>
      </c>
      <c r="N11" s="22">
        <f t="shared" si="7"/>
        <v>0.74561403508771928</v>
      </c>
      <c r="O11" s="22">
        <f t="shared" si="7"/>
        <v>0.96</v>
      </c>
      <c r="P11" s="22">
        <f t="shared" si="7"/>
        <v>0.9285714285714286</v>
      </c>
      <c r="Q11" s="629">
        <f t="shared" si="1"/>
        <v>-3.555541221437819E-2</v>
      </c>
      <c r="R11" s="1287" t="str">
        <f>G11</f>
        <v>行业排序评分</v>
      </c>
      <c r="S11" s="342" t="str">
        <f>G11</f>
        <v>行业排序评分</v>
      </c>
      <c r="T11" s="342" t="str">
        <f>"行业排序评分"</f>
        <v>行业排序评分</v>
      </c>
      <c r="U11" s="1364">
        <f>7</f>
        <v>7</v>
      </c>
      <c r="V11" s="1364">
        <f t="shared" si="4"/>
        <v>2.1</v>
      </c>
      <c r="W11" s="1389">
        <f t="shared" si="5"/>
        <v>0.23333333333333334</v>
      </c>
      <c r="X11" s="1389">
        <f t="shared" si="6"/>
        <v>0.11666666666666667</v>
      </c>
    </row>
    <row r="12" spans="1:25" s="356" customFormat="1" ht="15.6" customHeight="1">
      <c r="A12" s="1693"/>
      <c r="B12" s="1693"/>
      <c r="C12" s="841">
        <v>3.1</v>
      </c>
      <c r="D12" s="850" t="s">
        <v>2397</v>
      </c>
      <c r="E12" s="516" t="s">
        <v>449</v>
      </c>
      <c r="F12" s="517"/>
      <c r="G12" s="523"/>
      <c r="H12" s="361"/>
      <c r="I12" s="523" t="s">
        <v>635</v>
      </c>
      <c r="J12" s="839">
        <v>5760</v>
      </c>
      <c r="K12" s="839">
        <v>5478</v>
      </c>
      <c r="L12" s="1483">
        <v>5196</v>
      </c>
      <c r="M12" s="1483">
        <v>59</v>
      </c>
      <c r="N12" s="1483">
        <v>114</v>
      </c>
      <c r="O12" s="1483">
        <v>25</v>
      </c>
      <c r="P12" s="1483">
        <v>84</v>
      </c>
      <c r="Q12" s="629">
        <f t="shared" si="1"/>
        <v>-4.8958333333333326E-2</v>
      </c>
      <c r="R12" s="1287"/>
      <c r="S12" s="361"/>
      <c r="T12" s="390">
        <f>R12-S12</f>
        <v>0</v>
      </c>
      <c r="U12" s="1364">
        <f>H12-R12</f>
        <v>0</v>
      </c>
      <c r="V12" s="1364">
        <f t="shared" si="4"/>
        <v>0</v>
      </c>
      <c r="W12" s="1389">
        <f t="shared" si="5"/>
        <v>0</v>
      </c>
      <c r="X12" s="1389">
        <f t="shared" si="6"/>
        <v>0</v>
      </c>
    </row>
    <row r="13" spans="1:25" s="356" customFormat="1" ht="15.6" customHeight="1">
      <c r="A13" s="1694"/>
      <c r="B13" s="1694"/>
      <c r="C13" s="841">
        <v>3.2</v>
      </c>
      <c r="D13" s="850" t="s">
        <v>2393</v>
      </c>
      <c r="E13" s="516" t="s">
        <v>449</v>
      </c>
      <c r="F13" s="517"/>
      <c r="G13" s="523"/>
      <c r="H13" s="361"/>
      <c r="I13" s="523" t="s">
        <v>635</v>
      </c>
      <c r="J13" s="839">
        <v>4313</v>
      </c>
      <c r="K13" s="839">
        <v>3956</v>
      </c>
      <c r="L13" s="650">
        <v>3715</v>
      </c>
      <c r="M13" s="650">
        <v>54</v>
      </c>
      <c r="N13" s="650">
        <v>85</v>
      </c>
      <c r="O13" s="650">
        <v>24</v>
      </c>
      <c r="P13" s="650">
        <v>78</v>
      </c>
      <c r="Q13" s="629">
        <f t="shared" si="1"/>
        <v>-8.277301182471597E-2</v>
      </c>
      <c r="R13" s="1287"/>
      <c r="S13" s="361"/>
      <c r="T13" s="390">
        <f>R13-S13</f>
        <v>0</v>
      </c>
      <c r="U13" s="1364">
        <f>H13-R13</f>
        <v>0</v>
      </c>
      <c r="V13" s="1364">
        <f t="shared" si="4"/>
        <v>0</v>
      </c>
      <c r="W13" s="1389">
        <f t="shared" si="5"/>
        <v>0</v>
      </c>
      <c r="X13" s="1389">
        <f t="shared" si="6"/>
        <v>0</v>
      </c>
    </row>
    <row r="14" spans="1:25" s="356" customFormat="1" ht="14.25">
      <c r="A14" s="1692" t="s">
        <v>468</v>
      </c>
      <c r="B14" s="1692" t="s">
        <v>432</v>
      </c>
      <c r="C14" s="842">
        <v>4</v>
      </c>
      <c r="D14" s="1323" t="s">
        <v>1680</v>
      </c>
      <c r="E14" s="516" t="s">
        <v>449</v>
      </c>
      <c r="F14" s="517" t="s">
        <v>394</v>
      </c>
      <c r="G14" s="1722" t="s">
        <v>1513</v>
      </c>
      <c r="H14" s="1685">
        <v>8</v>
      </c>
      <c r="I14" s="523" t="s">
        <v>636</v>
      </c>
      <c r="J14" s="1410">
        <v>4</v>
      </c>
      <c r="K14" s="1410">
        <v>39</v>
      </c>
      <c r="L14" s="649">
        <v>39</v>
      </c>
      <c r="M14" s="650">
        <v>0</v>
      </c>
      <c r="N14" s="650">
        <v>0</v>
      </c>
      <c r="O14" s="1404"/>
      <c r="P14" s="650">
        <v>0</v>
      </c>
      <c r="Q14" s="1378">
        <f t="shared" si="1"/>
        <v>8.75</v>
      </c>
      <c r="R14" s="1675" t="str">
        <f>IF(K14=0,8,"行业水平得分")</f>
        <v>行业水平得分</v>
      </c>
      <c r="S14" s="1675" t="str">
        <f>IF(J14=0,8,"行业水平得分")</f>
        <v>行业水平得分</v>
      </c>
      <c r="T14" s="1675" t="s">
        <v>2353</v>
      </c>
      <c r="U14" s="1675">
        <v>8</v>
      </c>
      <c r="V14" s="1675">
        <f t="shared" si="4"/>
        <v>2.4</v>
      </c>
      <c r="W14" s="1745">
        <f t="shared" si="5"/>
        <v>0.26666666666666666</v>
      </c>
      <c r="X14" s="1745">
        <f>W14/2</f>
        <v>0.13333333333333333</v>
      </c>
    </row>
    <row r="15" spans="1:25" s="356" customFormat="1" ht="14.25">
      <c r="A15" s="1694"/>
      <c r="B15" s="1694"/>
      <c r="C15" s="379">
        <v>5</v>
      </c>
      <c r="D15" s="1323" t="s">
        <v>2385</v>
      </c>
      <c r="E15" s="516" t="s">
        <v>954</v>
      </c>
      <c r="F15" s="517" t="s">
        <v>394</v>
      </c>
      <c r="G15" s="1724"/>
      <c r="H15" s="1685"/>
      <c r="I15" s="523" t="s">
        <v>641</v>
      </c>
      <c r="J15" s="816">
        <v>1040229766.4400001</v>
      </c>
      <c r="K15" s="816">
        <v>888724746.47000003</v>
      </c>
      <c r="L15" s="523"/>
      <c r="M15" s="523"/>
      <c r="N15" s="523"/>
      <c r="O15" s="523"/>
      <c r="P15" s="523"/>
      <c r="Q15" s="1378">
        <f t="shared" si="1"/>
        <v>-0.14564572641340456</v>
      </c>
      <c r="R15" s="1675"/>
      <c r="S15" s="1675"/>
      <c r="T15" s="1675"/>
      <c r="U15" s="1675"/>
      <c r="V15" s="1675"/>
      <c r="W15" s="1745"/>
      <c r="X15" s="1745"/>
    </row>
    <row r="16" spans="1:25" s="356" customFormat="1" ht="14.25">
      <c r="A16" s="1692" t="s">
        <v>1695</v>
      </c>
      <c r="B16" s="1692" t="s">
        <v>2408</v>
      </c>
      <c r="C16" s="842">
        <v>6</v>
      </c>
      <c r="D16" s="416" t="s">
        <v>1682</v>
      </c>
      <c r="E16" s="516"/>
      <c r="F16" s="517" t="s">
        <v>395</v>
      </c>
      <c r="G16" s="523" t="s">
        <v>1509</v>
      </c>
      <c r="H16" s="651">
        <v>7</v>
      </c>
      <c r="I16" s="523"/>
      <c r="J16" s="1411">
        <v>0.98805316342276872</v>
      </c>
      <c r="K16" s="1411">
        <f t="shared" ref="K16:P16" si="8">IF(K18=0,"",K17/K18)</f>
        <v>0.98866098876177999</v>
      </c>
      <c r="L16" s="22">
        <f t="shared" si="8"/>
        <v>0.99211169284467715</v>
      </c>
      <c r="M16" s="22">
        <f t="shared" si="8"/>
        <v>0.967741935483871</v>
      </c>
      <c r="N16" s="22">
        <f t="shared" si="8"/>
        <v>0.99224305106658051</v>
      </c>
      <c r="O16" s="22">
        <f t="shared" si="8"/>
        <v>0.97289745739033251</v>
      </c>
      <c r="P16" s="22">
        <f t="shared" si="8"/>
        <v>0.9944598337950139</v>
      </c>
      <c r="Q16" s="629">
        <f t="shared" si="1"/>
        <v>6.1517473098882114E-4</v>
      </c>
      <c r="R16" s="1336">
        <f>70*K16-63</f>
        <v>6.2062692133246031</v>
      </c>
      <c r="S16" s="1336">
        <f>70*J16-63</f>
        <v>6.1637214395938145</v>
      </c>
      <c r="T16" s="390">
        <f>R16-S16</f>
        <v>4.2547773730788663E-2</v>
      </c>
      <c r="U16" s="1389">
        <f>H16-R16</f>
        <v>0.79373078667539687</v>
      </c>
      <c r="V16" s="1389">
        <f t="shared" si="4"/>
        <v>0.23811923600261906</v>
      </c>
      <c r="W16" s="1389">
        <f t="shared" si="5"/>
        <v>2.6457692889179894E-2</v>
      </c>
      <c r="X16" s="1389">
        <f t="shared" si="6"/>
        <v>1.3228846444589947E-2</v>
      </c>
    </row>
    <row r="17" spans="1:24" s="356" customFormat="1" ht="15.6" customHeight="1">
      <c r="A17" s="1693"/>
      <c r="B17" s="1693"/>
      <c r="C17" s="841">
        <v>6.1</v>
      </c>
      <c r="D17" s="850" t="s">
        <v>2145</v>
      </c>
      <c r="E17" s="516" t="s">
        <v>202</v>
      </c>
      <c r="F17" s="517"/>
      <c r="G17" s="523"/>
      <c r="H17" s="523"/>
      <c r="I17" s="523" t="s">
        <v>217</v>
      </c>
      <c r="J17" s="923">
        <v>19849</v>
      </c>
      <c r="K17" s="923">
        <v>19618</v>
      </c>
      <c r="L17" s="650">
        <v>14212</v>
      </c>
      <c r="M17" s="650">
        <v>30</v>
      </c>
      <c r="N17" s="650">
        <v>1535</v>
      </c>
      <c r="O17" s="650">
        <v>3482</v>
      </c>
      <c r="P17" s="650">
        <v>359</v>
      </c>
      <c r="Q17" s="629">
        <f t="shared" si="1"/>
        <v>-1.1637865887450194E-2</v>
      </c>
      <c r="R17" s="679"/>
      <c r="S17" s="398"/>
      <c r="T17" s="390">
        <f>R17-S17</f>
        <v>0</v>
      </c>
      <c r="U17" s="1389">
        <f>H17-R17</f>
        <v>0</v>
      </c>
      <c r="V17" s="1389">
        <f t="shared" si="4"/>
        <v>0</v>
      </c>
      <c r="W17" s="1389">
        <f t="shared" si="5"/>
        <v>0</v>
      </c>
      <c r="X17" s="1389">
        <f t="shared" si="6"/>
        <v>0</v>
      </c>
    </row>
    <row r="18" spans="1:24" s="356" customFormat="1" ht="15.6" customHeight="1">
      <c r="A18" s="1694"/>
      <c r="B18" s="1694"/>
      <c r="C18" s="841">
        <v>6.2</v>
      </c>
      <c r="D18" s="850" t="s">
        <v>2146</v>
      </c>
      <c r="E18" s="516" t="s">
        <v>202</v>
      </c>
      <c r="F18" s="517"/>
      <c r="G18" s="523"/>
      <c r="H18" s="523"/>
      <c r="I18" s="523" t="s">
        <v>217</v>
      </c>
      <c r="J18" s="923">
        <v>20089</v>
      </c>
      <c r="K18" s="923">
        <v>19843</v>
      </c>
      <c r="L18" s="650">
        <v>14325</v>
      </c>
      <c r="M18" s="650">
        <v>31</v>
      </c>
      <c r="N18" s="650">
        <v>1547</v>
      </c>
      <c r="O18" s="650">
        <v>3579</v>
      </c>
      <c r="P18" s="650">
        <v>361</v>
      </c>
      <c r="Q18" s="629">
        <f t="shared" si="1"/>
        <v>-1.2245507491662089E-2</v>
      </c>
      <c r="R18" s="1287"/>
      <c r="S18" s="361"/>
      <c r="T18" s="390">
        <f>R18-S18</f>
        <v>0</v>
      </c>
      <c r="U18" s="1389">
        <f>H18-R18</f>
        <v>0</v>
      </c>
      <c r="V18" s="1389">
        <f t="shared" si="4"/>
        <v>0</v>
      </c>
      <c r="W18" s="1389">
        <f t="shared" si="5"/>
        <v>0</v>
      </c>
      <c r="X18" s="1389">
        <f t="shared" si="6"/>
        <v>0</v>
      </c>
    </row>
    <row r="19" spans="1:24" s="367" customFormat="1" ht="14.25">
      <c r="A19" s="1692" t="s">
        <v>2465</v>
      </c>
      <c r="B19" s="1692" t="s">
        <v>464</v>
      </c>
      <c r="C19" s="853">
        <v>7</v>
      </c>
      <c r="D19" s="1323" t="s">
        <v>1683</v>
      </c>
      <c r="E19" s="854"/>
      <c r="F19" s="517" t="s">
        <v>395</v>
      </c>
      <c r="G19" s="361" t="s">
        <v>1511</v>
      </c>
      <c r="H19" s="651">
        <v>7</v>
      </c>
      <c r="I19" s="361"/>
      <c r="J19" s="1411">
        <v>8.6975620470019759E-3</v>
      </c>
      <c r="K19" s="1411">
        <f t="shared" ref="K19:P19" si="9">IF(K21=0,"",K20/K21)</f>
        <v>1.0564892490050676E-2</v>
      </c>
      <c r="L19" s="22">
        <f t="shared" si="9"/>
        <v>5.5307549480504087E-3</v>
      </c>
      <c r="M19" s="22">
        <f t="shared" si="9"/>
        <v>0</v>
      </c>
      <c r="N19" s="22">
        <f t="shared" si="9"/>
        <v>5.9358923624851602E-2</v>
      </c>
      <c r="O19" s="22">
        <f t="shared" si="9"/>
        <v>1.1785040854808297E-2</v>
      </c>
      <c r="P19" s="22">
        <f t="shared" si="9"/>
        <v>6.2015503875968991E-3</v>
      </c>
      <c r="Q19" s="22">
        <f t="shared" si="1"/>
        <v>0.21469584614143278</v>
      </c>
      <c r="R19" s="1287" t="str">
        <f>G19</f>
        <v>行业排序评分</v>
      </c>
      <c r="S19" s="342" t="str">
        <f>G19</f>
        <v>行业排序评分</v>
      </c>
      <c r="T19" s="342" t="str">
        <f>"行业排序评分"</f>
        <v>行业排序评分</v>
      </c>
      <c r="U19" s="1389">
        <v>7</v>
      </c>
      <c r="V19" s="1389">
        <f t="shared" si="4"/>
        <v>2.1</v>
      </c>
      <c r="W19" s="1389">
        <f t="shared" si="5"/>
        <v>0.23333333333333334</v>
      </c>
      <c r="X19" s="1389">
        <f t="shared" si="6"/>
        <v>0.11666666666666667</v>
      </c>
    </row>
    <row r="20" spans="1:24" s="356" customFormat="1" ht="15" customHeight="1">
      <c r="A20" s="1693"/>
      <c r="B20" s="1693"/>
      <c r="C20" s="841">
        <v>7.1</v>
      </c>
      <c r="D20" s="850" t="s">
        <v>1684</v>
      </c>
      <c r="E20" s="516" t="s">
        <v>202</v>
      </c>
      <c r="F20" s="517"/>
      <c r="G20" s="523"/>
      <c r="H20" s="361"/>
      <c r="I20" s="523"/>
      <c r="J20" s="1408">
        <v>198</v>
      </c>
      <c r="K20" s="1408">
        <v>369</v>
      </c>
      <c r="L20" s="650">
        <v>140</v>
      </c>
      <c r="M20" s="650">
        <v>0</v>
      </c>
      <c r="N20" s="1487">
        <v>150</v>
      </c>
      <c r="O20" s="650">
        <v>75</v>
      </c>
      <c r="P20" s="650">
        <v>4</v>
      </c>
      <c r="Q20" s="629">
        <f t="shared" si="1"/>
        <v>0.86363636363636354</v>
      </c>
      <c r="R20" s="1287"/>
      <c r="S20" s="361"/>
      <c r="T20" s="390">
        <f t="shared" ref="T20:T31" si="10">R20-S20</f>
        <v>0</v>
      </c>
      <c r="U20" s="1389">
        <f>H20-R20</f>
        <v>0</v>
      </c>
      <c r="V20" s="1389">
        <f t="shared" si="4"/>
        <v>0</v>
      </c>
      <c r="W20" s="1389">
        <f t="shared" si="5"/>
        <v>0</v>
      </c>
      <c r="X20" s="1389">
        <f t="shared" si="6"/>
        <v>0</v>
      </c>
    </row>
    <row r="21" spans="1:24" s="356" customFormat="1" ht="15.6" customHeight="1">
      <c r="A21" s="1694"/>
      <c r="B21" s="1694"/>
      <c r="C21" s="841">
        <v>7.2</v>
      </c>
      <c r="D21" s="850" t="s">
        <v>1685</v>
      </c>
      <c r="E21" s="516" t="s">
        <v>202</v>
      </c>
      <c r="F21" s="517"/>
      <c r="G21" s="523"/>
      <c r="H21" s="361"/>
      <c r="I21" s="523"/>
      <c r="J21" s="1408">
        <v>22765</v>
      </c>
      <c r="K21" s="1408">
        <v>34927</v>
      </c>
      <c r="L21" s="650">
        <v>25313</v>
      </c>
      <c r="M21" s="650">
        <v>78</v>
      </c>
      <c r="N21" s="650">
        <v>2527</v>
      </c>
      <c r="O21" s="650">
        <v>6364</v>
      </c>
      <c r="P21" s="650">
        <v>645</v>
      </c>
      <c r="Q21" s="629">
        <f t="shared" si="1"/>
        <v>0.53424115967493968</v>
      </c>
      <c r="R21" s="1287"/>
      <c r="S21" s="361"/>
      <c r="T21" s="390">
        <f t="shared" si="10"/>
        <v>0</v>
      </c>
      <c r="U21" s="1389">
        <f>H21-R21</f>
        <v>0</v>
      </c>
      <c r="V21" s="1389">
        <f t="shared" si="4"/>
        <v>0</v>
      </c>
      <c r="W21" s="1389">
        <f t="shared" si="5"/>
        <v>0</v>
      </c>
      <c r="X21" s="1389">
        <f t="shared" si="6"/>
        <v>0</v>
      </c>
    </row>
    <row r="22" spans="1:24" s="356" customFormat="1" ht="15.6" customHeight="1">
      <c r="A22" s="551" t="s">
        <v>2110</v>
      </c>
      <c r="B22" s="551" t="s">
        <v>232</v>
      </c>
      <c r="C22" s="842">
        <v>8</v>
      </c>
      <c r="D22" s="576" t="s">
        <v>1798</v>
      </c>
      <c r="E22" s="854" t="s">
        <v>451</v>
      </c>
      <c r="F22" s="517" t="s">
        <v>446</v>
      </c>
      <c r="G22" s="523" t="s">
        <v>1509</v>
      </c>
      <c r="H22" s="651">
        <v>4</v>
      </c>
      <c r="I22" s="549"/>
      <c r="J22" s="1406">
        <v>3</v>
      </c>
      <c r="K22" s="1406">
        <v>3</v>
      </c>
      <c r="L22" s="650">
        <v>3</v>
      </c>
      <c r="M22" s="650">
        <v>0</v>
      </c>
      <c r="N22" s="650">
        <v>0</v>
      </c>
      <c r="O22" s="650">
        <v>0</v>
      </c>
      <c r="P22" s="650"/>
      <c r="Q22" s="629">
        <f t="shared" si="1"/>
        <v>0</v>
      </c>
      <c r="R22" s="1337">
        <f>$H$22-0.5*K22</f>
        <v>2.5</v>
      </c>
      <c r="S22" s="1337">
        <f>$H$22-0.5*J22</f>
        <v>2.5</v>
      </c>
      <c r="T22" s="383">
        <f t="shared" si="10"/>
        <v>0</v>
      </c>
      <c r="U22" s="1389">
        <f>H22-R22</f>
        <v>1.5</v>
      </c>
      <c r="V22" s="1389">
        <f t="shared" si="4"/>
        <v>0.44999999999999996</v>
      </c>
      <c r="W22" s="1389">
        <f t="shared" si="5"/>
        <v>4.9999999999999996E-2</v>
      </c>
      <c r="X22" s="1389">
        <f t="shared" si="6"/>
        <v>2.4999999999999998E-2</v>
      </c>
    </row>
    <row r="23" spans="1:24" s="356" customFormat="1" ht="15.6" customHeight="1">
      <c r="A23" s="551" t="s">
        <v>1976</v>
      </c>
      <c r="B23" s="551" t="s">
        <v>2000</v>
      </c>
      <c r="C23" s="842">
        <v>9</v>
      </c>
      <c r="D23" s="416" t="s">
        <v>1799</v>
      </c>
      <c r="E23" s="854" t="s">
        <v>451</v>
      </c>
      <c r="F23" s="517" t="s">
        <v>446</v>
      </c>
      <c r="G23" s="523" t="s">
        <v>1510</v>
      </c>
      <c r="H23" s="651">
        <v>4</v>
      </c>
      <c r="I23" s="549"/>
      <c r="J23" s="923">
        <v>3</v>
      </c>
      <c r="K23" s="1494">
        <v>2</v>
      </c>
      <c r="L23" s="649">
        <v>2</v>
      </c>
      <c r="M23" s="650">
        <v>0</v>
      </c>
      <c r="N23" s="650">
        <v>0</v>
      </c>
      <c r="O23" s="650">
        <v>0</v>
      </c>
      <c r="P23" s="650"/>
      <c r="Q23" s="629">
        <f t="shared" si="1"/>
        <v>-0.33333333333333337</v>
      </c>
      <c r="R23" s="1337">
        <f>$H$23-0.5*K23</f>
        <v>3</v>
      </c>
      <c r="S23" s="1337">
        <f>$H$23-0.5*J23</f>
        <v>2.5</v>
      </c>
      <c r="T23" s="390">
        <f t="shared" si="10"/>
        <v>0.5</v>
      </c>
      <c r="U23" s="1389">
        <f>H23-R23</f>
        <v>1</v>
      </c>
      <c r="V23" s="1389">
        <f t="shared" si="4"/>
        <v>0.3</v>
      </c>
      <c r="W23" s="1389">
        <f t="shared" si="5"/>
        <v>3.3333333333333333E-2</v>
      </c>
      <c r="X23" s="1389">
        <f t="shared" si="6"/>
        <v>1.6666666666666666E-2</v>
      </c>
    </row>
    <row r="24" spans="1:24" s="356" customFormat="1" ht="15.6" customHeight="1">
      <c r="A24" s="1692" t="s">
        <v>234</v>
      </c>
      <c r="B24" s="1692" t="s">
        <v>235</v>
      </c>
      <c r="C24" s="842">
        <v>10</v>
      </c>
      <c r="D24" s="392" t="s">
        <v>4</v>
      </c>
      <c r="E24" s="516"/>
      <c r="F24" s="517" t="s">
        <v>395</v>
      </c>
      <c r="G24" s="523" t="s">
        <v>1511</v>
      </c>
      <c r="H24" s="651">
        <v>3</v>
      </c>
      <c r="I24" s="523"/>
      <c r="J24" s="816" t="s">
        <v>1351</v>
      </c>
      <c r="K24" s="816" t="s">
        <v>1351</v>
      </c>
      <c r="L24" s="523"/>
      <c r="M24" s="523"/>
      <c r="N24" s="523"/>
      <c r="O24" s="523"/>
      <c r="P24" s="523"/>
      <c r="Q24" s="629"/>
      <c r="R24" s="1287" t="s">
        <v>1632</v>
      </c>
      <c r="S24" s="649" t="s">
        <v>1632</v>
      </c>
      <c r="T24" s="390">
        <v>0</v>
      </c>
      <c r="U24" s="1389"/>
      <c r="V24" s="1389">
        <f t="shared" si="4"/>
        <v>0</v>
      </c>
      <c r="W24" s="1389">
        <f t="shared" si="5"/>
        <v>0</v>
      </c>
      <c r="X24" s="1389">
        <f t="shared" si="6"/>
        <v>0</v>
      </c>
    </row>
    <row r="25" spans="1:24" s="356" customFormat="1" ht="15.6" customHeight="1">
      <c r="A25" s="1693"/>
      <c r="B25" s="1693"/>
      <c r="C25" s="841">
        <v>10.1</v>
      </c>
      <c r="D25" s="850" t="s">
        <v>5</v>
      </c>
      <c r="E25" s="516"/>
      <c r="F25" s="517"/>
      <c r="G25" s="523"/>
      <c r="H25" s="523"/>
      <c r="I25" s="523"/>
      <c r="J25" s="816" t="s">
        <v>1351</v>
      </c>
      <c r="K25" s="816" t="s">
        <v>1351</v>
      </c>
      <c r="L25" s="523"/>
      <c r="M25" s="523"/>
      <c r="N25" s="523"/>
      <c r="O25" s="523"/>
      <c r="P25" s="523"/>
      <c r="Q25" s="629"/>
      <c r="R25" s="1289"/>
      <c r="S25" s="523"/>
      <c r="T25" s="390">
        <f t="shared" si="10"/>
        <v>0</v>
      </c>
      <c r="U25" s="1389">
        <f t="shared" ref="U25:U31" si="11">H25-R25</f>
        <v>0</v>
      </c>
      <c r="V25" s="1389">
        <f t="shared" si="4"/>
        <v>0</v>
      </c>
      <c r="W25" s="1389">
        <f t="shared" si="5"/>
        <v>0</v>
      </c>
      <c r="X25" s="1389">
        <f t="shared" si="6"/>
        <v>0</v>
      </c>
    </row>
    <row r="26" spans="1:24" s="356" customFormat="1" ht="15.6" customHeight="1">
      <c r="A26" s="1694"/>
      <c r="B26" s="1694"/>
      <c r="C26" s="841">
        <v>10.199999999999999</v>
      </c>
      <c r="D26" s="850" t="s">
        <v>6</v>
      </c>
      <c r="E26" s="516"/>
      <c r="F26" s="517"/>
      <c r="G26" s="523"/>
      <c r="H26" s="523"/>
      <c r="I26" s="523"/>
      <c r="J26" s="816" t="s">
        <v>1351</v>
      </c>
      <c r="K26" s="816" t="s">
        <v>1351</v>
      </c>
      <c r="L26" s="523"/>
      <c r="M26" s="523"/>
      <c r="N26" s="523"/>
      <c r="O26" s="523"/>
      <c r="P26" s="523"/>
      <c r="Q26" s="629"/>
      <c r="R26" s="1289"/>
      <c r="S26" s="523"/>
      <c r="T26" s="390">
        <f t="shared" si="10"/>
        <v>0</v>
      </c>
      <c r="U26" s="1389">
        <f t="shared" si="11"/>
        <v>0</v>
      </c>
      <c r="V26" s="1389">
        <f t="shared" si="4"/>
        <v>0</v>
      </c>
      <c r="W26" s="1389">
        <f t="shared" si="5"/>
        <v>0</v>
      </c>
      <c r="X26" s="1389">
        <f t="shared" si="6"/>
        <v>0</v>
      </c>
    </row>
    <row r="27" spans="1:24" s="356" customFormat="1" ht="15.6" customHeight="1">
      <c r="A27" s="551" t="s">
        <v>2112</v>
      </c>
      <c r="B27" s="551" t="s">
        <v>233</v>
      </c>
      <c r="C27" s="842">
        <v>11</v>
      </c>
      <c r="D27" s="416" t="s">
        <v>1651</v>
      </c>
      <c r="E27" s="516" t="s">
        <v>1414</v>
      </c>
      <c r="F27" s="517" t="s">
        <v>446</v>
      </c>
      <c r="G27" s="523" t="s">
        <v>1510</v>
      </c>
      <c r="H27" s="651">
        <v>5</v>
      </c>
      <c r="I27" s="523" t="s">
        <v>955</v>
      </c>
      <c r="J27" s="923">
        <v>0</v>
      </c>
      <c r="K27" s="923">
        <v>0</v>
      </c>
      <c r="L27" s="523">
        <v>0</v>
      </c>
      <c r="M27" s="523">
        <v>0</v>
      </c>
      <c r="N27" s="523">
        <v>0</v>
      </c>
      <c r="O27" s="523">
        <v>0</v>
      </c>
      <c r="P27" s="523">
        <v>0</v>
      </c>
      <c r="Q27" s="629">
        <f>IF(AND(J27=0,K27&lt;&gt;0),1,IF(AND(J27=0,K27=0),0,K27/J27-1))</f>
        <v>0</v>
      </c>
      <c r="R27" s="1287">
        <f>MAX(5-K27*0.5,0)</f>
        <v>5</v>
      </c>
      <c r="S27" s="1337">
        <f>MAX(5-J27*0.5,0)</f>
        <v>5</v>
      </c>
      <c r="T27" s="390">
        <f t="shared" si="10"/>
        <v>0</v>
      </c>
      <c r="U27" s="1389">
        <f t="shared" si="11"/>
        <v>0</v>
      </c>
      <c r="V27" s="1389">
        <f t="shared" si="4"/>
        <v>0</v>
      </c>
      <c r="W27" s="1389">
        <f t="shared" si="5"/>
        <v>0</v>
      </c>
      <c r="X27" s="1389">
        <f t="shared" si="6"/>
        <v>0</v>
      </c>
    </row>
    <row r="28" spans="1:24" s="356" customFormat="1" ht="15.6" customHeight="1">
      <c r="A28" s="551" t="s">
        <v>236</v>
      </c>
      <c r="B28" s="551" t="s">
        <v>233</v>
      </c>
      <c r="C28" s="842">
        <v>12</v>
      </c>
      <c r="D28" s="392" t="s">
        <v>1800</v>
      </c>
      <c r="E28" s="516" t="s">
        <v>1414</v>
      </c>
      <c r="F28" s="517" t="s">
        <v>446</v>
      </c>
      <c r="G28" s="523" t="s">
        <v>1509</v>
      </c>
      <c r="H28" s="651">
        <v>5</v>
      </c>
      <c r="I28" s="523" t="s">
        <v>955</v>
      </c>
      <c r="J28" s="1408">
        <v>0</v>
      </c>
      <c r="K28" s="1408">
        <v>0</v>
      </c>
      <c r="L28" s="523">
        <v>0</v>
      </c>
      <c r="M28" s="523">
        <v>0</v>
      </c>
      <c r="N28" s="523">
        <v>0</v>
      </c>
      <c r="O28" s="523">
        <v>0</v>
      </c>
      <c r="P28" s="523">
        <v>0</v>
      </c>
      <c r="Q28" s="629">
        <f>IF(AND(J28=0,K28&lt;&gt;0),1,IF(AND(J28=0,K28=0),0,K28/J28-1))</f>
        <v>0</v>
      </c>
      <c r="R28" s="1287">
        <f>MAX(5-K28*0.5,0)</f>
        <v>5</v>
      </c>
      <c r="S28" s="649">
        <f>MAX(5-J28*0.5,0)</f>
        <v>5</v>
      </c>
      <c r="T28" s="390">
        <f t="shared" si="10"/>
        <v>0</v>
      </c>
      <c r="U28" s="1389">
        <f t="shared" si="11"/>
        <v>0</v>
      </c>
      <c r="V28" s="1389">
        <f t="shared" si="4"/>
        <v>0</v>
      </c>
      <c r="W28" s="1389">
        <f t="shared" si="5"/>
        <v>0</v>
      </c>
      <c r="X28" s="1389">
        <f t="shared" si="6"/>
        <v>0</v>
      </c>
    </row>
    <row r="29" spans="1:24" s="356" customFormat="1" ht="15.6" customHeight="1">
      <c r="A29" s="551" t="s">
        <v>237</v>
      </c>
      <c r="B29" s="551" t="s">
        <v>233</v>
      </c>
      <c r="C29" s="842">
        <v>13</v>
      </c>
      <c r="D29" s="392" t="s">
        <v>2113</v>
      </c>
      <c r="E29" s="516" t="s">
        <v>450</v>
      </c>
      <c r="F29" s="517" t="s">
        <v>446</v>
      </c>
      <c r="G29" s="523" t="s">
        <v>1509</v>
      </c>
      <c r="H29" s="651">
        <v>5</v>
      </c>
      <c r="I29" s="523"/>
      <c r="J29" s="1408">
        <v>0</v>
      </c>
      <c r="K29" s="1408">
        <v>0</v>
      </c>
      <c r="L29" s="523">
        <v>0</v>
      </c>
      <c r="M29" s="523">
        <v>0</v>
      </c>
      <c r="N29" s="523">
        <v>0</v>
      </c>
      <c r="O29" s="523">
        <v>0</v>
      </c>
      <c r="P29" s="523">
        <v>0</v>
      </c>
      <c r="Q29" s="629">
        <f>IF(AND(J29=0,K29&lt;&gt;0),1,IF(AND(J29=0,K29=0),0,K29/J29-1))</f>
        <v>0</v>
      </c>
      <c r="R29" s="1287">
        <f>MAX(5-K29*0.5,0)</f>
        <v>5</v>
      </c>
      <c r="S29" s="649">
        <f>MAX(5-J29*0.5,0)</f>
        <v>5</v>
      </c>
      <c r="T29" s="390">
        <f t="shared" si="10"/>
        <v>0</v>
      </c>
      <c r="U29" s="1389">
        <f t="shared" si="11"/>
        <v>0</v>
      </c>
      <c r="V29" s="1389">
        <f t="shared" si="4"/>
        <v>0</v>
      </c>
      <c r="W29" s="1389">
        <f t="shared" si="5"/>
        <v>0</v>
      </c>
      <c r="X29" s="1389">
        <f t="shared" si="6"/>
        <v>0</v>
      </c>
    </row>
    <row r="30" spans="1:24" s="356" customFormat="1" ht="15.6" customHeight="1">
      <c r="A30" s="551" t="s">
        <v>2114</v>
      </c>
      <c r="B30" s="551" t="s">
        <v>233</v>
      </c>
      <c r="C30" s="842">
        <v>14</v>
      </c>
      <c r="D30" s="392" t="s">
        <v>1803</v>
      </c>
      <c r="E30" s="516" t="s">
        <v>450</v>
      </c>
      <c r="F30" s="517" t="s">
        <v>446</v>
      </c>
      <c r="G30" s="523" t="s">
        <v>1509</v>
      </c>
      <c r="H30" s="651">
        <v>5</v>
      </c>
      <c r="I30" s="523"/>
      <c r="J30" s="1408">
        <v>0</v>
      </c>
      <c r="K30" s="1408">
        <v>0</v>
      </c>
      <c r="L30" s="523">
        <v>0</v>
      </c>
      <c r="M30" s="523">
        <v>0</v>
      </c>
      <c r="N30" s="523">
        <v>0</v>
      </c>
      <c r="O30" s="523">
        <v>0</v>
      </c>
      <c r="P30" s="523">
        <v>0</v>
      </c>
      <c r="Q30" s="629">
        <f>IF(AND(J30=0,K30&lt;&gt;0),1,IF(AND(J30=0,K30=0),0,K30/J30-1))</f>
        <v>0</v>
      </c>
      <c r="R30" s="1287">
        <f>MAX(5-K30*0.5,0)</f>
        <v>5</v>
      </c>
      <c r="S30" s="649">
        <f>MAX(5-J30*0.5,0)</f>
        <v>5</v>
      </c>
      <c r="T30" s="390">
        <f t="shared" si="10"/>
        <v>0</v>
      </c>
      <c r="U30" s="1389">
        <f t="shared" si="11"/>
        <v>0</v>
      </c>
      <c r="V30" s="1389">
        <f t="shared" si="4"/>
        <v>0</v>
      </c>
      <c r="W30" s="1389">
        <f t="shared" si="5"/>
        <v>0</v>
      </c>
      <c r="X30" s="1389">
        <f t="shared" si="6"/>
        <v>0</v>
      </c>
    </row>
    <row r="31" spans="1:24" s="447" customFormat="1" ht="15.6" customHeight="1">
      <c r="A31" s="1695" t="s">
        <v>238</v>
      </c>
      <c r="B31" s="1739" t="s">
        <v>239</v>
      </c>
      <c r="C31" s="842">
        <v>15</v>
      </c>
      <c r="D31" s="453" t="s">
        <v>7</v>
      </c>
      <c r="E31" s="516" t="s">
        <v>452</v>
      </c>
      <c r="F31" s="517" t="s">
        <v>397</v>
      </c>
      <c r="G31" s="1683" t="s">
        <v>1509</v>
      </c>
      <c r="H31" s="1685">
        <v>5</v>
      </c>
      <c r="I31" s="396"/>
      <c r="J31" s="706" t="s">
        <v>8</v>
      </c>
      <c r="K31" s="706" t="s">
        <v>8</v>
      </c>
      <c r="L31" s="396" t="s">
        <v>8</v>
      </c>
      <c r="M31" s="396" t="s">
        <v>9</v>
      </c>
      <c r="N31" s="396"/>
      <c r="O31" s="396"/>
      <c r="P31" s="396"/>
      <c r="Q31" s="1741">
        <v>0</v>
      </c>
      <c r="R31" s="1675">
        <v>5</v>
      </c>
      <c r="S31" s="1675">
        <v>5</v>
      </c>
      <c r="T31" s="390">
        <f t="shared" si="10"/>
        <v>0</v>
      </c>
      <c r="U31" s="1389">
        <f t="shared" si="11"/>
        <v>0</v>
      </c>
      <c r="V31" s="1389">
        <f t="shared" si="4"/>
        <v>0</v>
      </c>
      <c r="W31" s="1389">
        <f t="shared" si="5"/>
        <v>0</v>
      </c>
      <c r="X31" s="1389">
        <f t="shared" si="6"/>
        <v>0</v>
      </c>
    </row>
    <row r="32" spans="1:24" s="447" customFormat="1" ht="15.6" customHeight="1">
      <c r="A32" s="1697"/>
      <c r="B32" s="1740"/>
      <c r="C32" s="842">
        <v>16</v>
      </c>
      <c r="D32" s="453" t="s">
        <v>10</v>
      </c>
      <c r="E32" s="516" t="s">
        <v>452</v>
      </c>
      <c r="F32" s="517" t="s">
        <v>397</v>
      </c>
      <c r="G32" s="1683"/>
      <c r="H32" s="1685"/>
      <c r="I32" s="396"/>
      <c r="J32" s="706" t="s">
        <v>11</v>
      </c>
      <c r="K32" s="706" t="s">
        <v>11</v>
      </c>
      <c r="L32" s="396" t="s">
        <v>11</v>
      </c>
      <c r="M32" s="396" t="s">
        <v>12</v>
      </c>
      <c r="N32" s="396"/>
      <c r="O32" s="396"/>
      <c r="P32" s="396"/>
      <c r="Q32" s="1741"/>
      <c r="R32" s="1675"/>
      <c r="S32" s="1675"/>
      <c r="T32" s="390"/>
      <c r="U32" s="1389"/>
      <c r="V32" s="1389">
        <f t="shared" si="4"/>
        <v>0</v>
      </c>
      <c r="W32" s="1389">
        <f t="shared" si="5"/>
        <v>0</v>
      </c>
      <c r="X32" s="1389">
        <f t="shared" si="6"/>
        <v>0</v>
      </c>
    </row>
    <row r="33" spans="1:27" s="447" customFormat="1" ht="17.25" customHeight="1">
      <c r="A33" s="1692" t="s">
        <v>240</v>
      </c>
      <c r="B33" s="1692" t="s">
        <v>241</v>
      </c>
      <c r="C33" s="842">
        <v>17</v>
      </c>
      <c r="D33" s="453" t="s">
        <v>13</v>
      </c>
      <c r="E33" s="516" t="s">
        <v>452</v>
      </c>
      <c r="F33" s="517" t="s">
        <v>397</v>
      </c>
      <c r="G33" s="1683" t="s">
        <v>1509</v>
      </c>
      <c r="H33" s="1685">
        <v>5</v>
      </c>
      <c r="I33" s="396"/>
      <c r="J33" s="706" t="s">
        <v>16</v>
      </c>
      <c r="K33" s="706" t="s">
        <v>16</v>
      </c>
      <c r="L33" s="396" t="s">
        <v>14</v>
      </c>
      <c r="M33" s="396" t="s">
        <v>15</v>
      </c>
      <c r="N33" s="396" t="s">
        <v>16</v>
      </c>
      <c r="O33" s="396"/>
      <c r="P33" s="396"/>
      <c r="Q33" s="1741">
        <v>0</v>
      </c>
      <c r="R33" s="1675">
        <v>5</v>
      </c>
      <c r="S33" s="1675">
        <v>5</v>
      </c>
      <c r="T33" s="390">
        <f>R33-S33</f>
        <v>0</v>
      </c>
      <c r="U33" s="1389">
        <f>H33-R33</f>
        <v>0</v>
      </c>
      <c r="V33" s="1389">
        <f t="shared" si="4"/>
        <v>0</v>
      </c>
      <c r="W33" s="1389">
        <f t="shared" si="5"/>
        <v>0</v>
      </c>
      <c r="X33" s="1389">
        <f t="shared" si="6"/>
        <v>0</v>
      </c>
    </row>
    <row r="34" spans="1:27" s="447" customFormat="1" ht="15.6" customHeight="1">
      <c r="A34" s="1694"/>
      <c r="B34" s="1694"/>
      <c r="C34" s="842">
        <v>18</v>
      </c>
      <c r="D34" s="453" t="s">
        <v>17</v>
      </c>
      <c r="E34" s="516" t="s">
        <v>452</v>
      </c>
      <c r="F34" s="517" t="s">
        <v>397</v>
      </c>
      <c r="G34" s="1683"/>
      <c r="H34" s="1685"/>
      <c r="I34" s="396"/>
      <c r="J34" s="706" t="s">
        <v>20</v>
      </c>
      <c r="K34" s="706" t="s">
        <v>20</v>
      </c>
      <c r="L34" s="396" t="s">
        <v>18</v>
      </c>
      <c r="M34" s="396" t="s">
        <v>19</v>
      </c>
      <c r="N34" s="396" t="s">
        <v>20</v>
      </c>
      <c r="O34" s="396"/>
      <c r="P34" s="396"/>
      <c r="Q34" s="1741"/>
      <c r="R34" s="1675"/>
      <c r="S34" s="1675"/>
      <c r="T34" s="390"/>
      <c r="U34" s="1389"/>
      <c r="V34" s="1389">
        <f t="shared" si="4"/>
        <v>0</v>
      </c>
      <c r="W34" s="1389">
        <f t="shared" si="5"/>
        <v>0</v>
      </c>
      <c r="X34" s="1389">
        <f t="shared" si="6"/>
        <v>0</v>
      </c>
    </row>
    <row r="35" spans="1:27" s="447" customFormat="1" ht="22.5" customHeight="1">
      <c r="A35" s="551" t="s">
        <v>242</v>
      </c>
      <c r="B35" s="551" t="s">
        <v>243</v>
      </c>
      <c r="C35" s="842">
        <v>19</v>
      </c>
      <c r="D35" s="453" t="s">
        <v>21</v>
      </c>
      <c r="E35" s="516" t="s">
        <v>452</v>
      </c>
      <c r="F35" s="517" t="s">
        <v>395</v>
      </c>
      <c r="G35" s="396" t="s">
        <v>1509</v>
      </c>
      <c r="H35" s="651">
        <v>5</v>
      </c>
      <c r="I35" s="396"/>
      <c r="J35" s="923">
        <v>0</v>
      </c>
      <c r="K35" s="923">
        <v>0</v>
      </c>
      <c r="L35" s="396"/>
      <c r="M35" s="396"/>
      <c r="N35" s="396"/>
      <c r="O35" s="396"/>
      <c r="P35" s="396"/>
      <c r="Q35" s="629">
        <f>IF(AND(J35=0,K35&lt;&gt;0),1,IF(AND(J35=0,K35=0),0,K35/J35-1))</f>
        <v>0</v>
      </c>
      <c r="R35" s="1287">
        <f>MAX(5-K35,0)</f>
        <v>5</v>
      </c>
      <c r="S35" s="649">
        <f>MAX(5-J35,0)</f>
        <v>5</v>
      </c>
      <c r="T35" s="390">
        <f>R35-S35</f>
        <v>0</v>
      </c>
      <c r="U35" s="1389">
        <f>H35-R35</f>
        <v>0</v>
      </c>
      <c r="V35" s="1389">
        <f t="shared" si="4"/>
        <v>0</v>
      </c>
      <c r="W35" s="1389">
        <f t="shared" si="5"/>
        <v>0</v>
      </c>
      <c r="X35" s="1389">
        <f t="shared" si="6"/>
        <v>0</v>
      </c>
    </row>
    <row r="36" spans="1:27" s="447" customFormat="1" ht="14.25">
      <c r="A36" s="1742" t="s">
        <v>1717</v>
      </c>
      <c r="B36" s="1742" t="s">
        <v>435</v>
      </c>
      <c r="C36" s="842">
        <v>20</v>
      </c>
      <c r="D36" s="1332" t="s">
        <v>201</v>
      </c>
      <c r="E36" s="454" t="s">
        <v>202</v>
      </c>
      <c r="F36" s="517" t="s">
        <v>395</v>
      </c>
      <c r="G36" s="1684" t="s">
        <v>1511</v>
      </c>
      <c r="H36" s="1685">
        <v>10</v>
      </c>
      <c r="I36" s="396" t="s">
        <v>215</v>
      </c>
      <c r="J36" s="923">
        <v>522</v>
      </c>
      <c r="K36" s="923">
        <v>508</v>
      </c>
      <c r="L36" s="650">
        <v>50</v>
      </c>
      <c r="M36" s="650">
        <v>0</v>
      </c>
      <c r="N36" s="650">
        <v>9</v>
      </c>
      <c r="O36" s="650">
        <v>449</v>
      </c>
      <c r="P36" s="650">
        <v>0</v>
      </c>
      <c r="Q36" s="629">
        <f>IF(AND(J36=0,K36&lt;&gt;0),1,IF(AND(J36=0,K36=0),0,K36/J36-1))</f>
        <v>-2.6819923371647514E-2</v>
      </c>
      <c r="R36" s="1675" t="str">
        <f>IF(K36=0,10,"行业排序得分")</f>
        <v>行业排序得分</v>
      </c>
      <c r="S36" s="1726" t="str">
        <f>IF(J36=0,10,"行业排序得分")</f>
        <v>行业排序得分</v>
      </c>
      <c r="T36" s="390">
        <v>0</v>
      </c>
      <c r="U36" s="1743">
        <v>10</v>
      </c>
      <c r="V36" s="1743">
        <f t="shared" si="4"/>
        <v>3</v>
      </c>
      <c r="W36" s="1743">
        <f t="shared" si="5"/>
        <v>0.33333333333333331</v>
      </c>
      <c r="X36" s="1743">
        <f t="shared" si="6"/>
        <v>0.16666666666666666</v>
      </c>
    </row>
    <row r="37" spans="1:27" s="447" customFormat="1" ht="14.25">
      <c r="A37" s="1694"/>
      <c r="B37" s="1694"/>
      <c r="C37" s="379">
        <v>21</v>
      </c>
      <c r="D37" s="1332" t="s">
        <v>3</v>
      </c>
      <c r="E37" s="454" t="s">
        <v>954</v>
      </c>
      <c r="F37" s="517" t="s">
        <v>395</v>
      </c>
      <c r="G37" s="1684"/>
      <c r="H37" s="1685"/>
      <c r="I37" s="523" t="s">
        <v>641</v>
      </c>
      <c r="J37" s="816">
        <v>1040229766.4400001</v>
      </c>
      <c r="K37" s="1469">
        <v>888724746.47000015</v>
      </c>
      <c r="L37" s="396"/>
      <c r="M37" s="396"/>
      <c r="N37" s="396"/>
      <c r="O37" s="396"/>
      <c r="P37" s="396"/>
      <c r="Q37" s="629">
        <f>IF(AND(J37=0,K37&lt;&gt;0),1,IF(AND(J37=0,K37=0),0,K37/J37-1))</f>
        <v>-0.14564572641340445</v>
      </c>
      <c r="R37" s="1675"/>
      <c r="S37" s="1726"/>
      <c r="T37" s="390"/>
      <c r="U37" s="1744"/>
      <c r="V37" s="1744"/>
      <c r="W37" s="1744"/>
      <c r="X37" s="1744"/>
    </row>
    <row r="38" spans="1:27" s="859" customFormat="1" ht="15.6" customHeight="1">
      <c r="A38" s="453"/>
      <c r="B38" s="453"/>
      <c r="C38" s="644"/>
      <c r="D38" s="504" t="s">
        <v>222</v>
      </c>
      <c r="E38" s="855"/>
      <c r="F38" s="406"/>
      <c r="G38" s="856"/>
      <c r="H38" s="481">
        <v>97</v>
      </c>
      <c r="I38" s="857"/>
      <c r="J38" s="646"/>
      <c r="K38" s="646"/>
      <c r="L38" s="855"/>
      <c r="M38" s="857"/>
      <c r="N38" s="857"/>
      <c r="O38" s="857"/>
      <c r="P38" s="857"/>
      <c r="Q38" s="1081"/>
      <c r="R38" s="1338">
        <f>SUBTOTAL(9,R4:R37)</f>
        <v>46.706269213324603</v>
      </c>
      <c r="S38" s="858">
        <f>SUBTOTAL(9,S4:S37)</f>
        <v>46.163721439593814</v>
      </c>
      <c r="T38" s="409">
        <f>SUM(T4:T37)</f>
        <v>6.5425477737307887</v>
      </c>
      <c r="U38" s="1294">
        <f>SUM(U4:U37)</f>
        <v>50.293730786675397</v>
      </c>
      <c r="V38" s="1215">
        <f>U38*0.3</f>
        <v>15.088119236002619</v>
      </c>
      <c r="W38" s="1215">
        <f t="shared" si="5"/>
        <v>1.6764576928891799</v>
      </c>
      <c r="X38" s="1215">
        <f t="shared" si="6"/>
        <v>0.83822884644458995</v>
      </c>
      <c r="Y38" s="447" t="s">
        <v>1530</v>
      </c>
      <c r="Z38" s="447"/>
      <c r="AA38" s="447"/>
    </row>
    <row r="39" spans="1:27" s="859" customFormat="1" ht="15.6" customHeight="1">
      <c r="A39" s="487"/>
      <c r="B39" s="487"/>
      <c r="C39" s="860"/>
      <c r="D39" s="504" t="s">
        <v>1514</v>
      </c>
      <c r="E39" s="861"/>
      <c r="F39" s="489"/>
      <c r="G39" s="861"/>
      <c r="H39" s="481">
        <v>50</v>
      </c>
      <c r="I39" s="861"/>
      <c r="J39" s="862"/>
      <c r="K39" s="862"/>
      <c r="L39" s="861"/>
      <c r="M39" s="861"/>
      <c r="N39" s="861"/>
      <c r="O39" s="861"/>
      <c r="P39" s="861"/>
      <c r="Q39" s="1082">
        <f>H39-R39-U39</f>
        <v>0</v>
      </c>
      <c r="R39" s="618">
        <f>R16+SUM(R22:R23)+SUM(R27:R35)</f>
        <v>46.706269213324603</v>
      </c>
      <c r="S39" s="409">
        <f>S16+SUM(S22:S23)+SUM(S27:S35)</f>
        <v>46.163721439593814</v>
      </c>
      <c r="T39" s="398"/>
      <c r="U39" s="1295">
        <f>U16+SUM(U22:U23)+SUM(U27:U35)</f>
        <v>3.2937307866753969</v>
      </c>
      <c r="V39" s="1215">
        <f>U39*0.3</f>
        <v>0.98811923600261897</v>
      </c>
      <c r="W39" s="1215">
        <f t="shared" si="5"/>
        <v>0.10979102622251322</v>
      </c>
      <c r="X39" s="1215">
        <f t="shared" si="6"/>
        <v>5.4895513111256608E-2</v>
      </c>
      <c r="Y39" s="863" t="s">
        <v>1519</v>
      </c>
      <c r="Z39" s="864"/>
      <c r="AA39" s="864"/>
    </row>
    <row r="40" spans="1:27" s="859" customFormat="1" ht="15.6" customHeight="1">
      <c r="A40" s="487"/>
      <c r="B40" s="487"/>
      <c r="C40" s="860"/>
      <c r="D40" s="504" t="s">
        <v>1515</v>
      </c>
      <c r="E40" s="861"/>
      <c r="F40" s="489"/>
      <c r="H40" s="481">
        <v>33</v>
      </c>
      <c r="I40" s="861"/>
      <c r="J40" s="862"/>
      <c r="K40" s="862"/>
      <c r="L40" s="861"/>
      <c r="M40" s="861"/>
      <c r="N40" s="861"/>
      <c r="O40" s="861"/>
      <c r="P40" s="861"/>
      <c r="Q40" s="1293">
        <f>H40-R40-U40</f>
        <v>0</v>
      </c>
      <c r="R40" s="618">
        <v>0</v>
      </c>
      <c r="S40" s="409">
        <v>0</v>
      </c>
      <c r="U40" s="1295">
        <f>U4+U11+U19+U36</f>
        <v>33</v>
      </c>
      <c r="V40" s="1215">
        <f>U40*0.3</f>
        <v>9.9</v>
      </c>
      <c r="W40" s="1215">
        <f t="shared" si="5"/>
        <v>1.1000000000000001</v>
      </c>
      <c r="X40" s="1215">
        <f t="shared" si="6"/>
        <v>0.55000000000000004</v>
      </c>
      <c r="Y40" s="863" t="s">
        <v>1517</v>
      </c>
      <c r="Z40" s="864"/>
      <c r="AA40" s="864"/>
    </row>
    <row r="41" spans="1:27" s="859" customFormat="1" ht="15.6" customHeight="1">
      <c r="A41" s="487"/>
      <c r="B41" s="487"/>
      <c r="C41" s="860"/>
      <c r="D41" s="504" t="s">
        <v>1516</v>
      </c>
      <c r="E41" s="861"/>
      <c r="F41" s="489"/>
      <c r="H41" s="481">
        <v>14</v>
      </c>
      <c r="I41" s="861"/>
      <c r="J41" s="862"/>
      <c r="K41" s="862"/>
      <c r="L41" s="861"/>
      <c r="M41" s="861"/>
      <c r="N41" s="861"/>
      <c r="O41" s="861"/>
      <c r="P41" s="861"/>
      <c r="Q41" s="1083">
        <f>H41-R41-U41</f>
        <v>0</v>
      </c>
      <c r="R41" s="618">
        <v>0</v>
      </c>
      <c r="S41" s="409">
        <v>6</v>
      </c>
      <c r="U41" s="1295">
        <f>U8+U14</f>
        <v>14</v>
      </c>
      <c r="V41" s="1215">
        <f>U41*0.3</f>
        <v>4.2</v>
      </c>
      <c r="W41" s="1215">
        <f t="shared" si="5"/>
        <v>0.46666666666666667</v>
      </c>
      <c r="X41" s="1215">
        <f t="shared" si="6"/>
        <v>0.23333333333333334</v>
      </c>
      <c r="Y41" s="863" t="s">
        <v>1518</v>
      </c>
      <c r="Z41" s="864"/>
      <c r="AA41" s="864"/>
    </row>
    <row r="42" spans="1:27" s="859" customFormat="1" ht="15.6" customHeight="1">
      <c r="A42" s="487"/>
      <c r="B42" s="487"/>
      <c r="C42" s="860"/>
      <c r="D42" s="416" t="s">
        <v>1529</v>
      </c>
      <c r="Q42" s="1083"/>
      <c r="R42" s="618">
        <f>R41+R40</f>
        <v>0</v>
      </c>
      <c r="S42" s="409">
        <f>S41+S40</f>
        <v>6</v>
      </c>
      <c r="X42" s="1216"/>
      <c r="Y42" s="447"/>
      <c r="Z42" s="447"/>
      <c r="AA42" s="447"/>
    </row>
    <row r="43" spans="1:27" s="356" customFormat="1" ht="15.6" customHeight="1">
      <c r="A43" s="367"/>
      <c r="B43" s="367"/>
      <c r="C43" s="358"/>
      <c r="D43" s="416" t="s">
        <v>460</v>
      </c>
      <c r="F43" s="418"/>
      <c r="H43" s="865"/>
      <c r="J43" s="414"/>
      <c r="K43" s="414"/>
      <c r="Q43" s="26"/>
      <c r="R43" s="618">
        <f>$H$40+$H$41-R42</f>
        <v>47</v>
      </c>
      <c r="S43" s="409">
        <f>$H$40+$H$41-S42</f>
        <v>41</v>
      </c>
      <c r="X43" s="1191"/>
    </row>
    <row r="44" spans="1:27" s="356" customFormat="1" ht="15.6" customHeight="1">
      <c r="A44" s="367"/>
      <c r="B44" s="367"/>
      <c r="C44" s="358"/>
      <c r="D44" s="416" t="s">
        <v>459</v>
      </c>
      <c r="F44" s="418"/>
      <c r="H44" s="866">
        <v>3</v>
      </c>
      <c r="J44" s="414"/>
      <c r="K44" s="414"/>
      <c r="Q44" s="26"/>
      <c r="R44" s="618">
        <v>3</v>
      </c>
      <c r="S44" s="409">
        <v>3</v>
      </c>
      <c r="X44" s="1191"/>
    </row>
    <row r="45" spans="1:27" s="356" customFormat="1" ht="15.6" customHeight="1">
      <c r="A45" s="367"/>
      <c r="B45" s="367"/>
      <c r="C45" s="358"/>
      <c r="D45" s="416" t="s">
        <v>461</v>
      </c>
      <c r="F45" s="418"/>
      <c r="H45" s="865"/>
      <c r="J45" s="414"/>
      <c r="K45" s="414"/>
      <c r="Q45" s="26"/>
      <c r="R45" s="618">
        <f>100-SUM(R39:R41)-R44</f>
        <v>50.293730786675397</v>
      </c>
      <c r="S45" s="409">
        <f>100-SUM(S39:S41)-S44</f>
        <v>44.836278560406186</v>
      </c>
      <c r="X45" s="1191"/>
    </row>
    <row r="46" spans="1:27" s="356" customFormat="1" ht="14.25">
      <c r="A46" s="367"/>
      <c r="B46" s="367"/>
      <c r="C46" s="358"/>
      <c r="D46" s="367"/>
      <c r="F46" s="418"/>
      <c r="J46" s="414"/>
      <c r="K46" s="414"/>
      <c r="Q46" s="26"/>
      <c r="R46" s="621"/>
      <c r="X46" s="1191"/>
    </row>
    <row r="47" spans="1:27" s="356" customFormat="1" ht="14.25">
      <c r="A47" s="367"/>
      <c r="B47" s="367"/>
      <c r="C47" s="358"/>
      <c r="D47" s="367"/>
      <c r="F47" s="418"/>
      <c r="J47" s="414"/>
      <c r="K47" s="849"/>
      <c r="Q47" s="26"/>
      <c r="R47" s="621"/>
      <c r="X47" s="1191"/>
    </row>
    <row r="48" spans="1:27" s="356" customFormat="1" ht="14.25">
      <c r="A48" s="414"/>
      <c r="B48" s="414"/>
      <c r="C48" s="358"/>
      <c r="D48" s="848" t="s">
        <v>1592</v>
      </c>
      <c r="F48" s="418"/>
      <c r="J48" s="414"/>
      <c r="K48" s="414"/>
      <c r="Q48" s="26"/>
      <c r="R48" s="621"/>
      <c r="X48" s="1191"/>
    </row>
    <row r="49" spans="1:24" s="356" customFormat="1" ht="14.25">
      <c r="A49" s="414"/>
      <c r="B49" s="414"/>
      <c r="C49" s="358"/>
      <c r="D49" s="357" t="s">
        <v>1636</v>
      </c>
      <c r="F49" s="418"/>
      <c r="J49" s="599"/>
      <c r="K49" s="599"/>
      <c r="Q49" s="26"/>
      <c r="R49" s="621"/>
      <c r="X49" s="1191"/>
    </row>
    <row r="50" spans="1:24" s="356" customFormat="1" ht="14.25">
      <c r="A50" s="414"/>
      <c r="B50" s="414"/>
      <c r="C50" s="358"/>
      <c r="D50" s="367"/>
      <c r="F50" s="418"/>
      <c r="J50" s="599"/>
      <c r="K50" s="599"/>
      <c r="Q50" s="26"/>
      <c r="R50" s="621"/>
      <c r="X50" s="1191"/>
    </row>
    <row r="51" spans="1:24" s="356" customFormat="1" ht="14.25">
      <c r="A51" s="414"/>
      <c r="B51" s="414"/>
      <c r="C51" s="358"/>
      <c r="D51" s="414"/>
      <c r="F51" s="418"/>
      <c r="J51" s="599"/>
      <c r="K51" s="599"/>
      <c r="Q51" s="26"/>
      <c r="R51" s="621"/>
      <c r="X51" s="1191"/>
    </row>
    <row r="52" spans="1:24" s="356" customFormat="1" ht="14.25">
      <c r="A52" s="414"/>
      <c r="B52" s="414"/>
      <c r="C52" s="358"/>
      <c r="D52" s="414"/>
      <c r="F52" s="418"/>
      <c r="J52" s="599"/>
      <c r="K52" s="599"/>
      <c r="Q52" s="26"/>
      <c r="R52" s="621"/>
      <c r="X52" s="1191"/>
    </row>
    <row r="53" spans="1:24" s="356" customFormat="1" ht="14.25">
      <c r="A53" s="414"/>
      <c r="B53" s="414"/>
      <c r="C53" s="358"/>
      <c r="D53" s="414"/>
      <c r="F53" s="418"/>
      <c r="J53" s="599"/>
      <c r="K53" s="599"/>
      <c r="Q53" s="26"/>
      <c r="R53" s="621"/>
      <c r="X53" s="1191"/>
    </row>
    <row r="54" spans="1:24" s="356" customFormat="1" ht="14.25">
      <c r="A54" s="414"/>
      <c r="B54" s="414"/>
      <c r="C54" s="358"/>
      <c r="D54" s="414"/>
      <c r="F54" s="418"/>
      <c r="J54" s="599"/>
      <c r="K54" s="599"/>
      <c r="Q54" s="26"/>
      <c r="R54" s="621"/>
      <c r="X54" s="1191"/>
    </row>
    <row r="55" spans="1:24" s="356" customFormat="1" ht="14.25">
      <c r="A55" s="414"/>
      <c r="B55" s="414"/>
      <c r="C55" s="358"/>
      <c r="D55" s="414"/>
      <c r="F55" s="418"/>
      <c r="J55" s="599"/>
      <c r="K55" s="599"/>
      <c r="Q55" s="26"/>
      <c r="R55" s="621"/>
      <c r="X55" s="1191"/>
    </row>
    <row r="56" spans="1:24" s="356" customFormat="1" ht="14.25">
      <c r="A56" s="414"/>
      <c r="B56" s="414"/>
      <c r="C56" s="358"/>
      <c r="D56" s="414"/>
      <c r="F56" s="418"/>
      <c r="J56" s="599"/>
      <c r="K56" s="599"/>
      <c r="Q56" s="26"/>
      <c r="R56" s="621"/>
      <c r="X56" s="1191"/>
    </row>
    <row r="57" spans="1:24" s="356" customFormat="1" ht="14.25">
      <c r="A57" s="414"/>
      <c r="B57" s="414"/>
      <c r="C57" s="358"/>
      <c r="D57" s="414"/>
      <c r="F57" s="418"/>
      <c r="J57" s="599"/>
      <c r="K57" s="599"/>
      <c r="Q57" s="26"/>
      <c r="R57" s="621"/>
      <c r="X57" s="1191"/>
    </row>
    <row r="58" spans="1:24" s="356" customFormat="1" ht="14.25">
      <c r="A58" s="414"/>
      <c r="B58" s="414"/>
      <c r="C58" s="358"/>
      <c r="D58" s="414"/>
      <c r="F58" s="418"/>
      <c r="J58" s="599"/>
      <c r="K58" s="599"/>
      <c r="Q58" s="26"/>
      <c r="R58" s="621"/>
      <c r="X58" s="1191"/>
    </row>
    <row r="59" spans="1:24" s="356" customFormat="1" ht="14.25">
      <c r="A59" s="414"/>
      <c r="B59" s="414"/>
      <c r="C59" s="358"/>
      <c r="D59" s="414"/>
      <c r="F59" s="418"/>
      <c r="J59" s="599"/>
      <c r="K59" s="599"/>
      <c r="Q59" s="26"/>
      <c r="R59" s="621"/>
      <c r="X59" s="1191"/>
    </row>
    <row r="60" spans="1:24" s="356" customFormat="1" ht="14.25">
      <c r="A60" s="414"/>
      <c r="B60" s="414"/>
      <c r="C60" s="358"/>
      <c r="D60" s="414"/>
      <c r="F60" s="418"/>
      <c r="J60" s="599"/>
      <c r="K60" s="599"/>
      <c r="Q60" s="26"/>
      <c r="R60" s="621"/>
      <c r="X60" s="1191"/>
    </row>
    <row r="61" spans="1:24" s="356" customFormat="1" ht="14.25">
      <c r="A61" s="414"/>
      <c r="B61" s="414"/>
      <c r="C61" s="358"/>
      <c r="D61" s="414"/>
      <c r="F61" s="418"/>
      <c r="J61" s="599"/>
      <c r="K61" s="599"/>
      <c r="Q61" s="26"/>
      <c r="R61" s="621"/>
      <c r="X61" s="1191"/>
    </row>
    <row r="62" spans="1:24" s="356" customFormat="1" ht="14.25">
      <c r="A62" s="414"/>
      <c r="B62" s="414"/>
      <c r="C62" s="358"/>
      <c r="D62" s="414"/>
      <c r="F62" s="418"/>
      <c r="J62" s="599"/>
      <c r="K62" s="599"/>
      <c r="Q62" s="26"/>
      <c r="R62" s="621"/>
      <c r="X62" s="1191"/>
    </row>
    <row r="63" spans="1:24" s="356" customFormat="1" ht="14.25">
      <c r="A63" s="414"/>
      <c r="B63" s="414"/>
      <c r="C63" s="358"/>
      <c r="D63" s="414"/>
      <c r="F63" s="418"/>
      <c r="J63" s="599"/>
      <c r="K63" s="599"/>
      <c r="Q63" s="26"/>
      <c r="R63" s="621"/>
      <c r="X63" s="1191"/>
    </row>
    <row r="64" spans="1:24" s="356" customFormat="1" ht="14.25">
      <c r="A64" s="414"/>
      <c r="B64" s="414"/>
      <c r="C64" s="358"/>
      <c r="D64" s="414"/>
      <c r="F64" s="418"/>
      <c r="J64" s="599"/>
      <c r="K64" s="599"/>
      <c r="Q64" s="26"/>
      <c r="R64" s="621"/>
      <c r="X64" s="1191"/>
    </row>
    <row r="65" spans="1:24" s="356" customFormat="1" ht="14.25">
      <c r="A65" s="414"/>
      <c r="B65" s="414"/>
      <c r="C65" s="358"/>
      <c r="D65" s="414"/>
      <c r="F65" s="418"/>
      <c r="J65" s="599"/>
      <c r="K65" s="599"/>
      <c r="Q65" s="26"/>
      <c r="R65" s="621"/>
      <c r="X65" s="1191"/>
    </row>
    <row r="66" spans="1:24" s="356" customFormat="1" ht="14.25">
      <c r="A66" s="414"/>
      <c r="B66" s="414"/>
      <c r="C66" s="358"/>
      <c r="D66" s="414"/>
      <c r="F66" s="418"/>
      <c r="J66" s="599"/>
      <c r="K66" s="599"/>
      <c r="Q66" s="26"/>
      <c r="R66" s="621"/>
      <c r="X66" s="1191"/>
    </row>
    <row r="67" spans="1:24" s="356" customFormat="1" ht="14.25">
      <c r="A67" s="414"/>
      <c r="B67" s="414"/>
      <c r="C67" s="358"/>
      <c r="D67" s="414"/>
      <c r="F67" s="418"/>
      <c r="J67" s="599"/>
      <c r="K67" s="599"/>
      <c r="Q67" s="26"/>
      <c r="R67" s="621"/>
      <c r="X67" s="1191"/>
    </row>
    <row r="68" spans="1:24" s="356" customFormat="1" ht="14.25">
      <c r="A68" s="414"/>
      <c r="B68" s="414"/>
      <c r="C68" s="358"/>
      <c r="D68" s="414"/>
      <c r="F68" s="418"/>
      <c r="J68" s="599"/>
      <c r="K68" s="599"/>
      <c r="Q68" s="26"/>
      <c r="R68" s="621"/>
      <c r="X68" s="1191"/>
    </row>
    <row r="69" spans="1:24" s="356" customFormat="1" ht="14.25">
      <c r="A69" s="414"/>
      <c r="B69" s="414"/>
      <c r="C69" s="358"/>
      <c r="D69" s="414"/>
      <c r="F69" s="418"/>
      <c r="J69" s="599"/>
      <c r="K69" s="599"/>
      <c r="Q69" s="26"/>
      <c r="R69" s="621"/>
      <c r="X69" s="1191"/>
    </row>
    <row r="70" spans="1:24" s="356" customFormat="1" ht="14.25">
      <c r="A70" s="414"/>
      <c r="B70" s="414"/>
      <c r="C70" s="358"/>
      <c r="D70" s="414"/>
      <c r="F70" s="418"/>
      <c r="J70" s="599"/>
      <c r="K70" s="599"/>
      <c r="Q70" s="26"/>
      <c r="R70" s="621"/>
      <c r="X70" s="1191"/>
    </row>
    <row r="71" spans="1:24" s="356" customFormat="1" ht="14.25">
      <c r="A71" s="414"/>
      <c r="B71" s="414"/>
      <c r="C71" s="358"/>
      <c r="D71" s="414"/>
      <c r="F71" s="418"/>
      <c r="J71" s="599"/>
      <c r="K71" s="599"/>
      <c r="Q71" s="26"/>
      <c r="R71" s="621"/>
      <c r="X71" s="1191"/>
    </row>
    <row r="72" spans="1:24" s="356" customFormat="1" ht="14.25">
      <c r="A72" s="414"/>
      <c r="B72" s="414"/>
      <c r="C72" s="358"/>
      <c r="D72" s="414"/>
      <c r="F72" s="418"/>
      <c r="J72" s="599"/>
      <c r="K72" s="599"/>
      <c r="Q72" s="26"/>
      <c r="R72" s="621"/>
      <c r="X72" s="1191"/>
    </row>
    <row r="73" spans="1:24" s="356" customFormat="1" ht="14.25">
      <c r="A73" s="414"/>
      <c r="B73" s="414"/>
      <c r="C73" s="358"/>
      <c r="D73" s="414"/>
      <c r="F73" s="418"/>
      <c r="J73" s="599"/>
      <c r="K73" s="599"/>
      <c r="Q73" s="26"/>
      <c r="R73" s="621"/>
      <c r="X73" s="1191"/>
    </row>
    <row r="74" spans="1:24" s="356" customFormat="1" ht="14.25">
      <c r="A74" s="414"/>
      <c r="B74" s="414"/>
      <c r="C74" s="358"/>
      <c r="D74" s="414"/>
      <c r="F74" s="418"/>
      <c r="J74" s="599"/>
      <c r="K74" s="599"/>
      <c r="Q74" s="26"/>
      <c r="R74" s="621"/>
      <c r="X74" s="1191"/>
    </row>
    <row r="75" spans="1:24" s="356" customFormat="1" ht="14.25">
      <c r="A75" s="414"/>
      <c r="B75" s="414"/>
      <c r="C75" s="358"/>
      <c r="D75" s="414"/>
      <c r="F75" s="418"/>
      <c r="J75" s="599"/>
      <c r="K75" s="599"/>
      <c r="Q75" s="26"/>
      <c r="R75" s="621"/>
      <c r="X75" s="1191"/>
    </row>
    <row r="76" spans="1:24" s="356" customFormat="1" ht="14.25">
      <c r="A76" s="367"/>
      <c r="B76" s="367"/>
      <c r="C76" s="358"/>
      <c r="D76" s="367"/>
      <c r="F76" s="418"/>
      <c r="J76" s="599"/>
      <c r="K76" s="599"/>
      <c r="Q76" s="26"/>
      <c r="R76" s="621"/>
      <c r="X76" s="1191"/>
    </row>
    <row r="77" spans="1:24" s="356" customFormat="1" ht="14.25">
      <c r="A77" s="367"/>
      <c r="B77" s="367"/>
      <c r="C77" s="358"/>
      <c r="D77" s="367"/>
      <c r="F77" s="418"/>
      <c r="J77" s="599"/>
      <c r="K77" s="599"/>
      <c r="Q77" s="26"/>
      <c r="R77" s="621"/>
      <c r="X77" s="1191"/>
    </row>
    <row r="78" spans="1:24" s="356" customFormat="1" ht="14.25">
      <c r="A78" s="367"/>
      <c r="B78" s="367"/>
      <c r="C78" s="358"/>
      <c r="D78" s="367"/>
      <c r="F78" s="418"/>
      <c r="J78" s="599"/>
      <c r="K78" s="599"/>
      <c r="Q78" s="26"/>
      <c r="R78" s="621"/>
      <c r="X78" s="1191"/>
    </row>
    <row r="79" spans="1:24" s="356" customFormat="1" ht="14.25">
      <c r="A79" s="367"/>
      <c r="B79" s="367"/>
      <c r="C79" s="358"/>
      <c r="D79" s="367"/>
      <c r="F79" s="418"/>
      <c r="J79" s="599"/>
      <c r="K79" s="599"/>
      <c r="Q79" s="26"/>
      <c r="R79" s="621"/>
      <c r="X79" s="1191"/>
    </row>
    <row r="80" spans="1:24" s="356" customFormat="1" ht="14.25">
      <c r="A80" s="367"/>
      <c r="B80" s="367"/>
      <c r="C80" s="358"/>
      <c r="D80" s="367"/>
      <c r="F80" s="418"/>
      <c r="J80" s="599"/>
      <c r="K80" s="599"/>
      <c r="Q80" s="26"/>
      <c r="R80" s="621"/>
      <c r="X80" s="1191"/>
    </row>
    <row r="81" spans="1:24" s="356" customFormat="1" ht="14.25">
      <c r="A81" s="367"/>
      <c r="B81" s="367"/>
      <c r="C81" s="358"/>
      <c r="D81" s="367"/>
      <c r="F81" s="418"/>
      <c r="J81" s="599"/>
      <c r="K81" s="599"/>
      <c r="Q81" s="26"/>
      <c r="R81" s="621"/>
      <c r="X81" s="1191"/>
    </row>
    <row r="82" spans="1:24" s="356" customFormat="1" ht="14.25">
      <c r="A82" s="367"/>
      <c r="B82" s="367"/>
      <c r="C82" s="358"/>
      <c r="D82" s="367"/>
      <c r="F82" s="418"/>
      <c r="J82" s="599"/>
      <c r="K82" s="599"/>
      <c r="Q82" s="26"/>
      <c r="R82" s="621"/>
      <c r="X82" s="1191"/>
    </row>
    <row r="83" spans="1:24">
      <c r="A83" s="367"/>
      <c r="B83" s="367"/>
      <c r="C83" s="358"/>
      <c r="D83" s="367"/>
      <c r="F83" s="418"/>
      <c r="J83" s="414"/>
      <c r="K83" s="414"/>
    </row>
    <row r="84" spans="1:24">
      <c r="A84" s="367"/>
      <c r="B84" s="367"/>
      <c r="C84" s="358"/>
      <c r="D84" s="367"/>
      <c r="F84" s="418"/>
      <c r="J84" s="414"/>
      <c r="K84" s="414"/>
    </row>
    <row r="85" spans="1:24">
      <c r="A85" s="367"/>
      <c r="B85" s="367"/>
      <c r="C85" s="358"/>
      <c r="D85" s="367"/>
      <c r="F85" s="418"/>
      <c r="J85" s="414"/>
      <c r="K85" s="414"/>
    </row>
    <row r="86" spans="1:24">
      <c r="A86" s="367"/>
      <c r="B86" s="367"/>
      <c r="C86" s="358"/>
      <c r="D86" s="367"/>
      <c r="F86" s="418"/>
      <c r="J86" s="414"/>
      <c r="K86" s="414"/>
    </row>
    <row r="87" spans="1:24">
      <c r="A87" s="367"/>
      <c r="B87" s="367"/>
      <c r="C87" s="358"/>
      <c r="D87" s="367"/>
      <c r="F87" s="418"/>
      <c r="J87" s="414"/>
      <c r="K87" s="414"/>
    </row>
    <row r="88" spans="1:24">
      <c r="A88" s="367"/>
      <c r="B88" s="367"/>
      <c r="C88" s="358"/>
      <c r="D88" s="367"/>
      <c r="F88" s="418"/>
      <c r="J88" s="414"/>
      <c r="K88" s="414"/>
    </row>
    <row r="89" spans="1:24">
      <c r="A89" s="367"/>
      <c r="B89" s="367"/>
      <c r="C89" s="358"/>
      <c r="D89" s="367"/>
      <c r="F89" s="418"/>
      <c r="J89" s="414"/>
      <c r="K89" s="414"/>
    </row>
    <row r="90" spans="1:24">
      <c r="A90" s="367"/>
      <c r="B90" s="367"/>
      <c r="C90" s="358"/>
      <c r="D90" s="367"/>
      <c r="F90" s="418"/>
      <c r="J90" s="414"/>
      <c r="K90" s="414"/>
    </row>
    <row r="91" spans="1:24">
      <c r="A91" s="367"/>
      <c r="B91" s="367"/>
      <c r="C91" s="358"/>
      <c r="D91" s="367"/>
      <c r="F91" s="418"/>
      <c r="J91" s="414"/>
      <c r="K91" s="414"/>
    </row>
    <row r="92" spans="1:24">
      <c r="A92" s="367"/>
      <c r="B92" s="367"/>
      <c r="C92" s="358"/>
      <c r="D92" s="367"/>
      <c r="F92" s="418"/>
      <c r="J92" s="414"/>
      <c r="K92" s="414"/>
    </row>
    <row r="93" spans="1:24">
      <c r="A93" s="367"/>
      <c r="B93" s="367"/>
      <c r="C93" s="358"/>
      <c r="D93" s="367"/>
      <c r="F93" s="418"/>
      <c r="J93" s="414"/>
      <c r="K93" s="414"/>
    </row>
    <row r="94" spans="1:24">
      <c r="A94" s="367"/>
      <c r="B94" s="367"/>
      <c r="C94" s="358"/>
      <c r="D94" s="367"/>
      <c r="F94" s="418"/>
      <c r="J94" s="414"/>
      <c r="K94" s="414"/>
    </row>
    <row r="95" spans="1:24">
      <c r="A95" s="367"/>
      <c r="B95" s="367"/>
      <c r="C95" s="358"/>
      <c r="D95" s="367"/>
      <c r="F95" s="418"/>
      <c r="J95" s="414"/>
      <c r="K95" s="414"/>
    </row>
    <row r="96" spans="1:24">
      <c r="A96" s="367"/>
      <c r="B96" s="367"/>
      <c r="C96" s="358"/>
      <c r="D96" s="367"/>
      <c r="F96" s="418"/>
      <c r="J96" s="414"/>
      <c r="K96" s="414"/>
    </row>
    <row r="97" spans="1:11">
      <c r="A97" s="367"/>
      <c r="B97" s="367"/>
      <c r="C97" s="358"/>
      <c r="D97" s="367"/>
      <c r="F97" s="418"/>
      <c r="J97" s="414"/>
      <c r="K97" s="414"/>
    </row>
    <row r="98" spans="1:11">
      <c r="A98" s="367"/>
      <c r="B98" s="367"/>
      <c r="C98" s="358"/>
      <c r="D98" s="367"/>
      <c r="F98" s="418"/>
      <c r="J98" s="414"/>
      <c r="K98" s="414"/>
    </row>
    <row r="99" spans="1:11">
      <c r="A99" s="367"/>
      <c r="B99" s="367"/>
      <c r="C99" s="358"/>
      <c r="D99" s="367"/>
      <c r="F99" s="418"/>
      <c r="J99" s="414"/>
      <c r="K99" s="414"/>
    </row>
    <row r="100" spans="1:11">
      <c r="A100" s="367"/>
      <c r="B100" s="367"/>
      <c r="C100" s="358"/>
      <c r="D100" s="367"/>
      <c r="F100" s="418"/>
      <c r="J100" s="414"/>
      <c r="K100" s="414"/>
    </row>
    <row r="101" spans="1:11">
      <c r="A101" s="367"/>
      <c r="B101" s="367"/>
      <c r="C101" s="358"/>
      <c r="D101" s="367"/>
      <c r="F101" s="418"/>
      <c r="J101" s="414"/>
      <c r="K101" s="414"/>
    </row>
    <row r="102" spans="1:11">
      <c r="A102" s="367"/>
      <c r="B102" s="367"/>
      <c r="C102" s="358"/>
      <c r="D102" s="367"/>
      <c r="F102" s="418"/>
      <c r="J102" s="414"/>
      <c r="K102" s="414"/>
    </row>
    <row r="103" spans="1:11">
      <c r="A103" s="367"/>
      <c r="B103" s="367"/>
      <c r="C103" s="358"/>
      <c r="D103" s="367"/>
      <c r="F103" s="418"/>
      <c r="J103" s="414"/>
      <c r="K103" s="414"/>
    </row>
    <row r="104" spans="1:11">
      <c r="A104" s="367"/>
      <c r="B104" s="367"/>
      <c r="C104" s="358"/>
      <c r="D104" s="367"/>
      <c r="F104" s="418"/>
      <c r="J104" s="414"/>
      <c r="K104" s="414"/>
    </row>
    <row r="105" spans="1:11">
      <c r="A105" s="367"/>
      <c r="B105" s="367"/>
      <c r="C105" s="358"/>
      <c r="D105" s="367"/>
      <c r="F105" s="418"/>
      <c r="J105" s="414"/>
      <c r="K105" s="414"/>
    </row>
    <row r="106" spans="1:11">
      <c r="A106" s="367"/>
      <c r="B106" s="367"/>
      <c r="C106" s="358"/>
      <c r="D106" s="367"/>
      <c r="F106" s="418"/>
      <c r="J106" s="414"/>
      <c r="K106" s="414"/>
    </row>
    <row r="107" spans="1:11">
      <c r="A107" s="367"/>
      <c r="B107" s="367"/>
      <c r="C107" s="358"/>
      <c r="D107" s="367"/>
      <c r="F107" s="418"/>
      <c r="J107" s="414"/>
      <c r="K107" s="414"/>
    </row>
    <row r="108" spans="1:11">
      <c r="A108" s="367"/>
      <c r="B108" s="367"/>
      <c r="C108" s="358"/>
      <c r="D108" s="367"/>
      <c r="F108" s="418"/>
      <c r="J108" s="414"/>
      <c r="K108" s="414"/>
    </row>
    <row r="109" spans="1:11">
      <c r="A109" s="367"/>
      <c r="B109" s="367"/>
      <c r="C109" s="358"/>
      <c r="D109" s="367"/>
      <c r="F109" s="418"/>
      <c r="J109" s="414"/>
      <c r="K109" s="414"/>
    </row>
    <row r="110" spans="1:11">
      <c r="A110" s="367"/>
      <c r="B110" s="367"/>
      <c r="C110" s="358"/>
      <c r="D110" s="367"/>
      <c r="F110" s="418"/>
      <c r="J110" s="414"/>
      <c r="K110" s="414"/>
    </row>
    <row r="111" spans="1:11">
      <c r="A111" s="367"/>
      <c r="B111" s="367"/>
      <c r="C111" s="358"/>
      <c r="D111" s="367"/>
      <c r="F111" s="418"/>
      <c r="J111" s="414"/>
      <c r="K111" s="414"/>
    </row>
    <row r="112" spans="1:11">
      <c r="A112" s="367"/>
      <c r="B112" s="367"/>
      <c r="C112" s="358"/>
      <c r="D112" s="367"/>
      <c r="F112" s="418"/>
      <c r="J112" s="414"/>
      <c r="K112" s="414"/>
    </row>
    <row r="113" spans="1:11">
      <c r="A113" s="367"/>
      <c r="B113" s="367"/>
      <c r="C113" s="358"/>
      <c r="D113" s="367"/>
      <c r="F113" s="418"/>
      <c r="J113" s="414"/>
      <c r="K113" s="414"/>
    </row>
    <row r="114" spans="1:11">
      <c r="A114" s="367"/>
      <c r="B114" s="367"/>
      <c r="C114" s="358"/>
      <c r="D114" s="367"/>
      <c r="F114" s="418"/>
      <c r="J114" s="414"/>
      <c r="K114" s="414"/>
    </row>
    <row r="115" spans="1:11">
      <c r="A115" s="367"/>
      <c r="B115" s="367"/>
      <c r="C115" s="358"/>
      <c r="D115" s="367"/>
      <c r="F115" s="418"/>
      <c r="J115" s="414"/>
      <c r="K115" s="414"/>
    </row>
    <row r="116" spans="1:11">
      <c r="A116" s="367"/>
      <c r="B116" s="367"/>
      <c r="C116" s="358"/>
      <c r="D116" s="367"/>
      <c r="F116" s="418"/>
      <c r="J116" s="414"/>
      <c r="K116" s="414"/>
    </row>
    <row r="117" spans="1:11">
      <c r="A117" s="367"/>
      <c r="B117" s="367"/>
      <c r="C117" s="358"/>
      <c r="D117" s="367"/>
      <c r="F117" s="418"/>
      <c r="J117" s="414"/>
      <c r="K117" s="414"/>
    </row>
    <row r="118" spans="1:11">
      <c r="A118" s="367"/>
      <c r="B118" s="367"/>
      <c r="C118" s="358"/>
      <c r="D118" s="367"/>
      <c r="F118" s="418"/>
      <c r="J118" s="414"/>
      <c r="K118" s="414"/>
    </row>
    <row r="119" spans="1:11">
      <c r="A119" s="367"/>
      <c r="B119" s="367"/>
      <c r="C119" s="358"/>
      <c r="D119" s="367"/>
      <c r="F119" s="418"/>
      <c r="J119" s="414"/>
      <c r="K119" s="414"/>
    </row>
    <row r="120" spans="1:11">
      <c r="A120" s="367"/>
      <c r="B120" s="367"/>
      <c r="C120" s="358"/>
      <c r="D120" s="367"/>
      <c r="F120" s="418"/>
      <c r="J120" s="414"/>
      <c r="K120" s="414"/>
    </row>
    <row r="121" spans="1:11">
      <c r="A121" s="367"/>
      <c r="B121" s="367"/>
      <c r="C121" s="358"/>
      <c r="D121" s="367"/>
      <c r="F121" s="418"/>
      <c r="J121" s="414"/>
      <c r="K121" s="414"/>
    </row>
    <row r="122" spans="1:11">
      <c r="A122" s="367"/>
      <c r="B122" s="367"/>
      <c r="C122" s="358"/>
      <c r="D122" s="367"/>
      <c r="F122" s="418"/>
      <c r="J122" s="414"/>
      <c r="K122" s="414"/>
    </row>
    <row r="123" spans="1:11">
      <c r="A123" s="367"/>
      <c r="B123" s="367"/>
      <c r="C123" s="358"/>
      <c r="D123" s="367"/>
      <c r="F123" s="418"/>
      <c r="J123" s="414"/>
      <c r="K123" s="414"/>
    </row>
    <row r="124" spans="1:11">
      <c r="A124" s="367"/>
      <c r="B124" s="367"/>
      <c r="C124" s="358"/>
      <c r="D124" s="367"/>
      <c r="F124" s="418"/>
      <c r="J124" s="414"/>
      <c r="K124" s="414"/>
    </row>
    <row r="125" spans="1:11">
      <c r="A125" s="367"/>
      <c r="B125" s="367"/>
      <c r="C125" s="358"/>
      <c r="D125" s="367"/>
      <c r="F125" s="418"/>
      <c r="J125" s="414"/>
      <c r="K125" s="414"/>
    </row>
    <row r="126" spans="1:11">
      <c r="A126" s="367"/>
      <c r="B126" s="367"/>
      <c r="C126" s="358"/>
      <c r="D126" s="367"/>
      <c r="F126" s="418"/>
      <c r="J126" s="414"/>
      <c r="K126" s="414"/>
    </row>
    <row r="127" spans="1:11">
      <c r="A127" s="367"/>
      <c r="B127" s="367"/>
      <c r="C127" s="358"/>
      <c r="D127" s="367"/>
      <c r="F127" s="418"/>
      <c r="J127" s="414"/>
      <c r="K127" s="414"/>
    </row>
    <row r="128" spans="1:11">
      <c r="A128" s="367"/>
      <c r="B128" s="367"/>
      <c r="C128" s="358"/>
      <c r="D128" s="367"/>
      <c r="F128" s="418"/>
      <c r="J128" s="414"/>
      <c r="K128" s="414"/>
    </row>
    <row r="129" spans="1:11">
      <c r="A129" s="367"/>
      <c r="B129" s="367"/>
      <c r="C129" s="358"/>
      <c r="D129" s="367"/>
      <c r="F129" s="418"/>
      <c r="J129" s="414"/>
      <c r="K129" s="414"/>
    </row>
    <row r="130" spans="1:11">
      <c r="A130" s="367"/>
      <c r="B130" s="367"/>
      <c r="C130" s="358"/>
      <c r="D130" s="367"/>
      <c r="F130" s="418"/>
      <c r="J130" s="414"/>
      <c r="K130" s="414"/>
    </row>
    <row r="131" spans="1:11">
      <c r="A131" s="367"/>
      <c r="B131" s="367"/>
      <c r="C131" s="358"/>
      <c r="D131" s="367"/>
      <c r="F131" s="418"/>
      <c r="J131" s="414"/>
      <c r="K131" s="414"/>
    </row>
    <row r="132" spans="1:11">
      <c r="A132" s="367"/>
      <c r="B132" s="367"/>
      <c r="C132" s="358"/>
      <c r="D132" s="367"/>
      <c r="F132" s="418"/>
      <c r="J132" s="414"/>
      <c r="K132" s="414"/>
    </row>
    <row r="133" spans="1:11">
      <c r="A133" s="367"/>
      <c r="B133" s="367"/>
      <c r="C133" s="358"/>
      <c r="D133" s="367"/>
      <c r="F133" s="418"/>
      <c r="J133" s="414"/>
      <c r="K133" s="414"/>
    </row>
    <row r="134" spans="1:11">
      <c r="A134" s="367"/>
      <c r="B134" s="367"/>
      <c r="C134" s="358"/>
      <c r="D134" s="367"/>
      <c r="F134" s="418"/>
      <c r="J134" s="414"/>
      <c r="K134" s="414"/>
    </row>
    <row r="135" spans="1:11">
      <c r="A135" s="367"/>
      <c r="B135" s="367"/>
      <c r="C135" s="358"/>
      <c r="D135" s="367"/>
      <c r="F135" s="418"/>
      <c r="J135" s="414"/>
      <c r="K135" s="414"/>
    </row>
    <row r="136" spans="1:11">
      <c r="A136" s="367"/>
      <c r="B136" s="367"/>
      <c r="C136" s="358"/>
      <c r="D136" s="367"/>
      <c r="F136" s="418"/>
      <c r="J136" s="414"/>
      <c r="K136" s="414"/>
    </row>
    <row r="137" spans="1:11">
      <c r="A137" s="367"/>
      <c r="B137" s="367"/>
      <c r="C137" s="358"/>
      <c r="D137" s="367"/>
      <c r="F137" s="418"/>
      <c r="J137" s="414"/>
      <c r="K137" s="414"/>
    </row>
    <row r="138" spans="1:11">
      <c r="A138" s="367"/>
      <c r="B138" s="367"/>
      <c r="C138" s="358"/>
      <c r="D138" s="367"/>
      <c r="F138" s="418"/>
      <c r="J138" s="414"/>
      <c r="K138" s="414"/>
    </row>
    <row r="139" spans="1:11">
      <c r="A139" s="367"/>
      <c r="B139" s="367"/>
      <c r="C139" s="358"/>
      <c r="D139" s="367"/>
      <c r="F139" s="418"/>
      <c r="J139" s="414"/>
      <c r="K139" s="414"/>
    </row>
    <row r="140" spans="1:11">
      <c r="A140" s="367"/>
      <c r="B140" s="367"/>
      <c r="C140" s="358"/>
      <c r="D140" s="367"/>
      <c r="F140" s="418"/>
      <c r="J140" s="414"/>
      <c r="K140" s="414"/>
    </row>
    <row r="141" spans="1:11">
      <c r="A141" s="367"/>
      <c r="B141" s="367"/>
      <c r="C141" s="358"/>
      <c r="D141" s="367"/>
      <c r="F141" s="418"/>
      <c r="J141" s="414"/>
      <c r="K141" s="414"/>
    </row>
    <row r="142" spans="1:11">
      <c r="A142" s="367"/>
      <c r="B142" s="367"/>
      <c r="C142" s="358"/>
      <c r="D142" s="367"/>
      <c r="F142" s="418"/>
      <c r="J142" s="414"/>
      <c r="K142" s="414"/>
    </row>
    <row r="143" spans="1:11">
      <c r="A143" s="367"/>
      <c r="B143" s="367"/>
      <c r="C143" s="358"/>
      <c r="D143" s="367"/>
      <c r="F143" s="418"/>
      <c r="J143" s="414"/>
      <c r="K143" s="414"/>
    </row>
    <row r="144" spans="1:11">
      <c r="A144" s="367"/>
      <c r="B144" s="367"/>
      <c r="C144" s="358"/>
      <c r="D144" s="367"/>
      <c r="F144" s="418"/>
      <c r="J144" s="414"/>
      <c r="K144" s="414"/>
    </row>
    <row r="145" spans="1:11">
      <c r="A145" s="367"/>
      <c r="B145" s="367"/>
      <c r="C145" s="358"/>
      <c r="D145" s="367"/>
      <c r="F145" s="418"/>
      <c r="J145" s="414"/>
      <c r="K145" s="414"/>
    </row>
    <row r="146" spans="1:11">
      <c r="A146" s="367"/>
      <c r="B146" s="367"/>
      <c r="C146" s="358"/>
      <c r="D146" s="367"/>
      <c r="F146" s="418"/>
      <c r="J146" s="414"/>
      <c r="K146" s="414"/>
    </row>
    <row r="147" spans="1:11">
      <c r="A147" s="367"/>
      <c r="B147" s="367"/>
      <c r="C147" s="358"/>
      <c r="D147" s="367"/>
      <c r="F147" s="418"/>
      <c r="J147" s="414"/>
      <c r="K147" s="414"/>
    </row>
    <row r="148" spans="1:11">
      <c r="A148" s="367"/>
      <c r="B148" s="367"/>
      <c r="C148" s="358"/>
      <c r="D148" s="367"/>
      <c r="F148" s="418"/>
      <c r="J148" s="414"/>
      <c r="K148" s="414"/>
    </row>
    <row r="149" spans="1:11">
      <c r="A149" s="367"/>
      <c r="B149" s="367"/>
      <c r="C149" s="358"/>
      <c r="D149" s="367"/>
      <c r="F149" s="418"/>
      <c r="J149" s="414"/>
      <c r="K149" s="414"/>
    </row>
    <row r="150" spans="1:11">
      <c r="A150" s="367"/>
      <c r="B150" s="367"/>
      <c r="C150" s="358"/>
      <c r="D150" s="367"/>
      <c r="F150" s="418"/>
      <c r="J150" s="414"/>
      <c r="K150" s="414"/>
    </row>
    <row r="151" spans="1:11">
      <c r="A151" s="367"/>
      <c r="B151" s="367"/>
      <c r="C151" s="358"/>
      <c r="D151" s="367"/>
      <c r="F151" s="418"/>
      <c r="J151" s="414"/>
      <c r="K151" s="414"/>
    </row>
    <row r="152" spans="1:11">
      <c r="A152" s="367"/>
      <c r="B152" s="367"/>
      <c r="C152" s="358"/>
      <c r="D152" s="367"/>
      <c r="F152" s="418"/>
      <c r="J152" s="414"/>
      <c r="K152" s="414"/>
    </row>
    <row r="153" spans="1:11">
      <c r="A153" s="367"/>
      <c r="B153" s="367"/>
      <c r="C153" s="358"/>
      <c r="D153" s="367"/>
      <c r="F153" s="418"/>
      <c r="J153" s="414"/>
      <c r="K153" s="414"/>
    </row>
    <row r="154" spans="1:11">
      <c r="A154" s="367"/>
      <c r="B154" s="367"/>
      <c r="C154" s="358"/>
      <c r="D154" s="367"/>
      <c r="F154" s="418"/>
      <c r="J154" s="414"/>
      <c r="K154" s="414"/>
    </row>
    <row r="155" spans="1:11">
      <c r="A155" s="367"/>
      <c r="B155" s="367"/>
      <c r="C155" s="358"/>
      <c r="D155" s="367"/>
      <c r="F155" s="418"/>
      <c r="J155" s="414"/>
      <c r="K155" s="414"/>
    </row>
    <row r="156" spans="1:11">
      <c r="A156" s="367"/>
      <c r="B156" s="367"/>
      <c r="C156" s="358"/>
      <c r="D156" s="367"/>
      <c r="F156" s="418"/>
      <c r="J156" s="414"/>
      <c r="K156" s="414"/>
    </row>
    <row r="157" spans="1:11">
      <c r="A157" s="367"/>
      <c r="B157" s="367"/>
      <c r="C157" s="358"/>
      <c r="D157" s="367"/>
      <c r="F157" s="418"/>
      <c r="J157" s="414"/>
      <c r="K157" s="414"/>
    </row>
    <row r="158" spans="1:11">
      <c r="A158" s="367"/>
      <c r="B158" s="367"/>
      <c r="C158" s="358"/>
      <c r="D158" s="367"/>
      <c r="F158" s="418"/>
      <c r="J158" s="414"/>
      <c r="K158" s="414"/>
    </row>
    <row r="159" spans="1:11">
      <c r="A159" s="367"/>
      <c r="B159" s="367"/>
      <c r="C159" s="358"/>
      <c r="D159" s="367"/>
      <c r="F159" s="418"/>
      <c r="J159" s="414"/>
      <c r="K159" s="414"/>
    </row>
    <row r="160" spans="1:11">
      <c r="A160" s="367"/>
      <c r="B160" s="367"/>
      <c r="C160" s="358"/>
      <c r="D160" s="367"/>
      <c r="F160" s="418"/>
      <c r="J160" s="414"/>
      <c r="K160" s="414"/>
    </row>
    <row r="161" spans="1:11">
      <c r="A161" s="367"/>
      <c r="B161" s="367"/>
      <c r="C161" s="358"/>
      <c r="D161" s="367"/>
      <c r="F161" s="418"/>
      <c r="J161" s="414"/>
      <c r="K161" s="414"/>
    </row>
    <row r="162" spans="1:11">
      <c r="A162" s="367"/>
      <c r="B162" s="367"/>
      <c r="C162" s="358"/>
      <c r="D162" s="367"/>
      <c r="F162" s="418"/>
      <c r="J162" s="414"/>
      <c r="K162" s="414"/>
    </row>
    <row r="163" spans="1:11">
      <c r="A163" s="367"/>
      <c r="B163" s="367"/>
      <c r="C163" s="358"/>
      <c r="D163" s="367"/>
      <c r="F163" s="418"/>
      <c r="J163" s="414"/>
      <c r="K163" s="414"/>
    </row>
    <row r="164" spans="1:11">
      <c r="A164" s="367"/>
      <c r="B164" s="367"/>
      <c r="C164" s="358"/>
      <c r="D164" s="367"/>
      <c r="F164" s="418"/>
      <c r="J164" s="414"/>
      <c r="K164" s="414"/>
    </row>
    <row r="165" spans="1:11">
      <c r="A165" s="367"/>
      <c r="B165" s="367"/>
      <c r="C165" s="358"/>
      <c r="D165" s="367"/>
      <c r="F165" s="418"/>
      <c r="J165" s="414"/>
      <c r="K165" s="414"/>
    </row>
    <row r="166" spans="1:11">
      <c r="A166" s="367"/>
      <c r="B166" s="367"/>
      <c r="C166" s="358"/>
      <c r="D166" s="367"/>
      <c r="F166" s="418"/>
      <c r="J166" s="414"/>
      <c r="K166" s="414"/>
    </row>
    <row r="167" spans="1:11">
      <c r="A167" s="367"/>
      <c r="B167" s="367"/>
      <c r="C167" s="358"/>
      <c r="D167" s="367"/>
      <c r="F167" s="418"/>
      <c r="J167" s="414"/>
      <c r="K167" s="414"/>
    </row>
    <row r="168" spans="1:11">
      <c r="A168" s="367"/>
      <c r="B168" s="367"/>
      <c r="C168" s="358"/>
      <c r="D168" s="367"/>
      <c r="F168" s="418"/>
      <c r="J168" s="414"/>
      <c r="K168" s="414"/>
    </row>
    <row r="169" spans="1:11">
      <c r="A169" s="367"/>
      <c r="B169" s="367"/>
      <c r="C169" s="358"/>
      <c r="D169" s="367"/>
      <c r="F169" s="418"/>
      <c r="J169" s="414"/>
      <c r="K169" s="414"/>
    </row>
    <row r="170" spans="1:11">
      <c r="C170" s="358"/>
      <c r="J170" s="414"/>
      <c r="K170" s="414"/>
    </row>
    <row r="171" spans="1:11">
      <c r="C171" s="358"/>
      <c r="J171" s="414"/>
      <c r="K171" s="414"/>
    </row>
    <row r="172" spans="1:11">
      <c r="C172" s="358"/>
      <c r="J172" s="414"/>
      <c r="K172" s="414"/>
    </row>
    <row r="173" spans="1:11">
      <c r="C173" s="358"/>
      <c r="J173" s="414"/>
      <c r="K173" s="414"/>
    </row>
    <row r="174" spans="1:11">
      <c r="C174" s="358"/>
      <c r="J174" s="414"/>
      <c r="K174" s="414"/>
    </row>
    <row r="175" spans="1:11">
      <c r="C175" s="358"/>
      <c r="J175" s="414"/>
      <c r="K175" s="414"/>
    </row>
    <row r="176" spans="1:11">
      <c r="C176" s="358"/>
      <c r="J176" s="414"/>
      <c r="K176" s="414"/>
    </row>
  </sheetData>
  <mergeCells count="47">
    <mergeCell ref="U14:U15"/>
    <mergeCell ref="U36:U37"/>
    <mergeCell ref="T14:T15"/>
    <mergeCell ref="X14:X15"/>
    <mergeCell ref="X36:X37"/>
    <mergeCell ref="V14:V15"/>
    <mergeCell ref="V36:V37"/>
    <mergeCell ref="W14:W15"/>
    <mergeCell ref="W36:W37"/>
    <mergeCell ref="G14:G15"/>
    <mergeCell ref="G31:G32"/>
    <mergeCell ref="G33:G34"/>
    <mergeCell ref="G36:G37"/>
    <mergeCell ref="A33:A34"/>
    <mergeCell ref="B33:B34"/>
    <mergeCell ref="A36:A37"/>
    <mergeCell ref="B36:B37"/>
    <mergeCell ref="H36:H37"/>
    <mergeCell ref="S36:S37"/>
    <mergeCell ref="R36:R37"/>
    <mergeCell ref="H14:H15"/>
    <mergeCell ref="H31:H32"/>
    <mergeCell ref="H33:H34"/>
    <mergeCell ref="S14:S15"/>
    <mergeCell ref="S31:S32"/>
    <mergeCell ref="S33:S34"/>
    <mergeCell ref="R14:R15"/>
    <mergeCell ref="R31:R32"/>
    <mergeCell ref="R33:R34"/>
    <mergeCell ref="Q31:Q32"/>
    <mergeCell ref="Q33:Q34"/>
    <mergeCell ref="A4:A7"/>
    <mergeCell ref="B4:B7"/>
    <mergeCell ref="A8:A10"/>
    <mergeCell ref="B8:B10"/>
    <mergeCell ref="A31:A32"/>
    <mergeCell ref="B31:B32"/>
    <mergeCell ref="A11:A13"/>
    <mergeCell ref="B11:B13"/>
    <mergeCell ref="B14:B15"/>
    <mergeCell ref="A14:A15"/>
    <mergeCell ref="A16:A18"/>
    <mergeCell ref="B16:B18"/>
    <mergeCell ref="B19:B21"/>
    <mergeCell ref="A19:A21"/>
    <mergeCell ref="A24:A26"/>
    <mergeCell ref="B24:B26"/>
  </mergeCells>
  <phoneticPr fontId="12" type="noConversion"/>
  <conditionalFormatting sqref="Q31:Q34">
    <cfRule type="expression" dxfId="129" priority="28">
      <formula>ABS($R$31/$S$31-1)&gt;0.3</formula>
    </cfRule>
  </conditionalFormatting>
  <conditionalFormatting sqref="U4:U37 V4:X14 V16:X36">
    <cfRule type="expression" dxfId="128" priority="25">
      <formula>U4&lt;&gt;0</formula>
    </cfRule>
  </conditionalFormatting>
  <conditionalFormatting sqref="Q4:Q34 Q36:Q37">
    <cfRule type="expression" dxfId="127" priority="30">
      <formula>ABS($Q4)&gt;0.3</formula>
    </cfRule>
  </conditionalFormatting>
  <conditionalFormatting sqref="T20:T37 T12:T13 T16:T18 T5:T7 T9:T10">
    <cfRule type="cellIs" dxfId="126" priority="23" stopIfTrue="1" operator="lessThan">
      <formula>0</formula>
    </cfRule>
    <cfRule type="cellIs" dxfId="125" priority="24" operator="greaterThan">
      <formula>0</formula>
    </cfRule>
  </conditionalFormatting>
  <dataValidations count="4">
    <dataValidation type="list" allowBlank="1" showInputMessage="1" showErrorMessage="1" sqref="J34:K34">
      <formula1>$L$34:$N$34</formula1>
    </dataValidation>
    <dataValidation type="list" allowBlank="1" showInputMessage="1" showErrorMessage="1" sqref="J33:K33">
      <formula1>$L$33:$N$33</formula1>
    </dataValidation>
    <dataValidation type="list" allowBlank="1" showInputMessage="1" showErrorMessage="1" sqref="J32:K32">
      <formula1>$L$32:$M$32</formula1>
    </dataValidation>
    <dataValidation type="list" allowBlank="1" showInputMessage="1" showErrorMessage="1" sqref="J31:K31">
      <formula1>$L$31:$M$31</formula1>
    </dataValidation>
  </dataValidations>
  <hyperlinks>
    <hyperlink ref="D48" location="权重!A1" display="权重!A1"/>
    <hyperlink ref="D49" location="目录!A1" display="目录!A1"/>
  </hyperlink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6"/>
  </sheetPr>
  <dimension ref="A1:U170"/>
  <sheetViews>
    <sheetView workbookViewId="0">
      <pane xSplit="8" ySplit="3" topLeftCell="J4" activePane="bottomRight" state="frozenSplit"/>
      <selection activeCell="C1" sqref="C1"/>
      <selection pane="topRight" activeCell="D1" sqref="D1"/>
      <selection pane="bottomLeft" activeCell="C22" sqref="C22"/>
      <selection pane="bottomRight" activeCell="D5" sqref="D5:D20"/>
    </sheetView>
  </sheetViews>
  <sheetFormatPr defaultColWidth="8.875" defaultRowHeight="16.5" outlineLevelCol="2"/>
  <cols>
    <col min="1" max="2" width="20.75" style="366" hidden="1" customWidth="1" outlineLevel="1"/>
    <col min="3" max="3" width="4.625" style="518" customWidth="1" collapsed="1"/>
    <col min="4" max="4" width="43.875" style="366" customWidth="1"/>
    <col min="5" max="5" width="13.875" style="356" hidden="1" customWidth="1" outlineLevel="1"/>
    <col min="6" max="6" width="11.5" style="443" hidden="1" customWidth="1" outlineLevel="2"/>
    <col min="7" max="7" width="10.5" style="353" hidden="1" customWidth="1" outlineLevel="1"/>
    <col min="8" max="8" width="9" style="353" customWidth="1" collapsed="1"/>
    <col min="9" max="9" width="9.625" style="353" hidden="1" customWidth="1" outlineLevel="1"/>
    <col min="10" max="10" width="9.125" style="441" customWidth="1" collapsed="1"/>
    <col min="11" max="11" width="8.875" style="441" customWidth="1"/>
    <col min="12" max="12" width="9.375" style="634" bestFit="1" customWidth="1"/>
    <col min="13" max="13" width="10.75" style="353" bestFit="1" customWidth="1"/>
    <col min="14" max="14" width="11.375" style="353" customWidth="1"/>
    <col min="15" max="15" width="8.875" style="353" customWidth="1"/>
    <col min="16" max="17" width="9.625" style="353" customWidth="1"/>
    <col min="18" max="18" width="9.875" style="353" customWidth="1"/>
    <col min="19" max="19" width="13.25" style="353" bestFit="1" customWidth="1"/>
    <col min="20" max="21" width="8.875" style="514"/>
    <col min="22" max="16384" width="8.875" style="353"/>
  </cols>
  <sheetData>
    <row r="1" spans="1:19">
      <c r="A1" s="508"/>
      <c r="B1" s="508"/>
      <c r="C1" s="507" t="s">
        <v>22</v>
      </c>
      <c r="D1" s="508"/>
      <c r="F1" s="509"/>
      <c r="I1" s="564"/>
      <c r="J1" s="509"/>
      <c r="K1" s="509"/>
    </row>
    <row r="2" spans="1:19" s="356" customFormat="1" ht="15">
      <c r="A2" s="509"/>
      <c r="B2" s="509"/>
      <c r="C2" s="510"/>
      <c r="D2" s="511"/>
      <c r="F2" s="509"/>
      <c r="J2" s="509"/>
      <c r="K2" s="509"/>
      <c r="L2" s="26"/>
      <c r="N2" s="346" t="s">
        <v>1637</v>
      </c>
    </row>
    <row r="3" spans="1:19" s="356" customFormat="1" ht="15">
      <c r="A3" s="513" t="s">
        <v>392</v>
      </c>
      <c r="B3" s="513" t="s">
        <v>393</v>
      </c>
      <c r="C3" s="512" t="s">
        <v>183</v>
      </c>
      <c r="D3" s="513" t="s">
        <v>189</v>
      </c>
      <c r="E3" s="513" t="s">
        <v>1467</v>
      </c>
      <c r="F3" s="513" t="s">
        <v>391</v>
      </c>
      <c r="G3" s="513" t="s">
        <v>646</v>
      </c>
      <c r="H3" s="513" t="s">
        <v>485</v>
      </c>
      <c r="I3" s="513" t="s">
        <v>1095</v>
      </c>
      <c r="J3" s="586" t="s">
        <v>2177</v>
      </c>
      <c r="K3" s="587" t="s">
        <v>2428</v>
      </c>
      <c r="L3" s="559" t="s">
        <v>1096</v>
      </c>
      <c r="M3" s="587" t="s">
        <v>2434</v>
      </c>
      <c r="N3" s="586" t="s">
        <v>2178</v>
      </c>
      <c r="O3" s="513" t="s">
        <v>1097</v>
      </c>
      <c r="P3" s="513" t="s">
        <v>462</v>
      </c>
      <c r="Q3" s="515" t="s">
        <v>1582</v>
      </c>
      <c r="R3" s="515" t="s">
        <v>1583</v>
      </c>
      <c r="S3" s="588" t="s">
        <v>2382</v>
      </c>
    </row>
    <row r="4" spans="1:19" s="356" customFormat="1" ht="18" customHeight="1">
      <c r="A4" s="635" t="s">
        <v>1707</v>
      </c>
      <c r="B4" s="636" t="s">
        <v>1708</v>
      </c>
      <c r="C4" s="379">
        <v>1</v>
      </c>
      <c r="D4" s="1323" t="s">
        <v>1686</v>
      </c>
      <c r="E4" s="516"/>
      <c r="F4" s="517" t="s">
        <v>398</v>
      </c>
      <c r="G4" s="342" t="s">
        <v>226</v>
      </c>
      <c r="H4" s="381">
        <v>10</v>
      </c>
      <c r="I4" s="523"/>
      <c r="J4" s="22">
        <v>0.77777777777777779</v>
      </c>
      <c r="K4" s="22">
        <f>IF(K6=0,"",ROUND(K5,0)/ROUND(K6,0))</f>
        <v>0.7857142857142857</v>
      </c>
      <c r="L4" s="629">
        <f t="shared" ref="L4:L21" si="0">IF(AND(J4=0,K4&lt;&gt;0),1,IF(AND(J4=0,K4=0),0,K4/J4-1))</f>
        <v>1.0204081632652962E-2</v>
      </c>
      <c r="M4" s="362" t="str">
        <f>G4</f>
        <v>行业水平评分</v>
      </c>
      <c r="N4" s="362" t="str">
        <f>G4</f>
        <v>行业水平评分</v>
      </c>
      <c r="O4" s="390">
        <v>0</v>
      </c>
      <c r="P4" s="1390">
        <v>10</v>
      </c>
      <c r="Q4" s="1390">
        <f>P4*0.3</f>
        <v>3</v>
      </c>
      <c r="R4" s="1390">
        <f>Q4/9</f>
        <v>0.33333333333333331</v>
      </c>
      <c r="S4" s="1390">
        <f>R4/2</f>
        <v>0.16666666666666666</v>
      </c>
    </row>
    <row r="5" spans="1:19" s="356" customFormat="1" ht="14.25">
      <c r="A5" s="637"/>
      <c r="B5" s="638"/>
      <c r="C5" s="386">
        <v>1.1000000000000001</v>
      </c>
      <c r="D5" s="387" t="s">
        <v>2072</v>
      </c>
      <c r="E5" s="516" t="s">
        <v>202</v>
      </c>
      <c r="F5" s="551"/>
      <c r="G5" s="523"/>
      <c r="H5" s="362"/>
      <c r="I5" s="523" t="s">
        <v>218</v>
      </c>
      <c r="J5" s="384">
        <v>13.8</v>
      </c>
      <c r="K5" s="384">
        <v>22</v>
      </c>
      <c r="L5" s="629">
        <f t="shared" si="0"/>
        <v>0.59420289855072461</v>
      </c>
      <c r="M5" s="361"/>
      <c r="N5" s="361"/>
      <c r="O5" s="390">
        <f>M5-N5</f>
        <v>0</v>
      </c>
      <c r="P5" s="1248"/>
      <c r="Q5" s="1248">
        <f>P5*0.3</f>
        <v>0</v>
      </c>
      <c r="R5" s="1248">
        <f t="shared" ref="R5:R25" si="1">Q5/9</f>
        <v>0</v>
      </c>
      <c r="S5" s="1248">
        <f t="shared" ref="S5:S24" si="2">R5/2</f>
        <v>0</v>
      </c>
    </row>
    <row r="6" spans="1:19" s="356" customFormat="1" ht="14.25">
      <c r="A6" s="639"/>
      <c r="B6" s="640"/>
      <c r="C6" s="386">
        <v>1.2</v>
      </c>
      <c r="D6" s="387" t="s">
        <v>2069</v>
      </c>
      <c r="E6" s="516" t="s">
        <v>202</v>
      </c>
      <c r="F6" s="551"/>
      <c r="G6" s="523"/>
      <c r="H6" s="362"/>
      <c r="I6" s="523" t="s">
        <v>218</v>
      </c>
      <c r="J6" s="384">
        <v>18</v>
      </c>
      <c r="K6" s="384">
        <v>28</v>
      </c>
      <c r="L6" s="629">
        <f t="shared" si="0"/>
        <v>0.55555555555555558</v>
      </c>
      <c r="M6" s="361"/>
      <c r="N6" s="361"/>
      <c r="O6" s="390">
        <f>M6-N6</f>
        <v>0</v>
      </c>
      <c r="P6" s="1248"/>
      <c r="Q6" s="1248">
        <f t="shared" ref="Q6:Q25" si="3">P6*0.3</f>
        <v>0</v>
      </c>
      <c r="R6" s="1248">
        <f t="shared" si="1"/>
        <v>0</v>
      </c>
      <c r="S6" s="1248">
        <f t="shared" si="2"/>
        <v>0</v>
      </c>
    </row>
    <row r="7" spans="1:19" s="356" customFormat="1" ht="14.25" customHeight="1">
      <c r="A7" s="1748" t="s">
        <v>2068</v>
      </c>
      <c r="B7" s="1751" t="s">
        <v>2067</v>
      </c>
      <c r="C7" s="379">
        <v>2</v>
      </c>
      <c r="D7" s="1493" t="s">
        <v>1687</v>
      </c>
      <c r="E7" s="516"/>
      <c r="F7" s="517" t="s">
        <v>398</v>
      </c>
      <c r="G7" s="523" t="s">
        <v>230</v>
      </c>
      <c r="H7" s="381">
        <v>10</v>
      </c>
      <c r="I7" s="523"/>
      <c r="J7" s="22">
        <v>0.66666666666666663</v>
      </c>
      <c r="K7" s="22">
        <f>(ROUND(K8,0)+ROUND(K9,0))/ROUND(K10,0)</f>
        <v>0.58064516129032262</v>
      </c>
      <c r="L7" s="629">
        <f t="shared" si="0"/>
        <v>-0.12903225806451601</v>
      </c>
      <c r="M7" s="362" t="str">
        <f>G7</f>
        <v>行业水平评分</v>
      </c>
      <c r="N7" s="362" t="str">
        <f>G7</f>
        <v>行业水平评分</v>
      </c>
      <c r="O7" s="390">
        <v>0</v>
      </c>
      <c r="P7" s="1390">
        <v>10</v>
      </c>
      <c r="Q7" s="1390">
        <f t="shared" si="3"/>
        <v>3</v>
      </c>
      <c r="R7" s="1390">
        <f t="shared" si="1"/>
        <v>0.33333333333333331</v>
      </c>
      <c r="S7" s="1390">
        <f t="shared" si="2"/>
        <v>0.16666666666666666</v>
      </c>
    </row>
    <row r="8" spans="1:19" s="356" customFormat="1" ht="14.25">
      <c r="A8" s="1749"/>
      <c r="B8" s="1752"/>
      <c r="C8" s="386">
        <v>2.1</v>
      </c>
      <c r="D8" s="387" t="s">
        <v>23</v>
      </c>
      <c r="E8" s="516" t="s">
        <v>202</v>
      </c>
      <c r="F8" s="551"/>
      <c r="G8" s="523"/>
      <c r="H8" s="362"/>
      <c r="I8" s="523" t="s">
        <v>218</v>
      </c>
      <c r="J8" s="384">
        <v>7.4</v>
      </c>
      <c r="K8" s="384">
        <v>11</v>
      </c>
      <c r="L8" s="629">
        <f t="shared" si="0"/>
        <v>0.4864864864864864</v>
      </c>
      <c r="M8" s="361"/>
      <c r="N8" s="361"/>
      <c r="O8" s="390">
        <f>M8-N8</f>
        <v>0</v>
      </c>
      <c r="P8" s="1391"/>
      <c r="Q8" s="1248">
        <f t="shared" si="3"/>
        <v>0</v>
      </c>
      <c r="R8" s="1248">
        <f t="shared" si="1"/>
        <v>0</v>
      </c>
      <c r="S8" s="1248">
        <f t="shared" si="2"/>
        <v>0</v>
      </c>
    </row>
    <row r="9" spans="1:19" s="356" customFormat="1" ht="14.25">
      <c r="A9" s="1749"/>
      <c r="B9" s="1752"/>
      <c r="C9" s="386">
        <v>2.2000000000000002</v>
      </c>
      <c r="D9" s="387" t="s">
        <v>24</v>
      </c>
      <c r="E9" s="516" t="s">
        <v>202</v>
      </c>
      <c r="F9" s="551"/>
      <c r="G9" s="523"/>
      <c r="H9" s="362"/>
      <c r="I9" s="523" t="s">
        <v>218</v>
      </c>
      <c r="J9" s="384">
        <v>6.5</v>
      </c>
      <c r="K9" s="384">
        <v>7</v>
      </c>
      <c r="L9" s="629">
        <f t="shared" si="0"/>
        <v>7.6923076923076872E-2</v>
      </c>
      <c r="M9" s="361"/>
      <c r="N9" s="361"/>
      <c r="O9" s="390">
        <f t="shared" ref="O9:O21" si="4">M9-N9</f>
        <v>0</v>
      </c>
      <c r="P9" s="1391"/>
      <c r="Q9" s="1248">
        <f t="shared" si="3"/>
        <v>0</v>
      </c>
      <c r="R9" s="1248">
        <f t="shared" si="1"/>
        <v>0</v>
      </c>
      <c r="S9" s="1248">
        <f t="shared" si="2"/>
        <v>0</v>
      </c>
    </row>
    <row r="10" spans="1:19" s="356" customFormat="1" ht="14.25">
      <c r="A10" s="1750"/>
      <c r="B10" s="1753"/>
      <c r="C10" s="386">
        <v>2.2999999999999998</v>
      </c>
      <c r="D10" s="387" t="s">
        <v>2066</v>
      </c>
      <c r="E10" s="516" t="s">
        <v>202</v>
      </c>
      <c r="F10" s="551"/>
      <c r="G10" s="523"/>
      <c r="H10" s="362"/>
      <c r="I10" s="523" t="s">
        <v>218</v>
      </c>
      <c r="J10" s="384">
        <v>21.2</v>
      </c>
      <c r="K10" s="384">
        <v>31</v>
      </c>
      <c r="L10" s="629">
        <f t="shared" si="0"/>
        <v>0.46226415094339623</v>
      </c>
      <c r="M10" s="361"/>
      <c r="N10" s="361"/>
      <c r="O10" s="390">
        <f t="shared" si="4"/>
        <v>0</v>
      </c>
      <c r="P10" s="1391"/>
      <c r="Q10" s="1248">
        <f t="shared" si="3"/>
        <v>0</v>
      </c>
      <c r="R10" s="1248">
        <f t="shared" si="1"/>
        <v>0</v>
      </c>
      <c r="S10" s="1248">
        <f t="shared" si="2"/>
        <v>0</v>
      </c>
    </row>
    <row r="11" spans="1:19" s="356" customFormat="1" ht="18" customHeight="1">
      <c r="A11" s="1174" t="s">
        <v>2186</v>
      </c>
      <c r="B11" s="641" t="s">
        <v>244</v>
      </c>
      <c r="C11" s="379">
        <v>3</v>
      </c>
      <c r="D11" s="1323" t="s">
        <v>1688</v>
      </c>
      <c r="E11" s="516" t="s">
        <v>202</v>
      </c>
      <c r="F11" s="517" t="s">
        <v>395</v>
      </c>
      <c r="G11" s="523" t="s">
        <v>230</v>
      </c>
      <c r="H11" s="381">
        <v>4</v>
      </c>
      <c r="I11" s="523" t="s">
        <v>219</v>
      </c>
      <c r="J11" s="1202">
        <v>0.21210000000000001</v>
      </c>
      <c r="K11" s="1202">
        <v>0.2868</v>
      </c>
      <c r="L11" s="629">
        <f t="shared" si="0"/>
        <v>0.35219236209335203</v>
      </c>
      <c r="M11" s="362" t="str">
        <f>G11</f>
        <v>行业水平评分</v>
      </c>
      <c r="N11" s="362" t="str">
        <f>G11</f>
        <v>行业水平评分</v>
      </c>
      <c r="O11" s="390">
        <v>0</v>
      </c>
      <c r="P11" s="1390">
        <v>4</v>
      </c>
      <c r="Q11" s="1390">
        <f t="shared" si="3"/>
        <v>1.2</v>
      </c>
      <c r="R11" s="1390">
        <f t="shared" si="1"/>
        <v>0.13333333333333333</v>
      </c>
      <c r="S11" s="1390">
        <f t="shared" si="2"/>
        <v>6.6666666666666666E-2</v>
      </c>
    </row>
    <row r="12" spans="1:19" s="356" customFormat="1" ht="23.25" customHeight="1">
      <c r="A12" s="551" t="s">
        <v>245</v>
      </c>
      <c r="B12" s="641" t="s">
        <v>246</v>
      </c>
      <c r="C12" s="379">
        <v>4</v>
      </c>
      <c r="D12" s="1323" t="s">
        <v>1689</v>
      </c>
      <c r="E12" s="516" t="s">
        <v>202</v>
      </c>
      <c r="F12" s="517" t="s">
        <v>395</v>
      </c>
      <c r="G12" s="523" t="s">
        <v>230</v>
      </c>
      <c r="H12" s="381">
        <v>6</v>
      </c>
      <c r="I12" s="523" t="s">
        <v>219</v>
      </c>
      <c r="J12" s="1202">
        <v>0.14899999999999999</v>
      </c>
      <c r="K12" s="1202">
        <v>0.14219999999999999</v>
      </c>
      <c r="L12" s="629">
        <f t="shared" si="0"/>
        <v>-4.5637583892617406E-2</v>
      </c>
      <c r="M12" s="362" t="str">
        <f>G12</f>
        <v>行业水平评分</v>
      </c>
      <c r="N12" s="362" t="str">
        <f>G12</f>
        <v>行业水平评分</v>
      </c>
      <c r="O12" s="390">
        <v>0</v>
      </c>
      <c r="P12" s="1390">
        <v>6</v>
      </c>
      <c r="Q12" s="1390">
        <f t="shared" si="3"/>
        <v>1.7999999999999998</v>
      </c>
      <c r="R12" s="1390">
        <f t="shared" si="1"/>
        <v>0.19999999999999998</v>
      </c>
      <c r="S12" s="1390">
        <f t="shared" si="2"/>
        <v>9.9999999999999992E-2</v>
      </c>
    </row>
    <row r="13" spans="1:19" s="356" customFormat="1" ht="15.75" customHeight="1">
      <c r="A13" s="1174" t="s">
        <v>2185</v>
      </c>
      <c r="B13" s="641" t="s">
        <v>247</v>
      </c>
      <c r="C13" s="379">
        <v>5</v>
      </c>
      <c r="D13" s="1323" t="s">
        <v>1690</v>
      </c>
      <c r="E13" s="516" t="s">
        <v>202</v>
      </c>
      <c r="F13" s="517" t="s">
        <v>395</v>
      </c>
      <c r="G13" s="523" t="s">
        <v>230</v>
      </c>
      <c r="H13" s="381">
        <v>10</v>
      </c>
      <c r="I13" s="523" t="s">
        <v>220</v>
      </c>
      <c r="J13" s="1202">
        <v>0.16</v>
      </c>
      <c r="K13" s="1202">
        <v>0.13</v>
      </c>
      <c r="L13" s="629">
        <f t="shared" si="0"/>
        <v>-0.1875</v>
      </c>
      <c r="M13" s="362" t="str">
        <f>G13</f>
        <v>行业水平评分</v>
      </c>
      <c r="N13" s="362" t="str">
        <f>G13</f>
        <v>行业水平评分</v>
      </c>
      <c r="O13" s="390">
        <v>0</v>
      </c>
      <c r="P13" s="1390">
        <v>10</v>
      </c>
      <c r="Q13" s="1390">
        <f t="shared" si="3"/>
        <v>3</v>
      </c>
      <c r="R13" s="1390">
        <f t="shared" si="1"/>
        <v>0.33333333333333331</v>
      </c>
      <c r="S13" s="1390">
        <f t="shared" si="2"/>
        <v>0.16666666666666666</v>
      </c>
    </row>
    <row r="14" spans="1:19" s="356" customFormat="1" ht="21.75" customHeight="1">
      <c r="A14" s="1174" t="s">
        <v>2184</v>
      </c>
      <c r="B14" s="641" t="s">
        <v>248</v>
      </c>
      <c r="C14" s="379">
        <v>6</v>
      </c>
      <c r="D14" s="1323" t="s">
        <v>1691</v>
      </c>
      <c r="E14" s="516" t="s">
        <v>202</v>
      </c>
      <c r="F14" s="517" t="s">
        <v>395</v>
      </c>
      <c r="G14" s="523" t="s">
        <v>230</v>
      </c>
      <c r="H14" s="381">
        <v>7</v>
      </c>
      <c r="I14" s="523" t="s">
        <v>215</v>
      </c>
      <c r="J14" s="1200">
        <v>6.67</v>
      </c>
      <c r="K14" s="1200">
        <v>4.8952</v>
      </c>
      <c r="L14" s="629">
        <f t="shared" si="0"/>
        <v>-0.26608695652173908</v>
      </c>
      <c r="M14" s="362" t="str">
        <f>G14</f>
        <v>行业水平评分</v>
      </c>
      <c r="N14" s="362" t="str">
        <f>G14</f>
        <v>行业水平评分</v>
      </c>
      <c r="O14" s="390">
        <v>0</v>
      </c>
      <c r="P14" s="1392">
        <v>7</v>
      </c>
      <c r="Q14" s="1390">
        <f t="shared" si="3"/>
        <v>2.1</v>
      </c>
      <c r="R14" s="1390">
        <f t="shared" si="1"/>
        <v>0.23333333333333334</v>
      </c>
      <c r="S14" s="1390">
        <f t="shared" si="2"/>
        <v>0.11666666666666667</v>
      </c>
    </row>
    <row r="15" spans="1:19" s="356" customFormat="1" ht="24.75" customHeight="1">
      <c r="A15" s="1174" t="s">
        <v>2183</v>
      </c>
      <c r="B15" s="641" t="s">
        <v>233</v>
      </c>
      <c r="C15" s="379">
        <v>7</v>
      </c>
      <c r="D15" s="392" t="s">
        <v>475</v>
      </c>
      <c r="E15" s="516" t="s">
        <v>450</v>
      </c>
      <c r="F15" s="517" t="s">
        <v>448</v>
      </c>
      <c r="G15" s="361" t="s">
        <v>228</v>
      </c>
      <c r="H15" s="381">
        <v>8</v>
      </c>
      <c r="I15" s="523"/>
      <c r="J15" s="384">
        <v>0</v>
      </c>
      <c r="K15" s="384">
        <v>0</v>
      </c>
      <c r="L15" s="629">
        <f t="shared" si="0"/>
        <v>0</v>
      </c>
      <c r="M15" s="1239">
        <f>MAX(H15-K15*0.5,0)</f>
        <v>8</v>
      </c>
      <c r="N15" s="1239">
        <f>MAX(M15-J15*0.5,0)</f>
        <v>8</v>
      </c>
      <c r="O15" s="390">
        <f t="shared" si="4"/>
        <v>0</v>
      </c>
      <c r="P15" s="1391">
        <f>H15-M15</f>
        <v>0</v>
      </c>
      <c r="Q15" s="1248">
        <f t="shared" si="3"/>
        <v>0</v>
      </c>
      <c r="R15" s="1248">
        <f t="shared" si="1"/>
        <v>0</v>
      </c>
      <c r="S15" s="1248">
        <f t="shared" si="2"/>
        <v>0</v>
      </c>
    </row>
    <row r="16" spans="1:19" s="356" customFormat="1" ht="25.5" customHeight="1">
      <c r="A16" s="1174" t="s">
        <v>2182</v>
      </c>
      <c r="B16" s="641" t="s">
        <v>249</v>
      </c>
      <c r="C16" s="379">
        <v>8</v>
      </c>
      <c r="D16" s="392" t="s">
        <v>476</v>
      </c>
      <c r="E16" s="516" t="s">
        <v>204</v>
      </c>
      <c r="F16" s="517" t="s">
        <v>448</v>
      </c>
      <c r="G16" s="361" t="s">
        <v>228</v>
      </c>
      <c r="H16" s="381">
        <v>5</v>
      </c>
      <c r="I16" s="523" t="s">
        <v>633</v>
      </c>
      <c r="J16" s="384">
        <v>0</v>
      </c>
      <c r="K16" s="384">
        <v>0</v>
      </c>
      <c r="L16" s="629">
        <f t="shared" si="0"/>
        <v>0</v>
      </c>
      <c r="M16" s="1239">
        <f>MAX(H16-K16,0)</f>
        <v>5</v>
      </c>
      <c r="N16" s="1239">
        <f>MAX(M16-J16,0)</f>
        <v>5</v>
      </c>
      <c r="O16" s="390">
        <f t="shared" si="4"/>
        <v>0</v>
      </c>
      <c r="P16" s="1391">
        <f>H16-M16</f>
        <v>0</v>
      </c>
      <c r="Q16" s="1248">
        <f t="shared" si="3"/>
        <v>0</v>
      </c>
      <c r="R16" s="1248">
        <f t="shared" si="1"/>
        <v>0</v>
      </c>
      <c r="S16" s="1248">
        <f t="shared" si="2"/>
        <v>0</v>
      </c>
    </row>
    <row r="17" spans="1:20" s="356" customFormat="1" ht="21.75" customHeight="1">
      <c r="A17" s="1174" t="s">
        <v>2181</v>
      </c>
      <c r="B17" s="641" t="s">
        <v>249</v>
      </c>
      <c r="C17" s="379">
        <v>9</v>
      </c>
      <c r="D17" s="392" t="s">
        <v>477</v>
      </c>
      <c r="E17" s="516" t="s">
        <v>202</v>
      </c>
      <c r="F17" s="517" t="s">
        <v>448</v>
      </c>
      <c r="G17" s="361" t="s">
        <v>228</v>
      </c>
      <c r="H17" s="381">
        <v>5</v>
      </c>
      <c r="I17" s="523" t="s">
        <v>633</v>
      </c>
      <c r="J17" s="384">
        <v>0</v>
      </c>
      <c r="K17" s="384">
        <v>0</v>
      </c>
      <c r="L17" s="629">
        <f t="shared" si="0"/>
        <v>0</v>
      </c>
      <c r="M17" s="1239">
        <f>MAX(H17-K17,0)</f>
        <v>5</v>
      </c>
      <c r="N17" s="1239">
        <f>MAX(M17-J17,0)</f>
        <v>5</v>
      </c>
      <c r="O17" s="390">
        <f t="shared" si="4"/>
        <v>0</v>
      </c>
      <c r="P17" s="1391">
        <f>H17-M17</f>
        <v>0</v>
      </c>
      <c r="Q17" s="1248">
        <f t="shared" si="3"/>
        <v>0</v>
      </c>
      <c r="R17" s="1248">
        <f t="shared" si="1"/>
        <v>0</v>
      </c>
      <c r="S17" s="1248">
        <f t="shared" si="2"/>
        <v>0</v>
      </c>
    </row>
    <row r="18" spans="1:20" s="356" customFormat="1" ht="30" customHeight="1">
      <c r="A18" s="1291" t="s">
        <v>465</v>
      </c>
      <c r="B18" s="641" t="s">
        <v>436</v>
      </c>
      <c r="C18" s="379">
        <v>10</v>
      </c>
      <c r="D18" s="1323" t="s">
        <v>2384</v>
      </c>
      <c r="E18" s="516" t="s">
        <v>202</v>
      </c>
      <c r="F18" s="517" t="s">
        <v>395</v>
      </c>
      <c r="G18" s="342" t="s">
        <v>1508</v>
      </c>
      <c r="H18" s="381">
        <v>11</v>
      </c>
      <c r="I18" s="523" t="s">
        <v>215</v>
      </c>
      <c r="J18" s="384">
        <v>1</v>
      </c>
      <c r="K18" s="384">
        <v>4</v>
      </c>
      <c r="L18" s="629">
        <f t="shared" si="0"/>
        <v>3</v>
      </c>
      <c r="M18" s="1339" t="str">
        <f>IF(K18=0,11,$G$18)</f>
        <v>行业排序得分</v>
      </c>
      <c r="N18" s="1239" t="str">
        <f>IF(J18=0,11,$G$18)</f>
        <v>行业排序得分</v>
      </c>
      <c r="O18" s="390">
        <v>-11</v>
      </c>
      <c r="P18" s="1391">
        <v>11</v>
      </c>
      <c r="Q18" s="1248">
        <f t="shared" si="3"/>
        <v>3.3</v>
      </c>
      <c r="R18" s="1248">
        <f t="shared" si="1"/>
        <v>0.36666666666666664</v>
      </c>
      <c r="S18" s="1248">
        <f t="shared" si="2"/>
        <v>0.18333333333333332</v>
      </c>
      <c r="T18" s="356">
        <f>S18/2</f>
        <v>9.166666666666666E-2</v>
      </c>
    </row>
    <row r="19" spans="1:20" s="356" customFormat="1" ht="20.25" customHeight="1">
      <c r="A19" s="1692" t="s">
        <v>2440</v>
      </c>
      <c r="B19" s="1692" t="s">
        <v>2441</v>
      </c>
      <c r="C19" s="379">
        <v>11</v>
      </c>
      <c r="D19" s="1322" t="s">
        <v>2492</v>
      </c>
      <c r="E19" s="516" t="s">
        <v>450</v>
      </c>
      <c r="F19" s="517" t="s">
        <v>448</v>
      </c>
      <c r="G19" s="361" t="s">
        <v>227</v>
      </c>
      <c r="H19" s="1685">
        <v>12</v>
      </c>
      <c r="I19" s="642"/>
      <c r="J19" s="384">
        <v>12</v>
      </c>
      <c r="K19" s="384">
        <v>23</v>
      </c>
      <c r="L19" s="629">
        <f t="shared" si="0"/>
        <v>0.91666666666666674</v>
      </c>
      <c r="M19" s="1755">
        <f>MAX($H$19-K19*0.5-K20,0)</f>
        <v>0</v>
      </c>
      <c r="N19" s="1754">
        <f>$H$19-J19*0.5-J20</f>
        <v>5</v>
      </c>
      <c r="O19" s="1686">
        <f>M19-N19</f>
        <v>-5</v>
      </c>
      <c r="P19" s="1746">
        <f>H19-M19</f>
        <v>12</v>
      </c>
      <c r="Q19" s="1746">
        <f t="shared" si="3"/>
        <v>3.5999999999999996</v>
      </c>
      <c r="R19" s="1746">
        <f t="shared" si="1"/>
        <v>0.39999999999999997</v>
      </c>
      <c r="S19" s="1746">
        <f t="shared" si="2"/>
        <v>0.19999999999999998</v>
      </c>
    </row>
    <row r="20" spans="1:20" s="356" customFormat="1" ht="24" customHeight="1">
      <c r="A20" s="1694"/>
      <c r="B20" s="1694"/>
      <c r="C20" s="379">
        <v>12</v>
      </c>
      <c r="D20" s="1322" t="s">
        <v>2491</v>
      </c>
      <c r="E20" s="516" t="s">
        <v>450</v>
      </c>
      <c r="F20" s="517" t="s">
        <v>448</v>
      </c>
      <c r="G20" s="361" t="s">
        <v>227</v>
      </c>
      <c r="H20" s="1685"/>
      <c r="I20" s="642" t="s">
        <v>1660</v>
      </c>
      <c r="J20" s="384">
        <v>1</v>
      </c>
      <c r="K20" s="384">
        <v>1</v>
      </c>
      <c r="L20" s="629">
        <f t="shared" si="0"/>
        <v>0</v>
      </c>
      <c r="M20" s="1755"/>
      <c r="N20" s="1676"/>
      <c r="O20" s="1688"/>
      <c r="P20" s="1747"/>
      <c r="Q20" s="1747"/>
      <c r="R20" s="1747"/>
      <c r="S20" s="1747"/>
    </row>
    <row r="21" spans="1:20" s="356" customFormat="1" ht="40.5">
      <c r="A21" s="635" t="s">
        <v>250</v>
      </c>
      <c r="B21" s="636" t="s">
        <v>251</v>
      </c>
      <c r="C21" s="379">
        <v>13</v>
      </c>
      <c r="D21" s="392" t="s">
        <v>478</v>
      </c>
      <c r="E21" s="516" t="s">
        <v>202</v>
      </c>
      <c r="F21" s="517" t="s">
        <v>448</v>
      </c>
      <c r="G21" s="361" t="s">
        <v>227</v>
      </c>
      <c r="H21" s="381">
        <v>12</v>
      </c>
      <c r="I21" s="523" t="s">
        <v>634</v>
      </c>
      <c r="J21" s="384">
        <v>0</v>
      </c>
      <c r="K21" s="384">
        <v>0</v>
      </c>
      <c r="L21" s="629">
        <f t="shared" si="0"/>
        <v>0</v>
      </c>
      <c r="M21" s="1239">
        <f>MAX(H21-K21,0)</f>
        <v>12</v>
      </c>
      <c r="N21" s="1239">
        <f>MAX(M21-J21,0)</f>
        <v>12</v>
      </c>
      <c r="O21" s="390">
        <f t="shared" si="4"/>
        <v>0</v>
      </c>
      <c r="P21" s="1391">
        <f>H21-M21</f>
        <v>0</v>
      </c>
      <c r="Q21" s="1248">
        <f t="shared" si="3"/>
        <v>0</v>
      </c>
      <c r="R21" s="1248">
        <f t="shared" si="1"/>
        <v>0</v>
      </c>
      <c r="S21" s="1248">
        <f t="shared" si="2"/>
        <v>0</v>
      </c>
    </row>
    <row r="22" spans="1:20" s="356" customFormat="1" ht="14.25">
      <c r="A22" s="361"/>
      <c r="B22" s="643"/>
      <c r="C22" s="644"/>
      <c r="D22" s="416" t="s">
        <v>223</v>
      </c>
      <c r="E22" s="645"/>
      <c r="F22" s="361"/>
      <c r="G22" s="523"/>
      <c r="H22" s="481">
        <f>SUM(H4:H21)</f>
        <v>100</v>
      </c>
      <c r="I22" s="553"/>
      <c r="J22" s="646"/>
      <c r="K22" s="646"/>
      <c r="L22" s="648"/>
      <c r="M22" s="439">
        <f>SUBTOTAL(9,M3:M21)</f>
        <v>30</v>
      </c>
      <c r="N22" s="439">
        <f>SUBTOTAL(9,N3:N21)</f>
        <v>35</v>
      </c>
      <c r="O22" s="1297">
        <f>SUM(O4:O21)</f>
        <v>-16</v>
      </c>
      <c r="P22" s="1393">
        <f>SUM(P4:P20)</f>
        <v>70</v>
      </c>
      <c r="Q22" s="1394">
        <f>P22*0.3</f>
        <v>21</v>
      </c>
      <c r="R22" s="1394">
        <f>Q22/9</f>
        <v>2.3333333333333335</v>
      </c>
      <c r="S22" s="1394">
        <f>R22/2</f>
        <v>1.1666666666666667</v>
      </c>
    </row>
    <row r="23" spans="1:20">
      <c r="D23" s="416" t="s">
        <v>1531</v>
      </c>
      <c r="H23" s="381">
        <f>SUM(H15:H17)+SUM(H19:H21)</f>
        <v>42</v>
      </c>
      <c r="L23" s="22">
        <f>H23-M23-P23</f>
        <v>0</v>
      </c>
      <c r="M23" s="1292">
        <f>SUM(M19:M21)+SUM(M15:M17)</f>
        <v>30</v>
      </c>
      <c r="N23" s="1296">
        <f>SUM(N19:N21)+SUM(N15:N17)</f>
        <v>35</v>
      </c>
      <c r="P23" s="1395">
        <f>SUM(P15:P17)+SUM(P19:P21)</f>
        <v>12</v>
      </c>
      <c r="Q23" s="1394">
        <f t="shared" si="3"/>
        <v>3.5999999999999996</v>
      </c>
      <c r="R23" s="1394">
        <f t="shared" si="1"/>
        <v>0.39999999999999997</v>
      </c>
      <c r="S23" s="1394">
        <f t="shared" si="2"/>
        <v>0.19999999999999998</v>
      </c>
      <c r="T23" s="416" t="s">
        <v>1475</v>
      </c>
    </row>
    <row r="24" spans="1:20">
      <c r="D24" s="416" t="s">
        <v>1515</v>
      </c>
      <c r="H24" s="381">
        <v>11</v>
      </c>
      <c r="L24" s="22">
        <f>H24-M24-P24</f>
        <v>0</v>
      </c>
      <c r="M24" s="1292">
        <v>0</v>
      </c>
      <c r="N24" s="1292">
        <v>11</v>
      </c>
      <c r="O24" s="564"/>
      <c r="P24" s="1395">
        <f>P18</f>
        <v>11</v>
      </c>
      <c r="Q24" s="1394">
        <f t="shared" si="3"/>
        <v>3.3</v>
      </c>
      <c r="R24" s="1394">
        <f t="shared" si="1"/>
        <v>0.36666666666666664</v>
      </c>
      <c r="S24" s="1394">
        <f t="shared" si="2"/>
        <v>0.18333333333333332</v>
      </c>
      <c r="T24" s="416" t="s">
        <v>1532</v>
      </c>
    </row>
    <row r="25" spans="1:20">
      <c r="D25" s="416" t="s">
        <v>1516</v>
      </c>
      <c r="H25" s="381">
        <f>SUM(H11:H14)+H7+H4</f>
        <v>47</v>
      </c>
      <c r="L25" s="22">
        <f>H25-M25-P25</f>
        <v>0</v>
      </c>
      <c r="M25" s="1292">
        <v>0</v>
      </c>
      <c r="N25" s="1292">
        <v>0</v>
      </c>
      <c r="O25" s="564"/>
      <c r="P25" s="1395">
        <f>P4+P7+SUM(P11:P14)</f>
        <v>47</v>
      </c>
      <c r="Q25" s="1394">
        <f t="shared" si="3"/>
        <v>14.1</v>
      </c>
      <c r="R25" s="1394">
        <f t="shared" si="1"/>
        <v>1.5666666666666667</v>
      </c>
      <c r="S25" s="1394">
        <f>R25/2</f>
        <v>0.78333333333333333</v>
      </c>
      <c r="T25" s="416" t="s">
        <v>1533</v>
      </c>
    </row>
    <row r="26" spans="1:20">
      <c r="D26" s="556" t="s">
        <v>2352</v>
      </c>
      <c r="F26" s="418"/>
      <c r="G26" s="356"/>
      <c r="H26" s="356"/>
      <c r="I26" s="356"/>
      <c r="J26" s="414"/>
      <c r="K26" s="414"/>
      <c r="M26" s="1292">
        <v>0</v>
      </c>
      <c r="N26" s="1292">
        <v>11</v>
      </c>
      <c r="O26" s="564"/>
    </row>
    <row r="27" spans="1:20" s="356" customFormat="1">
      <c r="A27" s="367"/>
      <c r="B27" s="367"/>
      <c r="C27" s="358"/>
      <c r="D27" s="556" t="s">
        <v>460</v>
      </c>
      <c r="F27" s="418"/>
      <c r="J27" s="414"/>
      <c r="K27" s="414"/>
      <c r="L27" s="26"/>
      <c r="M27" s="1292">
        <f>58-M26</f>
        <v>58</v>
      </c>
      <c r="N27" s="1292">
        <f>58-N26</f>
        <v>47</v>
      </c>
      <c r="O27" s="564"/>
    </row>
    <row r="28" spans="1:20" s="356" customFormat="1" ht="14.25">
      <c r="A28" s="367"/>
      <c r="B28" s="367"/>
      <c r="C28" s="358"/>
      <c r="D28" s="556" t="s">
        <v>2119</v>
      </c>
      <c r="F28" s="418"/>
      <c r="J28" s="414"/>
      <c r="K28" s="414"/>
      <c r="L28" s="26"/>
      <c r="M28" s="1292">
        <f>100-SUM(M23:M25)</f>
        <v>70</v>
      </c>
      <c r="N28" s="1292">
        <f>100-SUM(N23:N25)</f>
        <v>54</v>
      </c>
      <c r="O28" s="520"/>
    </row>
    <row r="29" spans="1:20" s="356" customFormat="1" ht="14.25">
      <c r="A29" s="367"/>
      <c r="B29" s="367"/>
      <c r="C29" s="358"/>
      <c r="L29" s="26"/>
      <c r="O29" s="520"/>
    </row>
    <row r="31" spans="1:20">
      <c r="D31" s="444" t="s">
        <v>1592</v>
      </c>
    </row>
    <row r="32" spans="1:20">
      <c r="D32" s="357" t="s">
        <v>1636</v>
      </c>
    </row>
    <row r="33" spans="1:12" s="356" customFormat="1" ht="14.25">
      <c r="A33" s="647"/>
      <c r="B33" s="647"/>
      <c r="C33" s="358"/>
      <c r="D33" s="514"/>
      <c r="F33" s="519"/>
      <c r="J33" s="414"/>
      <c r="K33" s="414"/>
      <c r="L33" s="26"/>
    </row>
    <row r="34" spans="1:12" s="356" customFormat="1" ht="14.25">
      <c r="A34" s="647"/>
      <c r="B34" s="647"/>
      <c r="C34" s="358"/>
      <c r="D34" s="514"/>
      <c r="F34" s="519"/>
      <c r="J34" s="414"/>
      <c r="K34" s="414"/>
      <c r="L34" s="26"/>
    </row>
    <row r="35" spans="1:12" s="356" customFormat="1" ht="14.25">
      <c r="A35" s="647"/>
      <c r="B35" s="647"/>
      <c r="C35" s="358"/>
      <c r="D35" s="514"/>
      <c r="F35" s="519"/>
      <c r="J35" s="414"/>
      <c r="K35" s="414"/>
      <c r="L35" s="26"/>
    </row>
    <row r="36" spans="1:12" s="356" customFormat="1" ht="14.25">
      <c r="A36" s="647"/>
      <c r="B36" s="647"/>
      <c r="C36" s="358"/>
      <c r="D36" s="514"/>
      <c r="F36" s="519"/>
      <c r="J36" s="414"/>
      <c r="K36" s="414"/>
      <c r="L36" s="26"/>
    </row>
    <row r="37" spans="1:12" s="356" customFormat="1" ht="14.25">
      <c r="A37" s="647"/>
      <c r="B37" s="647"/>
      <c r="C37" s="358"/>
      <c r="D37" s="514"/>
      <c r="F37" s="519"/>
      <c r="J37" s="414"/>
      <c r="K37" s="414"/>
      <c r="L37" s="26"/>
    </row>
    <row r="38" spans="1:12" s="356" customFormat="1" ht="14.25">
      <c r="A38" s="647"/>
      <c r="B38" s="647"/>
      <c r="C38" s="358"/>
      <c r="D38" s="514"/>
      <c r="F38" s="519"/>
      <c r="J38" s="414"/>
      <c r="K38" s="414"/>
      <c r="L38" s="26"/>
    </row>
    <row r="39" spans="1:12" s="356" customFormat="1" ht="14.25">
      <c r="A39" s="647"/>
      <c r="B39" s="647"/>
      <c r="C39" s="358"/>
      <c r="D39" s="514"/>
      <c r="F39" s="519"/>
      <c r="J39" s="414"/>
      <c r="K39" s="414"/>
      <c r="L39" s="26"/>
    </row>
    <row r="40" spans="1:12" s="356" customFormat="1" ht="14.25">
      <c r="A40" s="367"/>
      <c r="B40" s="367"/>
      <c r="C40" s="358"/>
      <c r="D40" s="367"/>
      <c r="F40" s="418"/>
      <c r="J40" s="414"/>
      <c r="K40" s="414"/>
      <c r="L40" s="26"/>
    </row>
    <row r="41" spans="1:12" s="356" customFormat="1" ht="14.25">
      <c r="A41" s="367"/>
      <c r="B41" s="367"/>
      <c r="C41" s="358"/>
      <c r="D41" s="367"/>
      <c r="F41" s="418"/>
      <c r="J41" s="414"/>
      <c r="K41" s="414"/>
      <c r="L41" s="26"/>
    </row>
    <row r="42" spans="1:12" s="356" customFormat="1" ht="14.25">
      <c r="A42" s="367"/>
      <c r="B42" s="367"/>
      <c r="C42" s="358"/>
      <c r="D42" s="367"/>
      <c r="F42" s="418"/>
      <c r="J42" s="414"/>
      <c r="K42" s="414"/>
      <c r="L42" s="26"/>
    </row>
    <row r="43" spans="1:12" s="356" customFormat="1" ht="14.25">
      <c r="A43" s="367"/>
      <c r="B43" s="367"/>
      <c r="C43" s="358"/>
      <c r="D43" s="367"/>
      <c r="F43" s="418"/>
      <c r="J43" s="414"/>
      <c r="K43" s="414"/>
      <c r="L43" s="26"/>
    </row>
    <row r="44" spans="1:12" s="356" customFormat="1" ht="14.25">
      <c r="A44" s="367"/>
      <c r="B44" s="367"/>
      <c r="C44" s="358"/>
      <c r="D44" s="367"/>
      <c r="F44" s="418"/>
      <c r="J44" s="414"/>
      <c r="K44" s="414"/>
      <c r="L44" s="26"/>
    </row>
    <row r="45" spans="1:12" s="356" customFormat="1" ht="14.25">
      <c r="A45" s="367"/>
      <c r="B45" s="367"/>
      <c r="C45" s="358"/>
      <c r="D45" s="367"/>
      <c r="F45" s="418"/>
      <c r="J45" s="414"/>
      <c r="K45" s="414"/>
      <c r="L45" s="26"/>
    </row>
    <row r="46" spans="1:12" s="356" customFormat="1" ht="14.25">
      <c r="A46" s="367"/>
      <c r="B46" s="367"/>
      <c r="C46" s="358"/>
      <c r="D46" s="367"/>
      <c r="F46" s="418"/>
      <c r="J46" s="414"/>
      <c r="K46" s="414"/>
      <c r="L46" s="26"/>
    </row>
    <row r="47" spans="1:12" s="356" customFormat="1" ht="14.25">
      <c r="A47" s="367"/>
      <c r="B47" s="367"/>
      <c r="C47" s="358"/>
      <c r="D47" s="367"/>
      <c r="F47" s="418"/>
      <c r="J47" s="414"/>
      <c r="K47" s="414"/>
      <c r="L47" s="26"/>
    </row>
    <row r="48" spans="1:12" s="356" customFormat="1" ht="14.25">
      <c r="A48" s="367"/>
      <c r="B48" s="367"/>
      <c r="C48" s="358"/>
      <c r="D48" s="367"/>
      <c r="F48" s="418"/>
      <c r="J48" s="414"/>
      <c r="K48" s="414"/>
      <c r="L48" s="26"/>
    </row>
    <row r="49" spans="1:12" s="356" customFormat="1" ht="14.25">
      <c r="A49" s="367"/>
      <c r="B49" s="367"/>
      <c r="C49" s="358"/>
      <c r="D49" s="367"/>
      <c r="F49" s="418"/>
      <c r="J49" s="414"/>
      <c r="K49" s="414"/>
      <c r="L49" s="26"/>
    </row>
    <row r="50" spans="1:12" s="356" customFormat="1" ht="14.25">
      <c r="A50" s="367"/>
      <c r="B50" s="367"/>
      <c r="C50" s="358"/>
      <c r="D50" s="367"/>
      <c r="F50" s="418"/>
      <c r="J50" s="414"/>
      <c r="K50" s="414"/>
      <c r="L50" s="26"/>
    </row>
    <row r="51" spans="1:12" s="356" customFormat="1" ht="14.25">
      <c r="A51" s="367"/>
      <c r="B51" s="367"/>
      <c r="C51" s="358"/>
      <c r="D51" s="367"/>
      <c r="F51" s="418"/>
      <c r="J51" s="414"/>
      <c r="K51" s="414"/>
      <c r="L51" s="26"/>
    </row>
    <row r="52" spans="1:12" s="356" customFormat="1" ht="14.25">
      <c r="A52" s="367"/>
      <c r="B52" s="367"/>
      <c r="C52" s="358"/>
      <c r="D52" s="367"/>
      <c r="F52" s="418"/>
      <c r="J52" s="414"/>
      <c r="K52" s="414"/>
      <c r="L52" s="26"/>
    </row>
    <row r="53" spans="1:12" s="356" customFormat="1" ht="14.25">
      <c r="A53" s="367"/>
      <c r="B53" s="367"/>
      <c r="C53" s="358"/>
      <c r="D53" s="367"/>
      <c r="F53" s="418"/>
      <c r="J53" s="414"/>
      <c r="K53" s="414"/>
      <c r="L53" s="26"/>
    </row>
    <row r="54" spans="1:12" s="356" customFormat="1" ht="14.25">
      <c r="A54" s="367"/>
      <c r="B54" s="367"/>
      <c r="C54" s="358"/>
      <c r="D54" s="367"/>
      <c r="F54" s="418"/>
      <c r="J54" s="414"/>
      <c r="K54" s="414"/>
      <c r="L54" s="26"/>
    </row>
    <row r="55" spans="1:12" s="356" customFormat="1" ht="14.25">
      <c r="A55" s="367"/>
      <c r="B55" s="367"/>
      <c r="C55" s="358"/>
      <c r="D55" s="367"/>
      <c r="F55" s="418"/>
      <c r="J55" s="414"/>
      <c r="K55" s="414"/>
      <c r="L55" s="26"/>
    </row>
    <row r="56" spans="1:12" s="356" customFormat="1" ht="14.25">
      <c r="A56" s="367"/>
      <c r="B56" s="367"/>
      <c r="C56" s="358"/>
      <c r="D56" s="367"/>
      <c r="F56" s="418"/>
      <c r="J56" s="414"/>
      <c r="K56" s="414"/>
      <c r="L56" s="26"/>
    </row>
    <row r="57" spans="1:12" s="356" customFormat="1" ht="14.25">
      <c r="A57" s="367"/>
      <c r="B57" s="367"/>
      <c r="C57" s="358"/>
      <c r="D57" s="367"/>
      <c r="F57" s="418"/>
      <c r="J57" s="414"/>
      <c r="K57" s="414"/>
      <c r="L57" s="26"/>
    </row>
    <row r="58" spans="1:12" s="356" customFormat="1" ht="14.25">
      <c r="A58" s="367"/>
      <c r="B58" s="367"/>
      <c r="C58" s="358"/>
      <c r="D58" s="367"/>
      <c r="F58" s="418"/>
      <c r="J58" s="414"/>
      <c r="K58" s="414"/>
      <c r="L58" s="26"/>
    </row>
    <row r="59" spans="1:12" s="356" customFormat="1" ht="14.25">
      <c r="A59" s="367"/>
      <c r="B59" s="367"/>
      <c r="C59" s="358"/>
      <c r="D59" s="367"/>
      <c r="F59" s="418"/>
      <c r="J59" s="414"/>
      <c r="K59" s="414"/>
      <c r="L59" s="26"/>
    </row>
    <row r="60" spans="1:12" s="356" customFormat="1" ht="14.25">
      <c r="A60" s="367"/>
      <c r="B60" s="367"/>
      <c r="C60" s="358"/>
      <c r="D60" s="367"/>
      <c r="F60" s="418"/>
      <c r="J60" s="414"/>
      <c r="K60" s="414"/>
      <c r="L60" s="26"/>
    </row>
    <row r="61" spans="1:12" s="356" customFormat="1" ht="14.25">
      <c r="A61" s="367"/>
      <c r="B61" s="367"/>
      <c r="C61" s="358"/>
      <c r="D61" s="367"/>
      <c r="F61" s="418"/>
      <c r="J61" s="414"/>
      <c r="K61" s="414"/>
      <c r="L61" s="26"/>
    </row>
    <row r="62" spans="1:12" s="356" customFormat="1" ht="14.25">
      <c r="A62" s="367"/>
      <c r="B62" s="367"/>
      <c r="C62" s="358"/>
      <c r="D62" s="367"/>
      <c r="F62" s="418"/>
      <c r="J62" s="414"/>
      <c r="K62" s="414"/>
      <c r="L62" s="26"/>
    </row>
    <row r="63" spans="1:12" s="356" customFormat="1" ht="14.25">
      <c r="A63" s="367"/>
      <c r="B63" s="367"/>
      <c r="C63" s="358"/>
      <c r="D63" s="367"/>
      <c r="F63" s="418"/>
      <c r="J63" s="414"/>
      <c r="K63" s="414"/>
      <c r="L63" s="26"/>
    </row>
    <row r="64" spans="1:12" s="356" customFormat="1" ht="14.25">
      <c r="A64" s="367"/>
      <c r="B64" s="367"/>
      <c r="C64" s="358"/>
      <c r="D64" s="367"/>
      <c r="F64" s="418"/>
      <c r="J64" s="414"/>
      <c r="K64" s="414"/>
      <c r="L64" s="26"/>
    </row>
    <row r="65" spans="1:12" s="356" customFormat="1" ht="14.25">
      <c r="A65" s="367"/>
      <c r="B65" s="367"/>
      <c r="C65" s="358"/>
      <c r="D65" s="367"/>
      <c r="F65" s="418"/>
      <c r="J65" s="414"/>
      <c r="K65" s="414"/>
      <c r="L65" s="26"/>
    </row>
    <row r="66" spans="1:12" s="356" customFormat="1" ht="14.25">
      <c r="A66" s="367"/>
      <c r="B66" s="367"/>
      <c r="C66" s="358"/>
      <c r="D66" s="367"/>
      <c r="F66" s="418"/>
      <c r="J66" s="414"/>
      <c r="K66" s="414"/>
      <c r="L66" s="26"/>
    </row>
    <row r="67" spans="1:12" s="356" customFormat="1" ht="14.25">
      <c r="A67" s="367"/>
      <c r="B67" s="367"/>
      <c r="C67" s="358"/>
      <c r="D67" s="367"/>
      <c r="F67" s="418"/>
      <c r="J67" s="414"/>
      <c r="K67" s="414"/>
      <c r="L67" s="26"/>
    </row>
    <row r="68" spans="1:12" s="356" customFormat="1" ht="14.25">
      <c r="A68" s="367"/>
      <c r="B68" s="367"/>
      <c r="C68" s="358"/>
      <c r="D68" s="367"/>
      <c r="F68" s="418"/>
      <c r="J68" s="414"/>
      <c r="K68" s="414"/>
      <c r="L68" s="26"/>
    </row>
    <row r="69" spans="1:12" s="356" customFormat="1" ht="14.25">
      <c r="A69" s="367"/>
      <c r="B69" s="367"/>
      <c r="C69" s="358"/>
      <c r="D69" s="367"/>
      <c r="F69" s="418"/>
      <c r="J69" s="414"/>
      <c r="K69" s="414"/>
      <c r="L69" s="26"/>
    </row>
    <row r="70" spans="1:12" s="356" customFormat="1" ht="14.25">
      <c r="A70" s="367"/>
      <c r="B70" s="367"/>
      <c r="C70" s="358"/>
      <c r="D70" s="367"/>
      <c r="F70" s="418"/>
      <c r="J70" s="414"/>
      <c r="K70" s="414"/>
      <c r="L70" s="26"/>
    </row>
    <row r="71" spans="1:12" s="356" customFormat="1" ht="14.25">
      <c r="A71" s="367"/>
      <c r="B71" s="367"/>
      <c r="C71" s="358"/>
      <c r="D71" s="367"/>
      <c r="F71" s="418"/>
      <c r="J71" s="414"/>
      <c r="K71" s="414"/>
      <c r="L71" s="26"/>
    </row>
    <row r="72" spans="1:12" s="356" customFormat="1" ht="14.25">
      <c r="A72" s="367"/>
      <c r="B72" s="367"/>
      <c r="C72" s="358"/>
      <c r="D72" s="367"/>
      <c r="F72" s="418"/>
      <c r="J72" s="414"/>
      <c r="K72" s="414"/>
      <c r="L72" s="26"/>
    </row>
    <row r="73" spans="1:12" s="356" customFormat="1" ht="14.25">
      <c r="A73" s="367"/>
      <c r="B73" s="367"/>
      <c r="C73" s="358"/>
      <c r="D73" s="367"/>
      <c r="F73" s="418"/>
      <c r="J73" s="414"/>
      <c r="K73" s="414"/>
      <c r="L73" s="26"/>
    </row>
    <row r="74" spans="1:12" s="356" customFormat="1" ht="14.25">
      <c r="A74" s="367"/>
      <c r="B74" s="367"/>
      <c r="C74" s="358"/>
      <c r="D74" s="367"/>
      <c r="F74" s="418"/>
      <c r="J74" s="414"/>
      <c r="K74" s="414"/>
      <c r="L74" s="26"/>
    </row>
    <row r="75" spans="1:12" s="356" customFormat="1" ht="14.25">
      <c r="A75" s="367"/>
      <c r="B75" s="367"/>
      <c r="C75" s="358"/>
      <c r="D75" s="367"/>
      <c r="F75" s="418"/>
      <c r="J75" s="414"/>
      <c r="K75" s="414"/>
      <c r="L75" s="26"/>
    </row>
    <row r="76" spans="1:12" s="356" customFormat="1" ht="14.25">
      <c r="A76" s="367"/>
      <c r="B76" s="367"/>
      <c r="C76" s="358"/>
      <c r="D76" s="367"/>
      <c r="F76" s="418"/>
      <c r="J76" s="414"/>
      <c r="K76" s="414"/>
      <c r="L76" s="26"/>
    </row>
    <row r="77" spans="1:12" s="356" customFormat="1" ht="14.25">
      <c r="A77" s="367"/>
      <c r="B77" s="367"/>
      <c r="C77" s="358"/>
      <c r="D77" s="367"/>
      <c r="F77" s="418"/>
      <c r="J77" s="414"/>
      <c r="K77" s="414"/>
      <c r="L77" s="26"/>
    </row>
    <row r="78" spans="1:12" s="356" customFormat="1" ht="14.25">
      <c r="A78" s="367"/>
      <c r="B78" s="367"/>
      <c r="C78" s="358"/>
      <c r="D78" s="367"/>
      <c r="F78" s="418"/>
      <c r="J78" s="414"/>
      <c r="K78" s="414"/>
      <c r="L78" s="26"/>
    </row>
    <row r="79" spans="1:12" s="356" customFormat="1" ht="14.25">
      <c r="A79" s="367"/>
      <c r="B79" s="367"/>
      <c r="C79" s="358"/>
      <c r="D79" s="367"/>
      <c r="F79" s="418"/>
      <c r="J79" s="414"/>
      <c r="K79" s="414"/>
      <c r="L79" s="26"/>
    </row>
    <row r="80" spans="1:12" s="356" customFormat="1" ht="14.25">
      <c r="A80" s="367"/>
      <c r="B80" s="367"/>
      <c r="C80" s="358"/>
      <c r="D80" s="367"/>
      <c r="F80" s="418"/>
      <c r="J80" s="414"/>
      <c r="K80" s="414"/>
      <c r="L80" s="26"/>
    </row>
    <row r="81" spans="1:12" s="356" customFormat="1" ht="14.25">
      <c r="A81" s="367"/>
      <c r="B81" s="367"/>
      <c r="C81" s="358"/>
      <c r="D81" s="367"/>
      <c r="F81" s="418"/>
      <c r="J81" s="414"/>
      <c r="K81" s="414"/>
      <c r="L81" s="26"/>
    </row>
    <row r="82" spans="1:12" s="356" customFormat="1" ht="14.25">
      <c r="A82" s="367"/>
      <c r="B82" s="367"/>
      <c r="C82" s="358"/>
      <c r="D82" s="367"/>
      <c r="F82" s="418"/>
      <c r="J82" s="414"/>
      <c r="K82" s="414"/>
      <c r="L82" s="26"/>
    </row>
    <row r="83" spans="1:12" s="356" customFormat="1" ht="14.25">
      <c r="A83" s="367"/>
      <c r="B83" s="367"/>
      <c r="C83" s="358"/>
      <c r="D83" s="367"/>
      <c r="F83" s="418"/>
      <c r="J83" s="414"/>
      <c r="K83" s="414"/>
      <c r="L83" s="26"/>
    </row>
    <row r="84" spans="1:12" s="356" customFormat="1" ht="14.25">
      <c r="A84" s="367"/>
      <c r="B84" s="367"/>
      <c r="C84" s="358"/>
      <c r="D84" s="367"/>
      <c r="F84" s="418"/>
      <c r="J84" s="414"/>
      <c r="K84" s="414"/>
      <c r="L84" s="26"/>
    </row>
    <row r="85" spans="1:12" s="356" customFormat="1" ht="14.25">
      <c r="A85" s="367"/>
      <c r="B85" s="367"/>
      <c r="C85" s="358"/>
      <c r="D85" s="367"/>
      <c r="F85" s="418"/>
      <c r="J85" s="414"/>
      <c r="K85" s="414"/>
      <c r="L85" s="26"/>
    </row>
    <row r="86" spans="1:12" s="356" customFormat="1" ht="14.25">
      <c r="A86" s="367"/>
      <c r="B86" s="367"/>
      <c r="C86" s="358"/>
      <c r="D86" s="367"/>
      <c r="F86" s="418"/>
      <c r="J86" s="414"/>
      <c r="K86" s="414"/>
      <c r="L86" s="26"/>
    </row>
    <row r="87" spans="1:12" s="356" customFormat="1" ht="14.25">
      <c r="A87" s="367"/>
      <c r="B87" s="367"/>
      <c r="C87" s="358"/>
      <c r="D87" s="367"/>
      <c r="F87" s="418"/>
      <c r="J87" s="414"/>
      <c r="K87" s="414"/>
      <c r="L87" s="26"/>
    </row>
    <row r="88" spans="1:12" s="356" customFormat="1" ht="14.25">
      <c r="A88" s="367"/>
      <c r="B88" s="367"/>
      <c r="C88" s="358"/>
      <c r="D88" s="367"/>
      <c r="F88" s="418"/>
      <c r="J88" s="414"/>
      <c r="K88" s="414"/>
      <c r="L88" s="26"/>
    </row>
    <row r="89" spans="1:12" s="356" customFormat="1" ht="14.25">
      <c r="A89" s="367"/>
      <c r="B89" s="367"/>
      <c r="C89" s="358"/>
      <c r="D89" s="367"/>
      <c r="F89" s="418"/>
      <c r="J89" s="414"/>
      <c r="K89" s="414"/>
      <c r="L89" s="26"/>
    </row>
    <row r="90" spans="1:12" s="356" customFormat="1" ht="14.25">
      <c r="A90" s="367"/>
      <c r="B90" s="367"/>
      <c r="C90" s="358"/>
      <c r="D90" s="367"/>
      <c r="F90" s="418"/>
      <c r="J90" s="414"/>
      <c r="K90" s="414"/>
      <c r="L90" s="26"/>
    </row>
    <row r="91" spans="1:12" s="356" customFormat="1" ht="14.25">
      <c r="A91" s="367"/>
      <c r="B91" s="367"/>
      <c r="C91" s="358"/>
      <c r="D91" s="367"/>
      <c r="F91" s="418"/>
      <c r="J91" s="414"/>
      <c r="K91" s="414"/>
      <c r="L91" s="26"/>
    </row>
    <row r="92" spans="1:12" s="356" customFormat="1" ht="14.25">
      <c r="A92" s="367"/>
      <c r="B92" s="367"/>
      <c r="C92" s="358"/>
      <c r="D92" s="367"/>
      <c r="F92" s="418"/>
      <c r="J92" s="414"/>
      <c r="K92" s="414"/>
      <c r="L92" s="26"/>
    </row>
    <row r="93" spans="1:12" s="356" customFormat="1" ht="14.25">
      <c r="A93" s="367"/>
      <c r="B93" s="367"/>
      <c r="C93" s="358"/>
      <c r="D93" s="367"/>
      <c r="F93" s="418"/>
      <c r="J93" s="414"/>
      <c r="K93" s="414"/>
      <c r="L93" s="26"/>
    </row>
    <row r="94" spans="1:12" s="356" customFormat="1" ht="14.25">
      <c r="A94" s="367"/>
      <c r="B94" s="367"/>
      <c r="C94" s="358"/>
      <c r="D94" s="367"/>
      <c r="F94" s="418"/>
      <c r="J94" s="414"/>
      <c r="K94" s="414"/>
      <c r="L94" s="26"/>
    </row>
    <row r="95" spans="1:12" s="356" customFormat="1" ht="14.25">
      <c r="A95" s="367"/>
      <c r="B95" s="367"/>
      <c r="C95" s="358"/>
      <c r="D95" s="367"/>
      <c r="F95" s="418"/>
      <c r="J95" s="414"/>
      <c r="K95" s="414"/>
      <c r="L95" s="26"/>
    </row>
    <row r="96" spans="1:12" s="356" customFormat="1" ht="14.25">
      <c r="A96" s="367"/>
      <c r="B96" s="367"/>
      <c r="C96" s="358"/>
      <c r="D96" s="367"/>
      <c r="F96" s="418"/>
      <c r="J96" s="414"/>
      <c r="K96" s="414"/>
      <c r="L96" s="26"/>
    </row>
    <row r="97" spans="1:12" s="356" customFormat="1" ht="14.25">
      <c r="A97" s="367"/>
      <c r="B97" s="367"/>
      <c r="C97" s="358"/>
      <c r="D97" s="367"/>
      <c r="F97" s="418"/>
      <c r="J97" s="414"/>
      <c r="K97" s="414"/>
      <c r="L97" s="26"/>
    </row>
    <row r="98" spans="1:12" s="356" customFormat="1" ht="14.25">
      <c r="A98" s="367"/>
      <c r="B98" s="367"/>
      <c r="C98" s="358"/>
      <c r="D98" s="367"/>
      <c r="F98" s="418"/>
      <c r="J98" s="414"/>
      <c r="K98" s="414"/>
      <c r="L98" s="26"/>
    </row>
    <row r="99" spans="1:12" s="356" customFormat="1" ht="14.25">
      <c r="A99" s="367"/>
      <c r="B99" s="367"/>
      <c r="C99" s="358"/>
      <c r="D99" s="367"/>
      <c r="F99" s="418"/>
      <c r="J99" s="414"/>
      <c r="K99" s="414"/>
      <c r="L99" s="26"/>
    </row>
    <row r="100" spans="1:12" s="356" customFormat="1" ht="14.25">
      <c r="A100" s="367"/>
      <c r="B100" s="367"/>
      <c r="C100" s="358"/>
      <c r="D100" s="367"/>
      <c r="F100" s="418"/>
      <c r="J100" s="414"/>
      <c r="K100" s="414"/>
      <c r="L100" s="26"/>
    </row>
    <row r="101" spans="1:12" s="356" customFormat="1" ht="14.25">
      <c r="A101" s="367"/>
      <c r="B101" s="367"/>
      <c r="C101" s="358"/>
      <c r="D101" s="367"/>
      <c r="F101" s="418"/>
      <c r="J101" s="414"/>
      <c r="K101" s="414"/>
      <c r="L101" s="26"/>
    </row>
    <row r="102" spans="1:12" s="356" customFormat="1" ht="14.25">
      <c r="A102" s="367"/>
      <c r="B102" s="367"/>
      <c r="C102" s="358"/>
      <c r="D102" s="367"/>
      <c r="F102" s="418"/>
      <c r="J102" s="414"/>
      <c r="K102" s="414"/>
      <c r="L102" s="26"/>
    </row>
    <row r="103" spans="1:12" s="356" customFormat="1" ht="14.25">
      <c r="A103" s="367"/>
      <c r="B103" s="367"/>
      <c r="C103" s="358"/>
      <c r="D103" s="367"/>
      <c r="F103" s="418"/>
      <c r="J103" s="414"/>
      <c r="K103" s="414"/>
      <c r="L103" s="26"/>
    </row>
    <row r="104" spans="1:12" s="356" customFormat="1" ht="14.25">
      <c r="A104" s="367"/>
      <c r="B104" s="367"/>
      <c r="C104" s="358"/>
      <c r="D104" s="367"/>
      <c r="F104" s="418"/>
      <c r="J104" s="414"/>
      <c r="K104" s="414"/>
      <c r="L104" s="26"/>
    </row>
    <row r="105" spans="1:12" s="356" customFormat="1" ht="14.25">
      <c r="A105" s="367"/>
      <c r="B105" s="367"/>
      <c r="C105" s="358"/>
      <c r="D105" s="367"/>
      <c r="F105" s="418"/>
      <c r="J105" s="414"/>
      <c r="K105" s="414"/>
      <c r="L105" s="26"/>
    </row>
    <row r="106" spans="1:12" s="356" customFormat="1" ht="14.25">
      <c r="A106" s="367"/>
      <c r="B106" s="367"/>
      <c r="C106" s="358"/>
      <c r="D106" s="367"/>
      <c r="F106" s="418"/>
      <c r="J106" s="414"/>
      <c r="K106" s="414"/>
      <c r="L106" s="26"/>
    </row>
    <row r="107" spans="1:12" s="356" customFormat="1" ht="14.25">
      <c r="A107" s="367"/>
      <c r="B107" s="367"/>
      <c r="C107" s="358"/>
      <c r="D107" s="367"/>
      <c r="F107" s="418"/>
      <c r="J107" s="414"/>
      <c r="K107" s="414"/>
      <c r="L107" s="26"/>
    </row>
    <row r="108" spans="1:12" s="356" customFormat="1" ht="14.25">
      <c r="A108" s="367"/>
      <c r="B108" s="367"/>
      <c r="C108" s="358"/>
      <c r="D108" s="367"/>
      <c r="F108" s="418"/>
      <c r="J108" s="414"/>
      <c r="K108" s="414"/>
      <c r="L108" s="26"/>
    </row>
    <row r="109" spans="1:12" s="356" customFormat="1" ht="14.25">
      <c r="A109" s="367"/>
      <c r="B109" s="367"/>
      <c r="C109" s="358"/>
      <c r="D109" s="367"/>
      <c r="F109" s="418"/>
      <c r="J109" s="414"/>
      <c r="K109" s="414"/>
      <c r="L109" s="26"/>
    </row>
    <row r="110" spans="1:12" s="356" customFormat="1" ht="14.25">
      <c r="A110" s="367"/>
      <c r="B110" s="367"/>
      <c r="C110" s="358"/>
      <c r="D110" s="367"/>
      <c r="F110" s="418"/>
      <c r="J110" s="414"/>
      <c r="K110" s="414"/>
      <c r="L110" s="26"/>
    </row>
    <row r="111" spans="1:12" s="356" customFormat="1" ht="14.25">
      <c r="A111" s="367"/>
      <c r="B111" s="367"/>
      <c r="C111" s="358"/>
      <c r="D111" s="367"/>
      <c r="F111" s="418"/>
      <c r="J111" s="414"/>
      <c r="K111" s="414"/>
      <c r="L111" s="26"/>
    </row>
    <row r="112" spans="1:12" s="356" customFormat="1" ht="14.25">
      <c r="A112" s="367"/>
      <c r="B112" s="367"/>
      <c r="C112" s="358"/>
      <c r="D112" s="367"/>
      <c r="F112" s="418"/>
      <c r="J112" s="414"/>
      <c r="K112" s="414"/>
      <c r="L112" s="26"/>
    </row>
    <row r="113" spans="1:12" s="356" customFormat="1" ht="14.25">
      <c r="A113" s="367"/>
      <c r="B113" s="367"/>
      <c r="C113" s="358"/>
      <c r="D113" s="367"/>
      <c r="F113" s="418"/>
      <c r="J113" s="414"/>
      <c r="K113" s="414"/>
      <c r="L113" s="26"/>
    </row>
    <row r="114" spans="1:12" s="356" customFormat="1" ht="14.25">
      <c r="A114" s="367"/>
      <c r="B114" s="367"/>
      <c r="C114" s="358"/>
      <c r="D114" s="367"/>
      <c r="F114" s="418"/>
      <c r="J114" s="414"/>
      <c r="K114" s="414"/>
      <c r="L114" s="26"/>
    </row>
    <row r="115" spans="1:12" s="356" customFormat="1" ht="14.25">
      <c r="A115" s="367"/>
      <c r="B115" s="367"/>
      <c r="C115" s="358"/>
      <c r="D115" s="367"/>
      <c r="F115" s="418"/>
      <c r="J115" s="414"/>
      <c r="K115" s="414"/>
      <c r="L115" s="26"/>
    </row>
    <row r="116" spans="1:12" s="356" customFormat="1" ht="14.25">
      <c r="A116" s="367"/>
      <c r="B116" s="367"/>
      <c r="C116" s="358"/>
      <c r="D116" s="367"/>
      <c r="F116" s="418"/>
      <c r="J116" s="414"/>
      <c r="K116" s="414"/>
      <c r="L116" s="26"/>
    </row>
    <row r="117" spans="1:12" s="356" customFormat="1" ht="14.25">
      <c r="A117" s="367"/>
      <c r="B117" s="367"/>
      <c r="C117" s="358"/>
      <c r="D117" s="367"/>
      <c r="F117" s="418"/>
      <c r="J117" s="414"/>
      <c r="K117" s="414"/>
      <c r="L117" s="26"/>
    </row>
    <row r="118" spans="1:12" s="356" customFormat="1" ht="14.25">
      <c r="A118" s="367"/>
      <c r="B118" s="367"/>
      <c r="C118" s="358"/>
      <c r="D118" s="367"/>
      <c r="F118" s="418"/>
      <c r="J118" s="414"/>
      <c r="K118" s="414"/>
      <c r="L118" s="26"/>
    </row>
    <row r="119" spans="1:12" s="356" customFormat="1" ht="14.25">
      <c r="A119" s="367"/>
      <c r="B119" s="367"/>
      <c r="C119" s="358"/>
      <c r="D119" s="367"/>
      <c r="F119" s="418"/>
      <c r="J119" s="414"/>
      <c r="K119" s="414"/>
      <c r="L119" s="26"/>
    </row>
    <row r="120" spans="1:12" s="356" customFormat="1" ht="14.25">
      <c r="A120" s="367"/>
      <c r="B120" s="367"/>
      <c r="C120" s="358"/>
      <c r="D120" s="367"/>
      <c r="F120" s="418"/>
      <c r="J120" s="414"/>
      <c r="K120" s="414"/>
      <c r="L120" s="26"/>
    </row>
    <row r="121" spans="1:12" s="356" customFormat="1" ht="14.25">
      <c r="A121" s="367"/>
      <c r="B121" s="367"/>
      <c r="C121" s="358"/>
      <c r="D121" s="367"/>
      <c r="F121" s="418"/>
      <c r="J121" s="414"/>
      <c r="K121" s="414"/>
      <c r="L121" s="26"/>
    </row>
    <row r="122" spans="1:12" s="356" customFormat="1" ht="14.25">
      <c r="A122" s="367"/>
      <c r="B122" s="367"/>
      <c r="C122" s="358"/>
      <c r="D122" s="367"/>
      <c r="F122" s="418"/>
      <c r="J122" s="414"/>
      <c r="K122" s="414"/>
      <c r="L122" s="26"/>
    </row>
    <row r="123" spans="1:12" s="356" customFormat="1" ht="14.25">
      <c r="A123" s="367"/>
      <c r="B123" s="367"/>
      <c r="C123" s="358"/>
      <c r="D123" s="367"/>
      <c r="F123" s="418"/>
      <c r="J123" s="414"/>
      <c r="K123" s="414"/>
      <c r="L123" s="26"/>
    </row>
    <row r="124" spans="1:12" s="356" customFormat="1" ht="14.25">
      <c r="A124" s="367"/>
      <c r="B124" s="367"/>
      <c r="C124" s="358"/>
      <c r="D124" s="367"/>
      <c r="F124" s="418"/>
      <c r="J124" s="414"/>
      <c r="K124" s="414"/>
      <c r="L124" s="26"/>
    </row>
    <row r="125" spans="1:12" s="356" customFormat="1" ht="14.25">
      <c r="A125" s="367"/>
      <c r="B125" s="367"/>
      <c r="C125" s="358"/>
      <c r="D125" s="367"/>
      <c r="F125" s="418"/>
      <c r="J125" s="414"/>
      <c r="K125" s="414"/>
      <c r="L125" s="26"/>
    </row>
    <row r="126" spans="1:12" s="356" customFormat="1" ht="14.25">
      <c r="A126" s="367"/>
      <c r="B126" s="367"/>
      <c r="C126" s="358"/>
      <c r="D126" s="367"/>
      <c r="F126" s="418"/>
      <c r="J126" s="414"/>
      <c r="K126" s="414"/>
      <c r="L126" s="26"/>
    </row>
    <row r="127" spans="1:12" s="356" customFormat="1" ht="14.25">
      <c r="A127" s="367"/>
      <c r="B127" s="367"/>
      <c r="C127" s="358"/>
      <c r="D127" s="367"/>
      <c r="F127" s="418"/>
      <c r="J127" s="414"/>
      <c r="K127" s="414"/>
      <c r="L127" s="26"/>
    </row>
    <row r="128" spans="1:12" s="356" customFormat="1" ht="14.25">
      <c r="A128" s="367"/>
      <c r="B128" s="367"/>
      <c r="C128" s="358"/>
      <c r="D128" s="367"/>
      <c r="F128" s="418"/>
      <c r="J128" s="414"/>
      <c r="K128" s="414"/>
      <c r="L128" s="26"/>
    </row>
    <row r="129" spans="1:12" s="356" customFormat="1" ht="14.25">
      <c r="A129" s="367"/>
      <c r="B129" s="367"/>
      <c r="C129" s="358"/>
      <c r="D129" s="367"/>
      <c r="F129" s="418"/>
      <c r="J129" s="414"/>
      <c r="K129" s="414"/>
      <c r="L129" s="26"/>
    </row>
    <row r="130" spans="1:12" s="356" customFormat="1" ht="14.25">
      <c r="A130" s="367"/>
      <c r="B130" s="367"/>
      <c r="C130" s="358"/>
      <c r="D130" s="367"/>
      <c r="F130" s="418"/>
      <c r="J130" s="414"/>
      <c r="K130" s="414"/>
      <c r="L130" s="26"/>
    </row>
    <row r="131" spans="1:12" s="356" customFormat="1" ht="14.25">
      <c r="A131" s="367"/>
      <c r="B131" s="367"/>
      <c r="C131" s="358"/>
      <c r="D131" s="367"/>
      <c r="F131" s="418"/>
      <c r="J131" s="414"/>
      <c r="K131" s="414"/>
      <c r="L131" s="26"/>
    </row>
    <row r="132" spans="1:12" s="356" customFormat="1" ht="14.25">
      <c r="A132" s="367"/>
      <c r="B132" s="367"/>
      <c r="C132" s="358"/>
      <c r="D132" s="367"/>
      <c r="F132" s="418"/>
      <c r="J132" s="414"/>
      <c r="K132" s="414"/>
      <c r="L132" s="26"/>
    </row>
    <row r="133" spans="1:12" s="356" customFormat="1" ht="14.25">
      <c r="A133" s="367"/>
      <c r="B133" s="367"/>
      <c r="C133" s="358"/>
      <c r="D133" s="367"/>
      <c r="F133" s="418"/>
      <c r="J133" s="414"/>
      <c r="K133" s="414"/>
      <c r="L133" s="26"/>
    </row>
    <row r="134" spans="1:12" s="356" customFormat="1" ht="14.25">
      <c r="A134" s="367"/>
      <c r="B134" s="367"/>
      <c r="C134" s="358"/>
      <c r="D134" s="367"/>
      <c r="F134" s="418"/>
      <c r="J134" s="414"/>
      <c r="K134" s="414"/>
      <c r="L134" s="26"/>
    </row>
    <row r="135" spans="1:12" s="356" customFormat="1" ht="14.25">
      <c r="A135" s="367"/>
      <c r="B135" s="367"/>
      <c r="C135" s="358"/>
      <c r="D135" s="367"/>
      <c r="F135" s="418"/>
      <c r="J135" s="414"/>
      <c r="K135" s="414"/>
      <c r="L135" s="26"/>
    </row>
    <row r="136" spans="1:12" s="356" customFormat="1" ht="14.25">
      <c r="A136" s="367"/>
      <c r="B136" s="367"/>
      <c r="C136" s="358"/>
      <c r="D136" s="367"/>
      <c r="F136" s="418"/>
      <c r="J136" s="414"/>
      <c r="K136" s="414"/>
      <c r="L136" s="26"/>
    </row>
    <row r="137" spans="1:12" s="356" customFormat="1" ht="14.25">
      <c r="A137" s="367"/>
      <c r="B137" s="367"/>
      <c r="C137" s="358"/>
      <c r="D137" s="367"/>
      <c r="F137" s="418"/>
      <c r="J137" s="414"/>
      <c r="K137" s="414"/>
      <c r="L137" s="26"/>
    </row>
    <row r="138" spans="1:12" s="356" customFormat="1" ht="14.25">
      <c r="A138" s="367"/>
      <c r="B138" s="367"/>
      <c r="C138" s="358"/>
      <c r="D138" s="367"/>
      <c r="F138" s="418"/>
      <c r="J138" s="414"/>
      <c r="K138" s="414"/>
      <c r="L138" s="26"/>
    </row>
    <row r="139" spans="1:12" s="356" customFormat="1" ht="14.25">
      <c r="A139" s="367"/>
      <c r="B139" s="367"/>
      <c r="C139" s="358"/>
      <c r="D139" s="367"/>
      <c r="F139" s="418"/>
      <c r="J139" s="414"/>
      <c r="K139" s="414"/>
      <c r="L139" s="26"/>
    </row>
    <row r="140" spans="1:12" s="356" customFormat="1" ht="14.25">
      <c r="A140" s="367"/>
      <c r="B140" s="367"/>
      <c r="C140" s="358"/>
      <c r="D140" s="367"/>
      <c r="F140" s="418"/>
      <c r="J140" s="414"/>
      <c r="K140" s="414"/>
      <c r="L140" s="26"/>
    </row>
    <row r="141" spans="1:12" s="356" customFormat="1" ht="14.25">
      <c r="A141" s="367"/>
      <c r="B141" s="367"/>
      <c r="C141" s="358"/>
      <c r="D141" s="367"/>
      <c r="F141" s="418"/>
      <c r="J141" s="414"/>
      <c r="K141" s="414"/>
      <c r="L141" s="26"/>
    </row>
    <row r="142" spans="1:12" s="356" customFormat="1" ht="14.25">
      <c r="A142" s="367"/>
      <c r="B142" s="367"/>
      <c r="C142" s="358"/>
      <c r="D142" s="367"/>
      <c r="F142" s="418"/>
      <c r="J142" s="414"/>
      <c r="K142" s="414"/>
      <c r="L142" s="26"/>
    </row>
    <row r="143" spans="1:12" s="356" customFormat="1" ht="14.25">
      <c r="A143" s="367"/>
      <c r="B143" s="367"/>
      <c r="C143" s="358"/>
      <c r="D143" s="367"/>
      <c r="F143" s="418"/>
      <c r="J143" s="414"/>
      <c r="K143" s="414"/>
      <c r="L143" s="26"/>
    </row>
    <row r="144" spans="1:12" s="356" customFormat="1" ht="14.25">
      <c r="A144" s="367"/>
      <c r="B144" s="367"/>
      <c r="C144" s="358"/>
      <c r="D144" s="367"/>
      <c r="F144" s="418"/>
      <c r="J144" s="414"/>
      <c r="K144" s="414"/>
      <c r="L144" s="26"/>
    </row>
    <row r="145" spans="1:12" s="356" customFormat="1" ht="14.25">
      <c r="A145" s="367"/>
      <c r="B145" s="367"/>
      <c r="C145" s="358"/>
      <c r="D145" s="367"/>
      <c r="F145" s="418"/>
      <c r="J145" s="414"/>
      <c r="K145" s="414"/>
      <c r="L145" s="26"/>
    </row>
    <row r="146" spans="1:12" s="356" customFormat="1" ht="14.25">
      <c r="A146" s="367"/>
      <c r="B146" s="367"/>
      <c r="C146" s="358"/>
      <c r="D146" s="367"/>
      <c r="F146" s="418"/>
      <c r="J146" s="414"/>
      <c r="K146" s="414"/>
      <c r="L146" s="26"/>
    </row>
    <row r="147" spans="1:12" s="356" customFormat="1" ht="14.25">
      <c r="A147" s="367"/>
      <c r="B147" s="367"/>
      <c r="C147" s="358"/>
      <c r="D147" s="367"/>
      <c r="F147" s="418"/>
      <c r="J147" s="414"/>
      <c r="K147" s="414"/>
      <c r="L147" s="26"/>
    </row>
    <row r="148" spans="1:12" s="356" customFormat="1" ht="14.25">
      <c r="A148" s="367"/>
      <c r="B148" s="367"/>
      <c r="C148" s="358"/>
      <c r="D148" s="367"/>
      <c r="F148" s="418"/>
      <c r="J148" s="414"/>
      <c r="K148" s="414"/>
      <c r="L148" s="26"/>
    </row>
    <row r="149" spans="1:12" s="356" customFormat="1" ht="14.25">
      <c r="A149" s="367"/>
      <c r="B149" s="367"/>
      <c r="C149" s="358"/>
      <c r="D149" s="367"/>
      <c r="F149" s="418"/>
      <c r="J149" s="414"/>
      <c r="K149" s="414"/>
      <c r="L149" s="26"/>
    </row>
    <row r="150" spans="1:12" s="356" customFormat="1" ht="14.25">
      <c r="A150" s="367"/>
      <c r="B150" s="367"/>
      <c r="C150" s="358"/>
      <c r="D150" s="367"/>
      <c r="F150" s="418"/>
      <c r="J150" s="414"/>
      <c r="K150" s="414"/>
      <c r="L150" s="26"/>
    </row>
    <row r="151" spans="1:12" s="356" customFormat="1" ht="14.25">
      <c r="A151" s="367"/>
      <c r="B151" s="367"/>
      <c r="C151" s="358"/>
      <c r="D151" s="367"/>
      <c r="F151" s="418"/>
      <c r="J151" s="414"/>
      <c r="K151" s="414"/>
      <c r="L151" s="26"/>
    </row>
    <row r="152" spans="1:12" s="356" customFormat="1" ht="14.25">
      <c r="A152" s="367"/>
      <c r="B152" s="367"/>
      <c r="C152" s="358"/>
      <c r="D152" s="367"/>
      <c r="F152" s="418"/>
      <c r="J152" s="414"/>
      <c r="K152" s="414"/>
      <c r="L152" s="26"/>
    </row>
    <row r="153" spans="1:12" s="356" customFormat="1" ht="14.25">
      <c r="A153" s="367"/>
      <c r="B153" s="367"/>
      <c r="C153" s="358"/>
      <c r="D153" s="367"/>
      <c r="F153" s="418"/>
      <c r="J153" s="414"/>
      <c r="K153" s="414"/>
      <c r="L153" s="26"/>
    </row>
    <row r="154" spans="1:12" s="356" customFormat="1" ht="14.25">
      <c r="A154" s="367"/>
      <c r="B154" s="367"/>
      <c r="C154" s="358"/>
      <c r="D154" s="367"/>
      <c r="F154" s="418"/>
      <c r="J154" s="414"/>
      <c r="K154" s="414"/>
      <c r="L154" s="26"/>
    </row>
    <row r="155" spans="1:12" s="356" customFormat="1" ht="14.25">
      <c r="A155" s="367"/>
      <c r="B155" s="367"/>
      <c r="C155" s="358"/>
      <c r="D155" s="367"/>
      <c r="F155" s="418"/>
      <c r="J155" s="414"/>
      <c r="K155" s="414"/>
      <c r="L155" s="26"/>
    </row>
    <row r="156" spans="1:12" s="356" customFormat="1" ht="14.25">
      <c r="A156" s="367"/>
      <c r="B156" s="367"/>
      <c r="C156" s="358"/>
      <c r="D156" s="367"/>
      <c r="F156" s="418"/>
      <c r="J156" s="414"/>
      <c r="K156" s="414"/>
      <c r="L156" s="26"/>
    </row>
    <row r="157" spans="1:12" s="356" customFormat="1" ht="14.25">
      <c r="A157" s="367"/>
      <c r="B157" s="367"/>
      <c r="C157" s="358"/>
      <c r="D157" s="367"/>
      <c r="F157" s="418"/>
      <c r="J157" s="414"/>
      <c r="K157" s="414"/>
      <c r="L157" s="26"/>
    </row>
    <row r="158" spans="1:12" s="356" customFormat="1" ht="14.25">
      <c r="A158" s="367"/>
      <c r="B158" s="367"/>
      <c r="C158" s="358"/>
      <c r="D158" s="367"/>
      <c r="F158" s="418"/>
      <c r="J158" s="414"/>
      <c r="K158" s="414"/>
      <c r="L158" s="26"/>
    </row>
    <row r="159" spans="1:12" s="356" customFormat="1" ht="14.25">
      <c r="A159" s="367"/>
      <c r="B159" s="367"/>
      <c r="C159" s="358"/>
      <c r="D159" s="367"/>
      <c r="F159" s="418"/>
      <c r="J159" s="414"/>
      <c r="K159" s="414"/>
      <c r="L159" s="26"/>
    </row>
    <row r="160" spans="1:12" s="356" customFormat="1" ht="14.25">
      <c r="A160" s="367"/>
      <c r="B160" s="367"/>
      <c r="C160" s="358"/>
      <c r="D160" s="367"/>
      <c r="F160" s="418"/>
      <c r="J160" s="414"/>
      <c r="K160" s="414"/>
      <c r="L160" s="26"/>
    </row>
    <row r="161" spans="1:12" s="356" customFormat="1" ht="14.25">
      <c r="A161" s="367"/>
      <c r="B161" s="367"/>
      <c r="C161" s="358"/>
      <c r="D161" s="367"/>
      <c r="F161" s="418"/>
      <c r="J161" s="414"/>
      <c r="K161" s="414"/>
      <c r="L161" s="26"/>
    </row>
    <row r="162" spans="1:12" s="356" customFormat="1" ht="14.25">
      <c r="A162" s="367"/>
      <c r="B162" s="367"/>
      <c r="C162" s="358"/>
      <c r="D162" s="367"/>
      <c r="F162" s="418"/>
      <c r="J162" s="414"/>
      <c r="K162" s="414"/>
      <c r="L162" s="26"/>
    </row>
    <row r="163" spans="1:12" s="356" customFormat="1" ht="14.25">
      <c r="A163" s="367"/>
      <c r="B163" s="367"/>
      <c r="C163" s="358"/>
      <c r="D163" s="367"/>
      <c r="F163" s="418"/>
      <c r="J163" s="414"/>
      <c r="K163" s="414"/>
      <c r="L163" s="26"/>
    </row>
    <row r="164" spans="1:12" s="356" customFormat="1" ht="14.25">
      <c r="A164" s="367"/>
      <c r="B164" s="367"/>
      <c r="C164" s="358"/>
      <c r="D164" s="367"/>
      <c r="F164" s="418"/>
      <c r="J164" s="414"/>
      <c r="K164" s="414"/>
      <c r="L164" s="26"/>
    </row>
    <row r="165" spans="1:12" s="356" customFormat="1" ht="14.25">
      <c r="A165" s="367"/>
      <c r="B165" s="367"/>
      <c r="C165" s="358"/>
      <c r="D165" s="367"/>
      <c r="F165" s="418"/>
      <c r="J165" s="414"/>
      <c r="K165" s="414"/>
      <c r="L165" s="26"/>
    </row>
    <row r="166" spans="1:12" s="356" customFormat="1">
      <c r="A166" s="366"/>
      <c r="B166" s="366"/>
      <c r="C166" s="358"/>
      <c r="D166" s="366"/>
      <c r="F166" s="443"/>
      <c r="J166" s="414"/>
      <c r="K166" s="414"/>
      <c r="L166" s="26"/>
    </row>
    <row r="167" spans="1:12" s="356" customFormat="1">
      <c r="A167" s="366"/>
      <c r="B167" s="366"/>
      <c r="C167" s="358"/>
      <c r="D167" s="366"/>
      <c r="F167" s="443"/>
      <c r="J167" s="414"/>
      <c r="K167" s="414"/>
      <c r="L167" s="26"/>
    </row>
    <row r="168" spans="1:12" s="356" customFormat="1">
      <c r="A168" s="366"/>
      <c r="B168" s="366"/>
      <c r="C168" s="358"/>
      <c r="D168" s="366"/>
      <c r="F168" s="443"/>
      <c r="J168" s="414"/>
      <c r="K168" s="414"/>
      <c r="L168" s="26"/>
    </row>
    <row r="169" spans="1:12">
      <c r="C169" s="358"/>
      <c r="J169" s="414"/>
      <c r="K169" s="414"/>
    </row>
    <row r="170" spans="1:12">
      <c r="C170" s="358"/>
      <c r="J170" s="414"/>
      <c r="K170" s="414"/>
    </row>
  </sheetData>
  <mergeCells count="12">
    <mergeCell ref="Q19:Q20"/>
    <mergeCell ref="R19:R20"/>
    <mergeCell ref="S19:S20"/>
    <mergeCell ref="O19:O20"/>
    <mergeCell ref="A7:A10"/>
    <mergeCell ref="B7:B10"/>
    <mergeCell ref="P19:P20"/>
    <mergeCell ref="H19:H20"/>
    <mergeCell ref="N19:N20"/>
    <mergeCell ref="M19:M20"/>
    <mergeCell ref="A19:A20"/>
    <mergeCell ref="B19:B20"/>
  </mergeCells>
  <phoneticPr fontId="3" type="noConversion"/>
  <conditionalFormatting sqref="L4:L21">
    <cfRule type="cellIs" dxfId="124" priority="24" operator="lessThan">
      <formula>-0.3</formula>
    </cfRule>
    <cfRule type="cellIs" dxfId="123" priority="25" operator="greaterThan">
      <formula>0.3</formula>
    </cfRule>
  </conditionalFormatting>
  <conditionalFormatting sqref="L4:L21">
    <cfRule type="cellIs" dxfId="122" priority="22" stopIfTrue="1" operator="lessThanOrEqual">
      <formula>-0.3</formula>
    </cfRule>
    <cfRule type="cellIs" dxfId="121" priority="23" stopIfTrue="1" operator="greaterThanOrEqual">
      <formula>0.3</formula>
    </cfRule>
  </conditionalFormatting>
  <conditionalFormatting sqref="Q7:Q19 P7:S14 P4:P5 Q4 R4:S19 P21:S21 P16:S19">
    <cfRule type="expression" dxfId="120" priority="19">
      <formula>P4&lt;&gt;0</formula>
    </cfRule>
  </conditionalFormatting>
  <conditionalFormatting sqref="P15:S18">
    <cfRule type="expression" dxfId="119" priority="10">
      <formula>$P$15&lt;&gt;0</formula>
    </cfRule>
  </conditionalFormatting>
  <conditionalFormatting sqref="O4:O19 O21">
    <cfRule type="cellIs" dxfId="118" priority="5" stopIfTrue="1" operator="lessThan">
      <formula>0</formula>
    </cfRule>
    <cfRule type="cellIs" dxfId="117" priority="6" operator="greaterThan">
      <formula>0</formula>
    </cfRule>
  </conditionalFormatting>
  <hyperlinks>
    <hyperlink ref="D31" location="权重!A1" display="权重!A1"/>
    <hyperlink ref="D32" location="目录!A1" display="目录!A1"/>
  </hyperlink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sheetPr>
  <dimension ref="A1:U121"/>
  <sheetViews>
    <sheetView workbookViewId="0">
      <pane xSplit="9" ySplit="3" topLeftCell="J4" activePane="bottomRight" state="frozenSplit"/>
      <selection activeCell="C1" sqref="A1:XFD1048576"/>
      <selection pane="topRight" activeCell="H1" sqref="H1"/>
      <selection pane="bottomLeft" activeCell="C4" sqref="C4"/>
      <selection pane="bottomRight" activeCell="L12" sqref="L12"/>
    </sheetView>
  </sheetViews>
  <sheetFormatPr defaultColWidth="8.875" defaultRowHeight="16.5" outlineLevelCol="2"/>
  <cols>
    <col min="1" max="1" width="20.75" style="139" hidden="1" customWidth="1" outlineLevel="1"/>
    <col min="2" max="2" width="14.125" style="139" hidden="1" customWidth="1" outlineLevel="1"/>
    <col min="3" max="3" width="4.625" style="518" customWidth="1" collapsed="1"/>
    <col min="4" max="4" width="37.875" style="353" customWidth="1"/>
    <col min="5" max="5" width="14.125" style="536" hidden="1" customWidth="1" outlineLevel="1"/>
    <col min="6" max="6" width="11" style="435" hidden="1" customWidth="1" outlineLevel="2"/>
    <col min="7" max="7" width="9.75" style="540" hidden="1" customWidth="1" outlineLevel="2"/>
    <col min="8" max="8" width="7.5" style="353" hidden="1" customWidth="1" outlineLevel="1"/>
    <col min="9" max="9" width="9.875" style="538" customWidth="1" collapsed="1"/>
    <col min="10" max="10" width="10.625" style="538" customWidth="1"/>
    <col min="11" max="11" width="10.25" style="518" customWidth="1"/>
    <col min="12" max="12" width="10.125" style="518" customWidth="1"/>
    <col min="13" max="13" width="10.375" style="538" bestFit="1" customWidth="1"/>
    <col min="14" max="14" width="10.375" style="538" customWidth="1"/>
    <col min="15" max="15" width="9.25" style="11" customWidth="1"/>
    <col min="16" max="18" width="8.875" style="1" customWidth="1"/>
    <col min="19" max="19" width="9.875" style="1" customWidth="1"/>
    <col min="20" max="20" width="11.375" style="1" customWidth="1"/>
    <col min="21" max="21" width="8.875" style="1" customWidth="1"/>
    <col min="22" max="16384" width="8.875" style="353"/>
  </cols>
  <sheetData>
    <row r="1" spans="1:21">
      <c r="A1" s="141"/>
      <c r="B1" s="141"/>
      <c r="C1" s="511" t="s">
        <v>25</v>
      </c>
      <c r="D1" s="511"/>
      <c r="E1" s="521"/>
      <c r="F1" s="445"/>
      <c r="G1" s="509"/>
      <c r="I1" s="509"/>
      <c r="J1" s="509"/>
      <c r="K1" s="522"/>
      <c r="L1" s="522"/>
      <c r="M1" s="509"/>
      <c r="N1" s="509"/>
      <c r="O1" s="195"/>
    </row>
    <row r="2" spans="1:21">
      <c r="A2" s="141"/>
      <c r="B2" s="141"/>
      <c r="C2" s="511"/>
      <c r="D2" s="511"/>
      <c r="E2" s="521"/>
      <c r="F2" s="445"/>
      <c r="G2" s="511"/>
      <c r="I2" s="509"/>
      <c r="J2" s="509"/>
      <c r="K2" s="522"/>
      <c r="L2" s="522"/>
      <c r="M2" s="509"/>
      <c r="N2" s="509"/>
      <c r="O2" s="138" t="s">
        <v>1637</v>
      </c>
      <c r="U2" s="8"/>
    </row>
    <row r="3" spans="1:21" s="356" customFormat="1" ht="15">
      <c r="A3" s="17" t="s">
        <v>392</v>
      </c>
      <c r="B3" s="17" t="s">
        <v>393</v>
      </c>
      <c r="C3" s="512" t="s">
        <v>183</v>
      </c>
      <c r="D3" s="513" t="s">
        <v>182</v>
      </c>
      <c r="E3" s="513" t="s">
        <v>1467</v>
      </c>
      <c r="F3" s="513" t="s">
        <v>1534</v>
      </c>
      <c r="G3" s="513" t="s">
        <v>391</v>
      </c>
      <c r="H3" s="513" t="s">
        <v>646</v>
      </c>
      <c r="I3" s="513" t="s">
        <v>485</v>
      </c>
      <c r="J3" s="513" t="s">
        <v>1095</v>
      </c>
      <c r="K3" s="1484" t="s">
        <v>2428</v>
      </c>
      <c r="L3" s="1485" t="s">
        <v>2177</v>
      </c>
      <c r="M3" s="587" t="s">
        <v>2434</v>
      </c>
      <c r="N3" s="586" t="s">
        <v>2178</v>
      </c>
      <c r="O3" s="28" t="s">
        <v>1096</v>
      </c>
      <c r="P3" s="21" t="s">
        <v>1097</v>
      </c>
      <c r="Q3" s="21" t="s">
        <v>462</v>
      </c>
      <c r="R3" s="216" t="s">
        <v>1584</v>
      </c>
      <c r="S3" s="588" t="s">
        <v>1583</v>
      </c>
      <c r="T3" s="588" t="s">
        <v>1586</v>
      </c>
      <c r="U3" s="207"/>
    </row>
    <row r="4" spans="1:21" s="356" customFormat="1" ht="15.6" customHeight="1">
      <c r="A4" s="142" t="s">
        <v>1071</v>
      </c>
      <c r="B4" s="142" t="s">
        <v>252</v>
      </c>
      <c r="C4" s="452">
        <v>1</v>
      </c>
      <c r="D4" s="392" t="s">
        <v>26</v>
      </c>
      <c r="E4" s="516" t="s">
        <v>206</v>
      </c>
      <c r="F4" s="523" t="s">
        <v>206</v>
      </c>
      <c r="G4" s="524" t="s">
        <v>1535</v>
      </c>
      <c r="H4" s="362" t="s">
        <v>231</v>
      </c>
      <c r="I4" s="381">
        <v>2</v>
      </c>
      <c r="J4" s="386"/>
      <c r="K4" s="466">
        <v>21.26</v>
      </c>
      <c r="L4" s="466">
        <v>21.01</v>
      </c>
      <c r="M4" s="360">
        <f>IF(K4&gt;7,2,IF(K4&gt;5,1,0))</f>
        <v>2</v>
      </c>
      <c r="N4" s="360">
        <f>IF(L4&gt;7,2,IF(L4&gt;5,1,0))</f>
        <v>2</v>
      </c>
      <c r="O4" s="197">
        <f>IF(AND(L4=0,K4&lt;&gt;0),1,IF(AND(L4=0,K4=0),0,K4/L4-1))</f>
        <v>1.1899095668729265E-2</v>
      </c>
      <c r="P4" s="191">
        <f>M4-N4</f>
        <v>0</v>
      </c>
      <c r="Q4" s="193">
        <f t="shared" ref="Q4:Q35" si="0">I4-M4</f>
        <v>0</v>
      </c>
      <c r="R4" s="193">
        <f>Q4*100%</f>
        <v>0</v>
      </c>
      <c r="S4" s="193">
        <f>R4/9</f>
        <v>0</v>
      </c>
      <c r="T4" s="193">
        <f>S4/2</f>
        <v>0</v>
      </c>
      <c r="U4" s="125"/>
    </row>
    <row r="5" spans="1:21" s="356" customFormat="1" ht="15.6" customHeight="1">
      <c r="A5" s="142" t="s">
        <v>253</v>
      </c>
      <c r="B5" s="142" t="s">
        <v>254</v>
      </c>
      <c r="C5" s="452">
        <v>2</v>
      </c>
      <c r="D5" s="392" t="s">
        <v>27</v>
      </c>
      <c r="E5" s="516" t="s">
        <v>206</v>
      </c>
      <c r="F5" s="523" t="s">
        <v>206</v>
      </c>
      <c r="G5" s="524" t="s">
        <v>1536</v>
      </c>
      <c r="H5" s="362" t="s">
        <v>231</v>
      </c>
      <c r="I5" s="381">
        <v>2</v>
      </c>
      <c r="J5" s="386" t="s">
        <v>208</v>
      </c>
      <c r="K5" s="466" t="s">
        <v>28</v>
      </c>
      <c r="L5" s="466" t="s">
        <v>28</v>
      </c>
      <c r="M5" s="362">
        <v>2</v>
      </c>
      <c r="N5" s="362">
        <v>2</v>
      </c>
      <c r="O5" s="197">
        <f>IF((K5=L5)=TRUE,0,1)</f>
        <v>0</v>
      </c>
      <c r="P5" s="191">
        <f t="shared" ref="P5:P63" si="1">M5-N5</f>
        <v>0</v>
      </c>
      <c r="Q5" s="193">
        <f t="shared" si="0"/>
        <v>0</v>
      </c>
      <c r="R5" s="193">
        <f t="shared" ref="R5:R66" si="2">Q5*100%</f>
        <v>0</v>
      </c>
      <c r="S5" s="193">
        <f t="shared" ref="S5:S66" si="3">R5/9</f>
        <v>0</v>
      </c>
      <c r="T5" s="193">
        <f t="shared" ref="T5:T66" si="4">S5/2</f>
        <v>0</v>
      </c>
      <c r="U5" s="125"/>
    </row>
    <row r="6" spans="1:21" s="356" customFormat="1" ht="15.6" customHeight="1">
      <c r="A6" s="142" t="s">
        <v>255</v>
      </c>
      <c r="B6" s="142" t="s">
        <v>256</v>
      </c>
      <c r="C6" s="452">
        <v>3</v>
      </c>
      <c r="D6" s="392" t="s">
        <v>29</v>
      </c>
      <c r="E6" s="516" t="s">
        <v>206</v>
      </c>
      <c r="F6" s="523" t="s">
        <v>206</v>
      </c>
      <c r="G6" s="524" t="s">
        <v>396</v>
      </c>
      <c r="H6" s="362" t="s">
        <v>231</v>
      </c>
      <c r="I6" s="381">
        <v>2</v>
      </c>
      <c r="J6" s="386"/>
      <c r="K6" s="613">
        <v>5.88</v>
      </c>
      <c r="L6" s="613">
        <v>5.82</v>
      </c>
      <c r="M6" s="362">
        <f>IF(K6&gt;=5,2,0)</f>
        <v>2</v>
      </c>
      <c r="N6" s="362">
        <f>IF(L6&gt;=5,2,0)</f>
        <v>2</v>
      </c>
      <c r="O6" s="197">
        <f>IF(AND(L6=0,K6&lt;&gt;0),1,IF(AND(L6=0,K6=0),0,K6/L6-1))</f>
        <v>1.0309278350515427E-2</v>
      </c>
      <c r="P6" s="191">
        <f t="shared" si="1"/>
        <v>0</v>
      </c>
      <c r="Q6" s="193">
        <f t="shared" si="0"/>
        <v>0</v>
      </c>
      <c r="R6" s="193">
        <f t="shared" si="2"/>
        <v>0</v>
      </c>
      <c r="S6" s="193">
        <f t="shared" si="3"/>
        <v>0</v>
      </c>
      <c r="T6" s="193">
        <f t="shared" si="4"/>
        <v>0</v>
      </c>
      <c r="U6" s="205"/>
    </row>
    <row r="7" spans="1:21" s="356" customFormat="1" ht="15.6" customHeight="1">
      <c r="A7" s="1756" t="s">
        <v>257</v>
      </c>
      <c r="B7" s="1756" t="s">
        <v>258</v>
      </c>
      <c r="C7" s="452">
        <v>4</v>
      </c>
      <c r="D7" s="392" t="s">
        <v>30</v>
      </c>
      <c r="E7" s="516" t="s">
        <v>206</v>
      </c>
      <c r="F7" s="523" t="s">
        <v>206</v>
      </c>
      <c r="G7" s="524" t="s">
        <v>396</v>
      </c>
      <c r="H7" s="1675" t="s">
        <v>231</v>
      </c>
      <c r="I7" s="1685">
        <v>1</v>
      </c>
      <c r="J7" s="386" t="s">
        <v>209</v>
      </c>
      <c r="K7" s="466" t="s">
        <v>31</v>
      </c>
      <c r="L7" s="466" t="s">
        <v>31</v>
      </c>
      <c r="M7" s="1708">
        <v>1</v>
      </c>
      <c r="N7" s="1708">
        <v>1</v>
      </c>
      <c r="O7" s="197">
        <f>IF((K7=L7)=TRUE,0,1)</f>
        <v>0</v>
      </c>
      <c r="P7" s="191">
        <f t="shared" si="1"/>
        <v>0</v>
      </c>
      <c r="Q7" s="193">
        <f t="shared" si="0"/>
        <v>0</v>
      </c>
      <c r="R7" s="193">
        <f t="shared" si="2"/>
        <v>0</v>
      </c>
      <c r="S7" s="193">
        <f t="shared" si="3"/>
        <v>0</v>
      </c>
      <c r="T7" s="193">
        <f t="shared" si="4"/>
        <v>0</v>
      </c>
      <c r="U7" s="205"/>
    </row>
    <row r="8" spans="1:21" s="356" customFormat="1" ht="15.6" customHeight="1">
      <c r="A8" s="1758"/>
      <c r="B8" s="1758"/>
      <c r="C8" s="452">
        <v>5</v>
      </c>
      <c r="D8" s="392" t="s">
        <v>32</v>
      </c>
      <c r="E8" s="516" t="s">
        <v>206</v>
      </c>
      <c r="F8" s="523" t="s">
        <v>206</v>
      </c>
      <c r="G8" s="524" t="s">
        <v>396</v>
      </c>
      <c r="H8" s="1675"/>
      <c r="I8" s="1685"/>
      <c r="J8" s="386" t="s">
        <v>209</v>
      </c>
      <c r="K8" s="466" t="s">
        <v>33</v>
      </c>
      <c r="L8" s="466" t="s">
        <v>33</v>
      </c>
      <c r="M8" s="1710"/>
      <c r="N8" s="1710"/>
      <c r="O8" s="197">
        <f>IF((K8=L8)=TRUE,0,1)</f>
        <v>0</v>
      </c>
      <c r="P8" s="191">
        <f t="shared" si="1"/>
        <v>0</v>
      </c>
      <c r="Q8" s="193">
        <f t="shared" si="0"/>
        <v>0</v>
      </c>
      <c r="R8" s="193">
        <f t="shared" si="2"/>
        <v>0</v>
      </c>
      <c r="S8" s="193">
        <f t="shared" si="3"/>
        <v>0</v>
      </c>
      <c r="T8" s="193">
        <f t="shared" si="4"/>
        <v>0</v>
      </c>
      <c r="U8" s="205"/>
    </row>
    <row r="9" spans="1:21" s="2" customFormat="1" ht="15.6" customHeight="1">
      <c r="A9" s="1756" t="s">
        <v>1072</v>
      </c>
      <c r="B9" s="1756" t="s">
        <v>259</v>
      </c>
      <c r="C9" s="5">
        <v>6</v>
      </c>
      <c r="D9" s="9" t="s">
        <v>34</v>
      </c>
      <c r="E9" s="189"/>
      <c r="F9" s="3"/>
      <c r="G9" s="196" t="s">
        <v>396</v>
      </c>
      <c r="H9" s="25" t="s">
        <v>231</v>
      </c>
      <c r="I9" s="81">
        <v>1</v>
      </c>
      <c r="J9" s="19"/>
      <c r="K9" s="200">
        <f>IF(K11=0,"",K10/K11)</f>
        <v>0.7142857142857143</v>
      </c>
      <c r="L9" s="200">
        <v>0.7142857142857143</v>
      </c>
      <c r="M9" s="117">
        <f>IF(K9&gt;=0.25,1,0)</f>
        <v>1</v>
      </c>
      <c r="N9" s="181">
        <f>IF(L9&gt;=0.25,1,0)</f>
        <v>1</v>
      </c>
      <c r="O9" s="197">
        <f t="shared" ref="O9:O20" si="5">IF(AND(L9=0,K9&lt;&gt;0),1,IF(AND(L9=0,K9=0),0,K9/L9-1))</f>
        <v>0</v>
      </c>
      <c r="P9" s="191">
        <f t="shared" si="1"/>
        <v>0</v>
      </c>
      <c r="Q9" s="193">
        <f t="shared" si="0"/>
        <v>0</v>
      </c>
      <c r="R9" s="193">
        <f t="shared" si="2"/>
        <v>0</v>
      </c>
      <c r="S9" s="193">
        <f t="shared" si="3"/>
        <v>0</v>
      </c>
      <c r="T9" s="193">
        <f t="shared" si="4"/>
        <v>0</v>
      </c>
      <c r="U9" s="205"/>
    </row>
    <row r="10" spans="1:21" s="356" customFormat="1" ht="15.6" customHeight="1">
      <c r="A10" s="1757"/>
      <c r="B10" s="1757"/>
      <c r="C10" s="525">
        <v>6.1</v>
      </c>
      <c r="D10" s="387" t="s">
        <v>35</v>
      </c>
      <c r="E10" s="516" t="s">
        <v>206</v>
      </c>
      <c r="F10" s="523" t="s">
        <v>206</v>
      </c>
      <c r="G10" s="524"/>
      <c r="H10" s="361"/>
      <c r="I10" s="381"/>
      <c r="J10" s="526" t="s">
        <v>1980</v>
      </c>
      <c r="K10" s="466">
        <v>5</v>
      </c>
      <c r="L10" s="466">
        <v>5</v>
      </c>
      <c r="M10" s="362"/>
      <c r="N10" s="362"/>
      <c r="O10" s="197">
        <f t="shared" si="5"/>
        <v>0</v>
      </c>
      <c r="P10" s="191">
        <f t="shared" si="1"/>
        <v>0</v>
      </c>
      <c r="Q10" s="193">
        <f t="shared" si="0"/>
        <v>0</v>
      </c>
      <c r="R10" s="193">
        <f t="shared" si="2"/>
        <v>0</v>
      </c>
      <c r="S10" s="193">
        <f t="shared" si="3"/>
        <v>0</v>
      </c>
      <c r="T10" s="193">
        <f t="shared" si="4"/>
        <v>0</v>
      </c>
      <c r="U10" s="205"/>
    </row>
    <row r="11" spans="1:21" s="356" customFormat="1" ht="15.6" customHeight="1">
      <c r="A11" s="1758"/>
      <c r="B11" s="1758"/>
      <c r="C11" s="525">
        <v>6.2</v>
      </c>
      <c r="D11" s="387" t="s">
        <v>36</v>
      </c>
      <c r="E11" s="516" t="s">
        <v>206</v>
      </c>
      <c r="F11" s="523" t="s">
        <v>206</v>
      </c>
      <c r="G11" s="524"/>
      <c r="H11" s="361"/>
      <c r="I11" s="381"/>
      <c r="J11" s="526" t="s">
        <v>2349</v>
      </c>
      <c r="K11" s="527">
        <v>7</v>
      </c>
      <c r="L11" s="527">
        <v>7</v>
      </c>
      <c r="M11" s="362"/>
      <c r="N11" s="362"/>
      <c r="O11" s="197">
        <f t="shared" si="5"/>
        <v>0</v>
      </c>
      <c r="P11" s="191">
        <f t="shared" si="1"/>
        <v>0</v>
      </c>
      <c r="Q11" s="193">
        <f t="shared" si="0"/>
        <v>0</v>
      </c>
      <c r="R11" s="193">
        <f t="shared" si="2"/>
        <v>0</v>
      </c>
      <c r="S11" s="193">
        <f t="shared" si="3"/>
        <v>0</v>
      </c>
      <c r="T11" s="193">
        <f t="shared" si="4"/>
        <v>0</v>
      </c>
      <c r="U11" s="205"/>
    </row>
    <row r="12" spans="1:21" s="2" customFormat="1" ht="15.6" customHeight="1">
      <c r="A12" s="1756" t="s">
        <v>2094</v>
      </c>
      <c r="B12" s="1756" t="s">
        <v>2095</v>
      </c>
      <c r="C12" s="5">
        <v>7</v>
      </c>
      <c r="D12" s="9" t="s">
        <v>2093</v>
      </c>
      <c r="E12" s="189"/>
      <c r="F12" s="3"/>
      <c r="G12" s="196" t="s">
        <v>1536</v>
      </c>
      <c r="H12" s="25" t="s">
        <v>231</v>
      </c>
      <c r="I12" s="81">
        <v>2</v>
      </c>
      <c r="J12" s="19"/>
      <c r="K12" s="201">
        <f>K13/(K14+K15)</f>
        <v>0</v>
      </c>
      <c r="L12" s="201">
        <v>0</v>
      </c>
      <c r="M12" s="117">
        <f>IF(K12&lt;0.2,2,IF(I12&lt;0.3,1,0))</f>
        <v>2</v>
      </c>
      <c r="N12" s="181">
        <f>IF(L12&lt;0.2,2,IF(M12&lt;0.3,1,0))</f>
        <v>2</v>
      </c>
      <c r="O12" s="197">
        <f t="shared" si="5"/>
        <v>0</v>
      </c>
      <c r="P12" s="191">
        <f t="shared" si="1"/>
        <v>0</v>
      </c>
      <c r="Q12" s="193">
        <f t="shared" si="0"/>
        <v>0</v>
      </c>
      <c r="R12" s="193">
        <f t="shared" si="2"/>
        <v>0</v>
      </c>
      <c r="S12" s="193">
        <f t="shared" si="3"/>
        <v>0</v>
      </c>
      <c r="T12" s="193">
        <f t="shared" si="4"/>
        <v>0</v>
      </c>
      <c r="U12" s="205"/>
    </row>
    <row r="13" spans="1:21" s="356" customFormat="1" ht="15.6" customHeight="1">
      <c r="A13" s="1757"/>
      <c r="B13" s="1757"/>
      <c r="C13" s="525">
        <v>7.1</v>
      </c>
      <c r="D13" s="387" t="s">
        <v>38</v>
      </c>
      <c r="E13" s="516" t="s">
        <v>206</v>
      </c>
      <c r="F13" s="523" t="s">
        <v>206</v>
      </c>
      <c r="G13" s="524"/>
      <c r="H13" s="361"/>
      <c r="I13" s="381"/>
      <c r="J13" s="526" t="s">
        <v>1420</v>
      </c>
      <c r="K13" s="466">
        <v>0</v>
      </c>
      <c r="L13" s="466">
        <v>0</v>
      </c>
      <c r="M13" s="362"/>
      <c r="N13" s="362"/>
      <c r="O13" s="197">
        <f t="shared" si="5"/>
        <v>0</v>
      </c>
      <c r="P13" s="191">
        <f t="shared" si="1"/>
        <v>0</v>
      </c>
      <c r="Q13" s="193">
        <f t="shared" si="0"/>
        <v>0</v>
      </c>
      <c r="R13" s="193">
        <f t="shared" si="2"/>
        <v>0</v>
      </c>
      <c r="S13" s="193">
        <f t="shared" si="3"/>
        <v>0</v>
      </c>
      <c r="T13" s="193">
        <f t="shared" si="4"/>
        <v>0</v>
      </c>
      <c r="U13" s="205"/>
    </row>
    <row r="14" spans="1:21" s="356" customFormat="1" ht="15.6" customHeight="1">
      <c r="A14" s="1757"/>
      <c r="B14" s="1757"/>
      <c r="C14" s="525">
        <v>7.2</v>
      </c>
      <c r="D14" s="387" t="s">
        <v>39</v>
      </c>
      <c r="E14" s="516" t="s">
        <v>206</v>
      </c>
      <c r="F14" s="523" t="s">
        <v>206</v>
      </c>
      <c r="G14" s="524"/>
      <c r="H14" s="361"/>
      <c r="I14" s="381"/>
      <c r="J14" s="526" t="s">
        <v>1420</v>
      </c>
      <c r="K14" s="466">
        <v>27</v>
      </c>
      <c r="L14" s="466">
        <v>22</v>
      </c>
      <c r="M14" s="362"/>
      <c r="N14" s="362"/>
      <c r="O14" s="197">
        <f t="shared" si="5"/>
        <v>0.22727272727272729</v>
      </c>
      <c r="P14" s="191">
        <f t="shared" si="1"/>
        <v>0</v>
      </c>
      <c r="Q14" s="193">
        <f t="shared" si="0"/>
        <v>0</v>
      </c>
      <c r="R14" s="193">
        <f t="shared" si="2"/>
        <v>0</v>
      </c>
      <c r="S14" s="193">
        <f t="shared" si="3"/>
        <v>0</v>
      </c>
      <c r="T14" s="193">
        <f t="shared" si="4"/>
        <v>0</v>
      </c>
      <c r="U14" s="205"/>
    </row>
    <row r="15" spans="1:21" s="356" customFormat="1" ht="15.6" customHeight="1">
      <c r="A15" s="1758"/>
      <c r="B15" s="1758"/>
      <c r="C15" s="525">
        <v>7.3</v>
      </c>
      <c r="D15" s="387" t="s">
        <v>40</v>
      </c>
      <c r="E15" s="516" t="s">
        <v>206</v>
      </c>
      <c r="F15" s="523" t="s">
        <v>206</v>
      </c>
      <c r="G15" s="524"/>
      <c r="H15" s="361"/>
      <c r="I15" s="381"/>
      <c r="J15" s="526" t="s">
        <v>1420</v>
      </c>
      <c r="K15" s="466">
        <v>2</v>
      </c>
      <c r="L15" s="466">
        <v>5</v>
      </c>
      <c r="M15" s="1287"/>
      <c r="N15" s="1287"/>
      <c r="O15" s="197">
        <f t="shared" si="5"/>
        <v>-0.6</v>
      </c>
      <c r="P15" s="191">
        <f t="shared" si="1"/>
        <v>0</v>
      </c>
      <c r="Q15" s="193">
        <f t="shared" si="0"/>
        <v>0</v>
      </c>
      <c r="R15" s="193">
        <f t="shared" si="2"/>
        <v>0</v>
      </c>
      <c r="S15" s="193">
        <f t="shared" si="3"/>
        <v>0</v>
      </c>
      <c r="T15" s="193">
        <f t="shared" si="4"/>
        <v>0</v>
      </c>
      <c r="U15" s="205"/>
    </row>
    <row r="16" spans="1:21" s="356" customFormat="1" ht="15.6" customHeight="1">
      <c r="A16" s="1756" t="s">
        <v>260</v>
      </c>
      <c r="B16" s="1756" t="s">
        <v>261</v>
      </c>
      <c r="C16" s="452">
        <v>8</v>
      </c>
      <c r="D16" s="392" t="s">
        <v>41</v>
      </c>
      <c r="E16" s="516" t="s">
        <v>206</v>
      </c>
      <c r="F16" s="523" t="s">
        <v>206</v>
      </c>
      <c r="G16" s="524" t="s">
        <v>1536</v>
      </c>
      <c r="H16" s="1675" t="s">
        <v>231</v>
      </c>
      <c r="I16" s="1685">
        <v>1</v>
      </c>
      <c r="J16" s="386"/>
      <c r="K16" s="466">
        <v>4</v>
      </c>
      <c r="L16" s="466">
        <v>4</v>
      </c>
      <c r="M16" s="1708">
        <f>IF(K17&gt;=1,1,0)</f>
        <v>1</v>
      </c>
      <c r="N16" s="1708">
        <f>IF(L17&gt;=1,1,0)</f>
        <v>1</v>
      </c>
      <c r="O16" s="197">
        <f t="shared" si="5"/>
        <v>0</v>
      </c>
      <c r="P16" s="191">
        <f t="shared" si="1"/>
        <v>0</v>
      </c>
      <c r="Q16" s="193">
        <f t="shared" si="0"/>
        <v>0</v>
      </c>
      <c r="R16" s="193">
        <f t="shared" si="2"/>
        <v>0</v>
      </c>
      <c r="S16" s="193">
        <f t="shared" si="3"/>
        <v>0</v>
      </c>
      <c r="T16" s="193">
        <f t="shared" si="4"/>
        <v>0</v>
      </c>
      <c r="U16" s="205"/>
    </row>
    <row r="17" spans="1:21" s="356" customFormat="1" ht="19.5" customHeight="1">
      <c r="A17" s="1758"/>
      <c r="B17" s="1758"/>
      <c r="C17" s="452">
        <v>9</v>
      </c>
      <c r="D17" s="392" t="s">
        <v>42</v>
      </c>
      <c r="E17" s="516" t="s">
        <v>206</v>
      </c>
      <c r="F17" s="523" t="s">
        <v>206</v>
      </c>
      <c r="G17" s="524" t="s">
        <v>1536</v>
      </c>
      <c r="H17" s="1675"/>
      <c r="I17" s="1685"/>
      <c r="J17" s="526" t="s">
        <v>2350</v>
      </c>
      <c r="K17" s="466">
        <v>11</v>
      </c>
      <c r="L17" s="466">
        <v>16</v>
      </c>
      <c r="M17" s="1710"/>
      <c r="N17" s="1710"/>
      <c r="O17" s="197">
        <f t="shared" si="5"/>
        <v>-0.3125</v>
      </c>
      <c r="P17" s="191">
        <f t="shared" si="1"/>
        <v>0</v>
      </c>
      <c r="Q17" s="193">
        <f t="shared" si="0"/>
        <v>0</v>
      </c>
      <c r="R17" s="193">
        <f t="shared" si="2"/>
        <v>0</v>
      </c>
      <c r="S17" s="193">
        <f t="shared" si="3"/>
        <v>0</v>
      </c>
      <c r="T17" s="193">
        <f t="shared" si="4"/>
        <v>0</v>
      </c>
      <c r="U17" s="205"/>
    </row>
    <row r="18" spans="1:21" s="2" customFormat="1" ht="14.25">
      <c r="A18" s="1756" t="s">
        <v>469</v>
      </c>
      <c r="B18" s="1756" t="s">
        <v>262</v>
      </c>
      <c r="C18" s="5">
        <v>10</v>
      </c>
      <c r="D18" s="9" t="s">
        <v>1714</v>
      </c>
      <c r="E18" s="189"/>
      <c r="F18" s="3"/>
      <c r="G18" s="196" t="s">
        <v>1536</v>
      </c>
      <c r="H18" s="25" t="s">
        <v>231</v>
      </c>
      <c r="I18" s="81">
        <v>1</v>
      </c>
      <c r="J18" s="19" t="s">
        <v>1981</v>
      </c>
      <c r="K18" s="1486">
        <f>K19/K20</f>
        <v>7.0344827586206895</v>
      </c>
      <c r="L18" s="1486">
        <v>8.1481481481481488</v>
      </c>
      <c r="M18" s="118">
        <f>IF(K18&gt;=2,1,0)</f>
        <v>1</v>
      </c>
      <c r="N18" s="181">
        <f>IF(L18&gt;=2,1,0)</f>
        <v>1</v>
      </c>
      <c r="O18" s="197">
        <f t="shared" si="5"/>
        <v>-0.13667711598746091</v>
      </c>
      <c r="P18" s="191">
        <f t="shared" si="1"/>
        <v>0</v>
      </c>
      <c r="Q18" s="193">
        <f t="shared" si="0"/>
        <v>0</v>
      </c>
      <c r="R18" s="193">
        <f t="shared" si="2"/>
        <v>0</v>
      </c>
      <c r="S18" s="193">
        <f t="shared" si="3"/>
        <v>0</v>
      </c>
      <c r="T18" s="193">
        <f t="shared" si="4"/>
        <v>0</v>
      </c>
      <c r="U18" s="205"/>
    </row>
    <row r="19" spans="1:21" s="356" customFormat="1" ht="15.6" customHeight="1">
      <c r="A19" s="1757"/>
      <c r="B19" s="1757"/>
      <c r="C19" s="525">
        <v>10.1</v>
      </c>
      <c r="D19" s="387" t="s">
        <v>44</v>
      </c>
      <c r="E19" s="516" t="s">
        <v>206</v>
      </c>
      <c r="F19" s="523" t="s">
        <v>206</v>
      </c>
      <c r="G19" s="524"/>
      <c r="H19" s="361"/>
      <c r="I19" s="381"/>
      <c r="J19" s="1288" t="s">
        <v>2351</v>
      </c>
      <c r="K19" s="466">
        <v>204</v>
      </c>
      <c r="L19" s="466">
        <v>220</v>
      </c>
      <c r="M19" s="362"/>
      <c r="N19" s="362"/>
      <c r="O19" s="197">
        <f t="shared" si="5"/>
        <v>-7.2727272727272751E-2</v>
      </c>
      <c r="P19" s="191">
        <f t="shared" si="1"/>
        <v>0</v>
      </c>
      <c r="Q19" s="193">
        <f t="shared" si="0"/>
        <v>0</v>
      </c>
      <c r="R19" s="193">
        <f t="shared" si="2"/>
        <v>0</v>
      </c>
      <c r="S19" s="193">
        <f t="shared" si="3"/>
        <v>0</v>
      </c>
      <c r="T19" s="193">
        <f t="shared" si="4"/>
        <v>0</v>
      </c>
      <c r="U19" s="205"/>
    </row>
    <row r="20" spans="1:21" s="356" customFormat="1" ht="15.6" customHeight="1">
      <c r="A20" s="1758"/>
      <c r="B20" s="1758"/>
      <c r="C20" s="525">
        <v>10.199999999999999</v>
      </c>
      <c r="D20" s="387" t="s">
        <v>45</v>
      </c>
      <c r="E20" s="516" t="s">
        <v>206</v>
      </c>
      <c r="F20" s="523" t="s">
        <v>206</v>
      </c>
      <c r="G20" s="524"/>
      <c r="H20" s="361"/>
      <c r="I20" s="381"/>
      <c r="J20" s="386" t="s">
        <v>1075</v>
      </c>
      <c r="K20" s="466">
        <v>29</v>
      </c>
      <c r="L20" s="466">
        <v>27</v>
      </c>
      <c r="M20" s="362"/>
      <c r="N20" s="362"/>
      <c r="O20" s="197">
        <f t="shared" si="5"/>
        <v>7.4074074074074181E-2</v>
      </c>
      <c r="P20" s="191">
        <f t="shared" si="1"/>
        <v>0</v>
      </c>
      <c r="Q20" s="193">
        <f t="shared" si="0"/>
        <v>0</v>
      </c>
      <c r="R20" s="193">
        <f t="shared" si="2"/>
        <v>0</v>
      </c>
      <c r="S20" s="193">
        <f t="shared" si="3"/>
        <v>0</v>
      </c>
      <c r="T20" s="193">
        <f t="shared" si="4"/>
        <v>0</v>
      </c>
      <c r="U20" s="205"/>
    </row>
    <row r="21" spans="1:21" s="356" customFormat="1" ht="15.6" customHeight="1">
      <c r="A21" s="1756" t="s">
        <v>263</v>
      </c>
      <c r="B21" s="1756" t="s">
        <v>264</v>
      </c>
      <c r="C21" s="452">
        <v>11</v>
      </c>
      <c r="D21" s="392" t="s">
        <v>46</v>
      </c>
      <c r="E21" s="516" t="s">
        <v>206</v>
      </c>
      <c r="F21" s="523" t="s">
        <v>206</v>
      </c>
      <c r="G21" s="524" t="s">
        <v>396</v>
      </c>
      <c r="H21" s="1675" t="s">
        <v>231</v>
      </c>
      <c r="I21" s="1685">
        <v>1</v>
      </c>
      <c r="J21" s="526" t="s">
        <v>1421</v>
      </c>
      <c r="K21" s="466" t="s">
        <v>47</v>
      </c>
      <c r="L21" s="466" t="s">
        <v>47</v>
      </c>
      <c r="M21" s="1675">
        <v>1</v>
      </c>
      <c r="N21" s="1675">
        <v>1</v>
      </c>
      <c r="O21" s="197">
        <f t="shared" ref="O21:O41" si="6">IF((K21=L21)=TRUE,0,1)</f>
        <v>0</v>
      </c>
      <c r="P21" s="191">
        <f t="shared" si="1"/>
        <v>0</v>
      </c>
      <c r="Q21" s="193">
        <f t="shared" si="0"/>
        <v>0</v>
      </c>
      <c r="R21" s="193">
        <f t="shared" si="2"/>
        <v>0</v>
      </c>
      <c r="S21" s="193">
        <f t="shared" si="3"/>
        <v>0</v>
      </c>
      <c r="T21" s="193">
        <f t="shared" si="4"/>
        <v>0</v>
      </c>
      <c r="U21" s="205"/>
    </row>
    <row r="22" spans="1:21" s="356" customFormat="1" ht="15.6" customHeight="1">
      <c r="A22" s="1758"/>
      <c r="B22" s="1758"/>
      <c r="C22" s="452">
        <v>12</v>
      </c>
      <c r="D22" s="392" t="s">
        <v>48</v>
      </c>
      <c r="E22" s="516" t="s">
        <v>206</v>
      </c>
      <c r="F22" s="523" t="s">
        <v>206</v>
      </c>
      <c r="G22" s="524" t="s">
        <v>396</v>
      </c>
      <c r="H22" s="1675"/>
      <c r="I22" s="1685"/>
      <c r="J22" s="526" t="s">
        <v>1422</v>
      </c>
      <c r="K22" s="466" t="s">
        <v>49</v>
      </c>
      <c r="L22" s="466" t="s">
        <v>49</v>
      </c>
      <c r="M22" s="1675"/>
      <c r="N22" s="1675"/>
      <c r="O22" s="197">
        <f t="shared" si="6"/>
        <v>0</v>
      </c>
      <c r="P22" s="191">
        <f t="shared" si="1"/>
        <v>0</v>
      </c>
      <c r="Q22" s="193">
        <f t="shared" si="0"/>
        <v>0</v>
      </c>
      <c r="R22" s="193">
        <f t="shared" si="2"/>
        <v>0</v>
      </c>
      <c r="S22" s="193">
        <f t="shared" si="3"/>
        <v>0</v>
      </c>
      <c r="T22" s="193">
        <f t="shared" si="4"/>
        <v>0</v>
      </c>
      <c r="U22" s="205"/>
    </row>
    <row r="23" spans="1:21" s="356" customFormat="1" ht="15.6" customHeight="1">
      <c r="A23" s="1756" t="s">
        <v>265</v>
      </c>
      <c r="B23" s="1756" t="s">
        <v>266</v>
      </c>
      <c r="C23" s="452">
        <v>13</v>
      </c>
      <c r="D23" s="392" t="s">
        <v>50</v>
      </c>
      <c r="E23" s="516" t="s">
        <v>206</v>
      </c>
      <c r="F23" s="523" t="s">
        <v>206</v>
      </c>
      <c r="G23" s="524" t="s">
        <v>396</v>
      </c>
      <c r="H23" s="1675" t="s">
        <v>231</v>
      </c>
      <c r="I23" s="1685">
        <v>1</v>
      </c>
      <c r="J23" s="526" t="s">
        <v>1423</v>
      </c>
      <c r="K23" s="466" t="s">
        <v>51</v>
      </c>
      <c r="L23" s="466" t="s">
        <v>51</v>
      </c>
      <c r="M23" s="1675">
        <v>1</v>
      </c>
      <c r="N23" s="1675">
        <v>1</v>
      </c>
      <c r="O23" s="197">
        <f t="shared" si="6"/>
        <v>0</v>
      </c>
      <c r="P23" s="191">
        <f t="shared" si="1"/>
        <v>0</v>
      </c>
      <c r="Q23" s="193">
        <f t="shared" si="0"/>
        <v>0</v>
      </c>
      <c r="R23" s="193">
        <f t="shared" si="2"/>
        <v>0</v>
      </c>
      <c r="S23" s="193">
        <f t="shared" si="3"/>
        <v>0</v>
      </c>
      <c r="T23" s="193">
        <f t="shared" si="4"/>
        <v>0</v>
      </c>
      <c r="U23" s="205"/>
    </row>
    <row r="24" spans="1:21" s="356" customFormat="1" ht="15.6" customHeight="1">
      <c r="A24" s="1758"/>
      <c r="B24" s="1758"/>
      <c r="C24" s="452">
        <v>14</v>
      </c>
      <c r="D24" s="392" t="s">
        <v>52</v>
      </c>
      <c r="E24" s="516" t="s">
        <v>206</v>
      </c>
      <c r="F24" s="523" t="s">
        <v>206</v>
      </c>
      <c r="G24" s="524" t="s">
        <v>396</v>
      </c>
      <c r="H24" s="1675"/>
      <c r="I24" s="1685"/>
      <c r="J24" s="528" t="s">
        <v>2386</v>
      </c>
      <c r="K24" s="466" t="s">
        <v>49</v>
      </c>
      <c r="L24" s="466" t="s">
        <v>49</v>
      </c>
      <c r="M24" s="1675"/>
      <c r="N24" s="1675"/>
      <c r="O24" s="197">
        <f t="shared" si="6"/>
        <v>0</v>
      </c>
      <c r="P24" s="191">
        <f t="shared" si="1"/>
        <v>0</v>
      </c>
      <c r="Q24" s="193">
        <f t="shared" si="0"/>
        <v>0</v>
      </c>
      <c r="R24" s="193">
        <f t="shared" si="2"/>
        <v>0</v>
      </c>
      <c r="S24" s="193">
        <f t="shared" si="3"/>
        <v>0</v>
      </c>
      <c r="T24" s="193">
        <f t="shared" si="4"/>
        <v>0</v>
      </c>
      <c r="U24" s="205"/>
    </row>
    <row r="25" spans="1:21" s="356" customFormat="1" ht="15.6" customHeight="1">
      <c r="A25" s="1756" t="s">
        <v>267</v>
      </c>
      <c r="B25" s="1756" t="s">
        <v>268</v>
      </c>
      <c r="C25" s="452">
        <v>15</v>
      </c>
      <c r="D25" s="392" t="s">
        <v>197</v>
      </c>
      <c r="E25" s="516" t="s">
        <v>206</v>
      </c>
      <c r="F25" s="523" t="s">
        <v>206</v>
      </c>
      <c r="G25" s="524" t="s">
        <v>396</v>
      </c>
      <c r="H25" s="1675" t="s">
        <v>231</v>
      </c>
      <c r="I25" s="1685">
        <v>1</v>
      </c>
      <c r="J25" s="526" t="s">
        <v>1424</v>
      </c>
      <c r="K25" s="466" t="s">
        <v>53</v>
      </c>
      <c r="L25" s="466" t="s">
        <v>53</v>
      </c>
      <c r="M25" s="1675">
        <v>1</v>
      </c>
      <c r="N25" s="1675">
        <v>1</v>
      </c>
      <c r="O25" s="197">
        <f t="shared" si="6"/>
        <v>0</v>
      </c>
      <c r="P25" s="191">
        <f t="shared" si="1"/>
        <v>0</v>
      </c>
      <c r="Q25" s="193">
        <f t="shared" si="0"/>
        <v>0</v>
      </c>
      <c r="R25" s="193">
        <f t="shared" si="2"/>
        <v>0</v>
      </c>
      <c r="S25" s="193">
        <f t="shared" si="3"/>
        <v>0</v>
      </c>
      <c r="T25" s="193">
        <f t="shared" si="4"/>
        <v>0</v>
      </c>
      <c r="U25" s="205"/>
    </row>
    <row r="26" spans="1:21" s="356" customFormat="1" ht="15.6" customHeight="1">
      <c r="A26" s="1758"/>
      <c r="B26" s="1758"/>
      <c r="C26" s="452">
        <v>16</v>
      </c>
      <c r="D26" s="392" t="s">
        <v>198</v>
      </c>
      <c r="E26" s="516" t="s">
        <v>206</v>
      </c>
      <c r="F26" s="523" t="s">
        <v>206</v>
      </c>
      <c r="G26" s="524" t="s">
        <v>396</v>
      </c>
      <c r="H26" s="1675"/>
      <c r="I26" s="1685"/>
      <c r="J26" s="526" t="s">
        <v>1425</v>
      </c>
      <c r="K26" s="466" t="s">
        <v>49</v>
      </c>
      <c r="L26" s="466" t="s">
        <v>49</v>
      </c>
      <c r="M26" s="1675"/>
      <c r="N26" s="1675"/>
      <c r="O26" s="197">
        <f t="shared" si="6"/>
        <v>0</v>
      </c>
      <c r="P26" s="191">
        <f t="shared" si="1"/>
        <v>0</v>
      </c>
      <c r="Q26" s="193">
        <f t="shared" si="0"/>
        <v>0</v>
      </c>
      <c r="R26" s="193">
        <f t="shared" si="2"/>
        <v>0</v>
      </c>
      <c r="S26" s="193">
        <f t="shared" si="3"/>
        <v>0</v>
      </c>
      <c r="T26" s="193">
        <f t="shared" si="4"/>
        <v>0</v>
      </c>
      <c r="U26" s="205"/>
    </row>
    <row r="27" spans="1:21" s="356" customFormat="1" ht="15.6" customHeight="1">
      <c r="A27" s="142" t="s">
        <v>269</v>
      </c>
      <c r="B27" s="142" t="s">
        <v>270</v>
      </c>
      <c r="C27" s="452">
        <v>17</v>
      </c>
      <c r="D27" s="392" t="s">
        <v>54</v>
      </c>
      <c r="E27" s="516" t="s">
        <v>206</v>
      </c>
      <c r="F27" s="523" t="s">
        <v>206</v>
      </c>
      <c r="G27" s="524" t="s">
        <v>396</v>
      </c>
      <c r="H27" s="362" t="s">
        <v>231</v>
      </c>
      <c r="I27" s="381">
        <v>5</v>
      </c>
      <c r="J27" s="526" t="s">
        <v>1426</v>
      </c>
      <c r="K27" s="466" t="s">
        <v>55</v>
      </c>
      <c r="L27" s="466" t="s">
        <v>55</v>
      </c>
      <c r="M27" s="362">
        <v>5</v>
      </c>
      <c r="N27" s="362">
        <v>5</v>
      </c>
      <c r="O27" s="197">
        <f t="shared" si="6"/>
        <v>0</v>
      </c>
      <c r="P27" s="191">
        <f t="shared" si="1"/>
        <v>0</v>
      </c>
      <c r="Q27" s="193">
        <f t="shared" si="0"/>
        <v>0</v>
      </c>
      <c r="R27" s="193">
        <f t="shared" si="2"/>
        <v>0</v>
      </c>
      <c r="S27" s="193">
        <f t="shared" si="3"/>
        <v>0</v>
      </c>
      <c r="T27" s="193">
        <f t="shared" si="4"/>
        <v>0</v>
      </c>
      <c r="U27" s="205"/>
    </row>
    <row r="28" spans="1:21" s="356" customFormat="1" ht="15.6" customHeight="1">
      <c r="A28" s="142" t="s">
        <v>271</v>
      </c>
      <c r="B28" s="142" t="s">
        <v>272</v>
      </c>
      <c r="C28" s="452">
        <v>18</v>
      </c>
      <c r="D28" s="392" t="s">
        <v>56</v>
      </c>
      <c r="E28" s="516" t="s">
        <v>206</v>
      </c>
      <c r="F28" s="523" t="s">
        <v>206</v>
      </c>
      <c r="G28" s="524" t="s">
        <v>396</v>
      </c>
      <c r="H28" s="362" t="s">
        <v>231</v>
      </c>
      <c r="I28" s="381">
        <v>1</v>
      </c>
      <c r="J28" s="526" t="s">
        <v>1427</v>
      </c>
      <c r="K28" s="466" t="s">
        <v>57</v>
      </c>
      <c r="L28" s="466" t="s">
        <v>57</v>
      </c>
      <c r="M28" s="362">
        <v>1</v>
      </c>
      <c r="N28" s="362">
        <v>1</v>
      </c>
      <c r="O28" s="197">
        <f t="shared" si="6"/>
        <v>0</v>
      </c>
      <c r="P28" s="191">
        <f t="shared" si="1"/>
        <v>0</v>
      </c>
      <c r="Q28" s="193">
        <f t="shared" si="0"/>
        <v>0</v>
      </c>
      <c r="R28" s="193">
        <f t="shared" si="2"/>
        <v>0</v>
      </c>
      <c r="S28" s="193">
        <f t="shared" si="3"/>
        <v>0</v>
      </c>
      <c r="T28" s="193">
        <f t="shared" si="4"/>
        <v>0</v>
      </c>
      <c r="U28" s="205"/>
    </row>
    <row r="29" spans="1:21" s="356" customFormat="1" ht="15.6" customHeight="1">
      <c r="A29" s="142" t="s">
        <v>273</v>
      </c>
      <c r="B29" s="142" t="s">
        <v>274</v>
      </c>
      <c r="C29" s="452">
        <v>19</v>
      </c>
      <c r="D29" s="392" t="s">
        <v>58</v>
      </c>
      <c r="E29" s="516" t="s">
        <v>206</v>
      </c>
      <c r="F29" s="523" t="s">
        <v>206</v>
      </c>
      <c r="G29" s="524" t="s">
        <v>396</v>
      </c>
      <c r="H29" s="362" t="s">
        <v>231</v>
      </c>
      <c r="I29" s="381">
        <v>1</v>
      </c>
      <c r="J29" s="526" t="s">
        <v>1428</v>
      </c>
      <c r="K29" s="466" t="s">
        <v>59</v>
      </c>
      <c r="L29" s="466" t="s">
        <v>59</v>
      </c>
      <c r="M29" s="362">
        <v>1</v>
      </c>
      <c r="N29" s="362">
        <v>1</v>
      </c>
      <c r="O29" s="197">
        <f t="shared" si="6"/>
        <v>0</v>
      </c>
      <c r="P29" s="191">
        <f t="shared" si="1"/>
        <v>0</v>
      </c>
      <c r="Q29" s="193">
        <f t="shared" si="0"/>
        <v>0</v>
      </c>
      <c r="R29" s="193">
        <f t="shared" si="2"/>
        <v>0</v>
      </c>
      <c r="S29" s="193">
        <f t="shared" si="3"/>
        <v>0</v>
      </c>
      <c r="T29" s="193">
        <f t="shared" si="4"/>
        <v>0</v>
      </c>
      <c r="U29" s="205"/>
    </row>
    <row r="30" spans="1:21" s="356" customFormat="1" ht="15.6" customHeight="1">
      <c r="A30" s="142" t="s">
        <v>277</v>
      </c>
      <c r="B30" s="142" t="s">
        <v>278</v>
      </c>
      <c r="C30" s="452">
        <v>20</v>
      </c>
      <c r="D30" s="392" t="s">
        <v>60</v>
      </c>
      <c r="E30" s="516" t="s">
        <v>206</v>
      </c>
      <c r="F30" s="523" t="s">
        <v>206</v>
      </c>
      <c r="G30" s="524" t="s">
        <v>1536</v>
      </c>
      <c r="H30" s="362" t="s">
        <v>231</v>
      </c>
      <c r="I30" s="381">
        <v>2</v>
      </c>
      <c r="J30" s="526" t="s">
        <v>1429</v>
      </c>
      <c r="K30" s="466" t="s">
        <v>61</v>
      </c>
      <c r="L30" s="466" t="s">
        <v>61</v>
      </c>
      <c r="M30" s="362">
        <v>2</v>
      </c>
      <c r="N30" s="362">
        <v>2</v>
      </c>
      <c r="O30" s="197">
        <f t="shared" si="6"/>
        <v>0</v>
      </c>
      <c r="P30" s="191">
        <f t="shared" si="1"/>
        <v>0</v>
      </c>
      <c r="Q30" s="193">
        <f t="shared" si="0"/>
        <v>0</v>
      </c>
      <c r="R30" s="193">
        <f t="shared" si="2"/>
        <v>0</v>
      </c>
      <c r="S30" s="193">
        <f t="shared" si="3"/>
        <v>0</v>
      </c>
      <c r="T30" s="193">
        <f t="shared" si="4"/>
        <v>0</v>
      </c>
      <c r="U30" s="205"/>
    </row>
    <row r="31" spans="1:21" s="356" customFormat="1" ht="15.6" customHeight="1">
      <c r="A31" s="142" t="s">
        <v>275</v>
      </c>
      <c r="B31" s="142" t="s">
        <v>276</v>
      </c>
      <c r="C31" s="452">
        <v>21</v>
      </c>
      <c r="D31" s="392" t="s">
        <v>62</v>
      </c>
      <c r="E31" s="516" t="s">
        <v>206</v>
      </c>
      <c r="F31" s="523" t="s">
        <v>206</v>
      </c>
      <c r="G31" s="524" t="s">
        <v>396</v>
      </c>
      <c r="H31" s="362" t="s">
        <v>231</v>
      </c>
      <c r="I31" s="381">
        <v>4</v>
      </c>
      <c r="J31" s="526" t="s">
        <v>1430</v>
      </c>
      <c r="K31" s="466" t="s">
        <v>63</v>
      </c>
      <c r="L31" s="466" t="s">
        <v>63</v>
      </c>
      <c r="M31" s="362">
        <v>4</v>
      </c>
      <c r="N31" s="362">
        <v>4</v>
      </c>
      <c r="O31" s="197">
        <f t="shared" si="6"/>
        <v>0</v>
      </c>
      <c r="P31" s="191">
        <f t="shared" si="1"/>
        <v>0</v>
      </c>
      <c r="Q31" s="193">
        <f t="shared" si="0"/>
        <v>0</v>
      </c>
      <c r="R31" s="193">
        <f t="shared" si="2"/>
        <v>0</v>
      </c>
      <c r="S31" s="193">
        <f t="shared" si="3"/>
        <v>0</v>
      </c>
      <c r="T31" s="193">
        <f t="shared" si="4"/>
        <v>0</v>
      </c>
      <c r="U31" s="205"/>
    </row>
    <row r="32" spans="1:21" s="356" customFormat="1" ht="15.6" customHeight="1">
      <c r="A32" s="1756" t="s">
        <v>279</v>
      </c>
      <c r="B32" s="1756" t="s">
        <v>280</v>
      </c>
      <c r="C32" s="452">
        <v>22</v>
      </c>
      <c r="D32" s="392" t="s">
        <v>64</v>
      </c>
      <c r="E32" s="516" t="s">
        <v>206</v>
      </c>
      <c r="F32" s="523" t="s">
        <v>206</v>
      </c>
      <c r="G32" s="524" t="s">
        <v>396</v>
      </c>
      <c r="H32" s="1675" t="s">
        <v>231</v>
      </c>
      <c r="I32" s="1685">
        <v>3</v>
      </c>
      <c r="J32" s="526" t="s">
        <v>1431</v>
      </c>
      <c r="K32" s="466" t="s">
        <v>65</v>
      </c>
      <c r="L32" s="466" t="s">
        <v>65</v>
      </c>
      <c r="M32" s="1675">
        <v>3</v>
      </c>
      <c r="N32" s="1675">
        <v>3</v>
      </c>
      <c r="O32" s="197">
        <f t="shared" si="6"/>
        <v>0</v>
      </c>
      <c r="P32" s="191">
        <f t="shared" si="1"/>
        <v>0</v>
      </c>
      <c r="Q32" s="193">
        <f t="shared" si="0"/>
        <v>0</v>
      </c>
      <c r="R32" s="193">
        <f t="shared" si="2"/>
        <v>0</v>
      </c>
      <c r="S32" s="193">
        <f t="shared" si="3"/>
        <v>0</v>
      </c>
      <c r="T32" s="193">
        <f t="shared" si="4"/>
        <v>0</v>
      </c>
      <c r="U32" s="205"/>
    </row>
    <row r="33" spans="1:21" s="356" customFormat="1" ht="15.6" customHeight="1">
      <c r="A33" s="1758"/>
      <c r="B33" s="1758"/>
      <c r="C33" s="452">
        <v>23</v>
      </c>
      <c r="D33" s="392" t="s">
        <v>66</v>
      </c>
      <c r="E33" s="516" t="s">
        <v>206</v>
      </c>
      <c r="F33" s="523" t="s">
        <v>206</v>
      </c>
      <c r="G33" s="524" t="s">
        <v>396</v>
      </c>
      <c r="H33" s="1675"/>
      <c r="I33" s="1685"/>
      <c r="J33" s="526" t="s">
        <v>1432</v>
      </c>
      <c r="K33" s="466" t="s">
        <v>49</v>
      </c>
      <c r="L33" s="466" t="s">
        <v>49</v>
      </c>
      <c r="M33" s="1675"/>
      <c r="N33" s="1675"/>
      <c r="O33" s="197">
        <f t="shared" si="6"/>
        <v>0</v>
      </c>
      <c r="P33" s="191">
        <f t="shared" si="1"/>
        <v>0</v>
      </c>
      <c r="Q33" s="193">
        <f t="shared" si="0"/>
        <v>0</v>
      </c>
      <c r="R33" s="193">
        <f t="shared" si="2"/>
        <v>0</v>
      </c>
      <c r="S33" s="193">
        <f t="shared" si="3"/>
        <v>0</v>
      </c>
      <c r="T33" s="193">
        <f t="shared" si="4"/>
        <v>0</v>
      </c>
      <c r="U33" s="205"/>
    </row>
    <row r="34" spans="1:21" s="356" customFormat="1" ht="15.6" customHeight="1">
      <c r="A34" s="143" t="s">
        <v>281</v>
      </c>
      <c r="B34" s="143" t="s">
        <v>282</v>
      </c>
      <c r="C34" s="452">
        <v>24</v>
      </c>
      <c r="D34" s="392" t="s">
        <v>67</v>
      </c>
      <c r="E34" s="516" t="s">
        <v>206</v>
      </c>
      <c r="F34" s="523" t="s">
        <v>206</v>
      </c>
      <c r="G34" s="524" t="s">
        <v>396</v>
      </c>
      <c r="H34" s="362" t="s">
        <v>231</v>
      </c>
      <c r="I34" s="381">
        <v>5</v>
      </c>
      <c r="J34" s="526" t="s">
        <v>1433</v>
      </c>
      <c r="K34" s="466" t="s">
        <v>68</v>
      </c>
      <c r="L34" s="466" t="s">
        <v>68</v>
      </c>
      <c r="M34" s="362">
        <v>5</v>
      </c>
      <c r="N34" s="362">
        <v>5</v>
      </c>
      <c r="O34" s="197">
        <f t="shared" si="6"/>
        <v>0</v>
      </c>
      <c r="P34" s="191">
        <f t="shared" si="1"/>
        <v>0</v>
      </c>
      <c r="Q34" s="193">
        <f t="shared" si="0"/>
        <v>0</v>
      </c>
      <c r="R34" s="193">
        <f t="shared" si="2"/>
        <v>0</v>
      </c>
      <c r="S34" s="193">
        <f t="shared" si="3"/>
        <v>0</v>
      </c>
      <c r="T34" s="193">
        <f t="shared" si="4"/>
        <v>0</v>
      </c>
      <c r="U34" s="205"/>
    </row>
    <row r="35" spans="1:21" s="356" customFormat="1" ht="15.6" customHeight="1">
      <c r="A35" s="142" t="s">
        <v>283</v>
      </c>
      <c r="B35" s="142" t="s">
        <v>284</v>
      </c>
      <c r="C35" s="452">
        <v>25</v>
      </c>
      <c r="D35" s="392" t="s">
        <v>69</v>
      </c>
      <c r="E35" s="516" t="s">
        <v>206</v>
      </c>
      <c r="F35" s="523" t="s">
        <v>206</v>
      </c>
      <c r="G35" s="524" t="s">
        <v>396</v>
      </c>
      <c r="H35" s="362" t="s">
        <v>231</v>
      </c>
      <c r="I35" s="381">
        <v>1</v>
      </c>
      <c r="J35" s="526" t="s">
        <v>1434</v>
      </c>
      <c r="K35" s="466" t="s">
        <v>70</v>
      </c>
      <c r="L35" s="466" t="s">
        <v>70</v>
      </c>
      <c r="M35" s="362">
        <v>1</v>
      </c>
      <c r="N35" s="362">
        <v>1</v>
      </c>
      <c r="O35" s="197">
        <f t="shared" si="6"/>
        <v>0</v>
      </c>
      <c r="P35" s="191">
        <f t="shared" si="1"/>
        <v>0</v>
      </c>
      <c r="Q35" s="193">
        <f t="shared" si="0"/>
        <v>0</v>
      </c>
      <c r="R35" s="193">
        <f t="shared" si="2"/>
        <v>0</v>
      </c>
      <c r="S35" s="193">
        <f t="shared" si="3"/>
        <v>0</v>
      </c>
      <c r="T35" s="193">
        <f t="shared" si="4"/>
        <v>0</v>
      </c>
      <c r="U35" s="205"/>
    </row>
    <row r="36" spans="1:21" s="356" customFormat="1" ht="15.6" customHeight="1">
      <c r="A36" s="1756" t="s">
        <v>285</v>
      </c>
      <c r="B36" s="1756" t="s">
        <v>286</v>
      </c>
      <c r="C36" s="452">
        <v>26</v>
      </c>
      <c r="D36" s="392" t="s">
        <v>71</v>
      </c>
      <c r="E36" s="516" t="s">
        <v>206</v>
      </c>
      <c r="F36" s="523" t="s">
        <v>951</v>
      </c>
      <c r="G36" s="524" t="s">
        <v>396</v>
      </c>
      <c r="H36" s="1675" t="s">
        <v>231</v>
      </c>
      <c r="I36" s="1685">
        <v>1</v>
      </c>
      <c r="J36" s="526" t="s">
        <v>1435</v>
      </c>
      <c r="K36" s="466" t="s">
        <v>72</v>
      </c>
      <c r="L36" s="466" t="s">
        <v>72</v>
      </c>
      <c r="M36" s="1675">
        <v>1</v>
      </c>
      <c r="N36" s="1675">
        <v>1</v>
      </c>
      <c r="O36" s="197">
        <f t="shared" si="6"/>
        <v>0</v>
      </c>
      <c r="P36" s="191">
        <f t="shared" si="1"/>
        <v>0</v>
      </c>
      <c r="Q36" s="193">
        <f t="shared" ref="Q36:Q66" si="7">I36-M36</f>
        <v>0</v>
      </c>
      <c r="R36" s="193">
        <f t="shared" si="2"/>
        <v>0</v>
      </c>
      <c r="S36" s="193">
        <f t="shared" si="3"/>
        <v>0</v>
      </c>
      <c r="T36" s="193">
        <f t="shared" si="4"/>
        <v>0</v>
      </c>
      <c r="U36" s="205"/>
    </row>
    <row r="37" spans="1:21" s="356" customFormat="1" ht="15.6" customHeight="1">
      <c r="A37" s="1758"/>
      <c r="B37" s="1758"/>
      <c r="C37" s="452">
        <v>27</v>
      </c>
      <c r="D37" s="392" t="s">
        <v>73</v>
      </c>
      <c r="E37" s="516" t="s">
        <v>206</v>
      </c>
      <c r="F37" s="523" t="s">
        <v>951</v>
      </c>
      <c r="G37" s="524" t="s">
        <v>396</v>
      </c>
      <c r="H37" s="1675"/>
      <c r="I37" s="1685"/>
      <c r="J37" s="526" t="s">
        <v>1436</v>
      </c>
      <c r="K37" s="466" t="s">
        <v>49</v>
      </c>
      <c r="L37" s="466" t="s">
        <v>49</v>
      </c>
      <c r="M37" s="1675"/>
      <c r="N37" s="1675"/>
      <c r="O37" s="197">
        <f t="shared" si="6"/>
        <v>0</v>
      </c>
      <c r="P37" s="191">
        <f t="shared" si="1"/>
        <v>0</v>
      </c>
      <c r="Q37" s="193">
        <f t="shared" si="7"/>
        <v>0</v>
      </c>
      <c r="R37" s="193">
        <f t="shared" si="2"/>
        <v>0</v>
      </c>
      <c r="S37" s="193">
        <f t="shared" si="3"/>
        <v>0</v>
      </c>
      <c r="T37" s="193">
        <f t="shared" si="4"/>
        <v>0</v>
      </c>
      <c r="U37" s="205"/>
    </row>
    <row r="38" spans="1:21" s="356" customFormat="1" ht="15.6" customHeight="1">
      <c r="A38" s="1756" t="s">
        <v>287</v>
      </c>
      <c r="B38" s="1756" t="s">
        <v>288</v>
      </c>
      <c r="C38" s="452">
        <v>28</v>
      </c>
      <c r="D38" s="392" t="s">
        <v>74</v>
      </c>
      <c r="E38" s="516" t="s">
        <v>206</v>
      </c>
      <c r="F38" s="523" t="s">
        <v>206</v>
      </c>
      <c r="G38" s="524" t="s">
        <v>396</v>
      </c>
      <c r="H38" s="1675" t="s">
        <v>231</v>
      </c>
      <c r="I38" s="1685">
        <v>1</v>
      </c>
      <c r="J38" s="526" t="s">
        <v>1437</v>
      </c>
      <c r="K38" s="466" t="s">
        <v>75</v>
      </c>
      <c r="L38" s="466" t="s">
        <v>75</v>
      </c>
      <c r="M38" s="1675">
        <v>1</v>
      </c>
      <c r="N38" s="1675">
        <v>1</v>
      </c>
      <c r="O38" s="197">
        <f t="shared" si="6"/>
        <v>0</v>
      </c>
      <c r="P38" s="191">
        <f t="shared" si="1"/>
        <v>0</v>
      </c>
      <c r="Q38" s="193">
        <f t="shared" si="7"/>
        <v>0</v>
      </c>
      <c r="R38" s="193">
        <f t="shared" si="2"/>
        <v>0</v>
      </c>
      <c r="S38" s="193">
        <f t="shared" si="3"/>
        <v>0</v>
      </c>
      <c r="T38" s="193">
        <f t="shared" si="4"/>
        <v>0</v>
      </c>
      <c r="U38" s="205"/>
    </row>
    <row r="39" spans="1:21" s="356" customFormat="1" ht="15.6" customHeight="1">
      <c r="A39" s="1758"/>
      <c r="B39" s="1758"/>
      <c r="C39" s="452">
        <v>29</v>
      </c>
      <c r="D39" s="392" t="s">
        <v>76</v>
      </c>
      <c r="E39" s="516" t="s">
        <v>206</v>
      </c>
      <c r="F39" s="523" t="s">
        <v>206</v>
      </c>
      <c r="G39" s="524" t="s">
        <v>396</v>
      </c>
      <c r="H39" s="1675"/>
      <c r="I39" s="1685"/>
      <c r="J39" s="526" t="s">
        <v>1438</v>
      </c>
      <c r="K39" s="466" t="s">
        <v>49</v>
      </c>
      <c r="L39" s="466" t="s">
        <v>49</v>
      </c>
      <c r="M39" s="1675"/>
      <c r="N39" s="1675"/>
      <c r="O39" s="197">
        <f t="shared" si="6"/>
        <v>0</v>
      </c>
      <c r="P39" s="191">
        <f t="shared" si="1"/>
        <v>0</v>
      </c>
      <c r="Q39" s="193">
        <f t="shared" si="7"/>
        <v>0</v>
      </c>
      <c r="R39" s="193">
        <f t="shared" si="2"/>
        <v>0</v>
      </c>
      <c r="S39" s="193">
        <f t="shared" si="3"/>
        <v>0</v>
      </c>
      <c r="T39" s="193">
        <f t="shared" si="4"/>
        <v>0</v>
      </c>
      <c r="U39" s="205"/>
    </row>
    <row r="40" spans="1:21" s="356" customFormat="1" ht="15.6" customHeight="1">
      <c r="A40" s="1756" t="s">
        <v>289</v>
      </c>
      <c r="B40" s="1756" t="s">
        <v>290</v>
      </c>
      <c r="C40" s="452">
        <v>30</v>
      </c>
      <c r="D40" s="392" t="s">
        <v>77</v>
      </c>
      <c r="E40" s="516" t="s">
        <v>206</v>
      </c>
      <c r="F40" s="523" t="s">
        <v>206</v>
      </c>
      <c r="G40" s="524" t="s">
        <v>396</v>
      </c>
      <c r="H40" s="1675" t="s">
        <v>231</v>
      </c>
      <c r="I40" s="1685">
        <v>1</v>
      </c>
      <c r="J40" s="526" t="s">
        <v>1439</v>
      </c>
      <c r="K40" s="466" t="s">
        <v>78</v>
      </c>
      <c r="L40" s="466" t="s">
        <v>78</v>
      </c>
      <c r="M40" s="1675">
        <v>1</v>
      </c>
      <c r="N40" s="1675">
        <v>1</v>
      </c>
      <c r="O40" s="197">
        <f t="shared" si="6"/>
        <v>0</v>
      </c>
      <c r="P40" s="191">
        <f t="shared" si="1"/>
        <v>0</v>
      </c>
      <c r="Q40" s="193">
        <f t="shared" si="7"/>
        <v>0</v>
      </c>
      <c r="R40" s="193">
        <f t="shared" si="2"/>
        <v>0</v>
      </c>
      <c r="S40" s="193">
        <f t="shared" si="3"/>
        <v>0</v>
      </c>
      <c r="T40" s="193">
        <f t="shared" si="4"/>
        <v>0</v>
      </c>
      <c r="U40" s="205"/>
    </row>
    <row r="41" spans="1:21" s="356" customFormat="1" ht="15.6" customHeight="1">
      <c r="A41" s="1758"/>
      <c r="B41" s="1758"/>
      <c r="C41" s="452">
        <v>31</v>
      </c>
      <c r="D41" s="392" t="s">
        <v>79</v>
      </c>
      <c r="E41" s="516" t="s">
        <v>206</v>
      </c>
      <c r="F41" s="523" t="s">
        <v>206</v>
      </c>
      <c r="G41" s="524" t="s">
        <v>396</v>
      </c>
      <c r="H41" s="1675"/>
      <c r="I41" s="1685"/>
      <c r="J41" s="526" t="s">
        <v>1440</v>
      </c>
      <c r="K41" s="466" t="s">
        <v>49</v>
      </c>
      <c r="L41" s="466" t="s">
        <v>49</v>
      </c>
      <c r="M41" s="1675"/>
      <c r="N41" s="1675"/>
      <c r="O41" s="197">
        <f t="shared" si="6"/>
        <v>0</v>
      </c>
      <c r="P41" s="191">
        <f t="shared" si="1"/>
        <v>0</v>
      </c>
      <c r="Q41" s="193">
        <f t="shared" si="7"/>
        <v>0</v>
      </c>
      <c r="R41" s="193">
        <f t="shared" si="2"/>
        <v>0</v>
      </c>
      <c r="S41" s="193">
        <f t="shared" si="3"/>
        <v>0</v>
      </c>
      <c r="T41" s="193">
        <f t="shared" si="4"/>
        <v>0</v>
      </c>
      <c r="U41" s="205"/>
    </row>
    <row r="42" spans="1:21" s="356" customFormat="1" ht="15.6" customHeight="1">
      <c r="A42" s="142" t="s">
        <v>291</v>
      </c>
      <c r="B42" s="142" t="s">
        <v>292</v>
      </c>
      <c r="C42" s="452">
        <v>32</v>
      </c>
      <c r="D42" s="392" t="s">
        <v>80</v>
      </c>
      <c r="E42" s="516" t="s">
        <v>206</v>
      </c>
      <c r="F42" s="523" t="s">
        <v>206</v>
      </c>
      <c r="G42" s="524" t="s">
        <v>1536</v>
      </c>
      <c r="H42" s="362" t="s">
        <v>231</v>
      </c>
      <c r="I42" s="381">
        <v>5</v>
      </c>
      <c r="J42" s="526" t="s">
        <v>1441</v>
      </c>
      <c r="K42" s="466">
        <v>0</v>
      </c>
      <c r="L42" s="466">
        <v>0</v>
      </c>
      <c r="M42" s="362">
        <f>IF(K42&gt;3,0,IF(K42=0,5,3))</f>
        <v>5</v>
      </c>
      <c r="N42" s="362">
        <f>IF(L42&gt;3,0,IF(L42=0,5,3))</f>
        <v>5</v>
      </c>
      <c r="O42" s="197">
        <f>IF(AND(L42=0,K42&lt;&gt;0),1,IF(AND(L42=0,K42=0),0,K42/L42-1))</f>
        <v>0</v>
      </c>
      <c r="P42" s="191">
        <f t="shared" si="1"/>
        <v>0</v>
      </c>
      <c r="Q42" s="193">
        <f t="shared" si="7"/>
        <v>0</v>
      </c>
      <c r="R42" s="193">
        <f t="shared" si="2"/>
        <v>0</v>
      </c>
      <c r="S42" s="193">
        <f t="shared" si="3"/>
        <v>0</v>
      </c>
      <c r="T42" s="193">
        <f t="shared" si="4"/>
        <v>0</v>
      </c>
      <c r="U42" s="205"/>
    </row>
    <row r="43" spans="1:21" s="356" customFormat="1" ht="15.6" customHeight="1">
      <c r="A43" s="1756" t="s">
        <v>952</v>
      </c>
      <c r="B43" s="1756" t="s">
        <v>293</v>
      </c>
      <c r="C43" s="452">
        <v>33</v>
      </c>
      <c r="D43" s="392" t="s">
        <v>81</v>
      </c>
      <c r="E43" s="516" t="s">
        <v>206</v>
      </c>
      <c r="F43" s="523" t="s">
        <v>206</v>
      </c>
      <c r="G43" s="524" t="s">
        <v>396</v>
      </c>
      <c r="H43" s="1675" t="s">
        <v>231</v>
      </c>
      <c r="I43" s="1685">
        <v>2</v>
      </c>
      <c r="J43" s="526" t="s">
        <v>1442</v>
      </c>
      <c r="K43" s="466" t="s">
        <v>82</v>
      </c>
      <c r="L43" s="466" t="s">
        <v>82</v>
      </c>
      <c r="M43" s="1675">
        <v>2</v>
      </c>
      <c r="N43" s="1675">
        <v>2</v>
      </c>
      <c r="O43" s="197">
        <f>IF((K43=L43)=TRUE,0,1)</f>
        <v>0</v>
      </c>
      <c r="P43" s="191">
        <f t="shared" si="1"/>
        <v>0</v>
      </c>
      <c r="Q43" s="193">
        <f t="shared" si="7"/>
        <v>0</v>
      </c>
      <c r="R43" s="193">
        <f t="shared" si="2"/>
        <v>0</v>
      </c>
      <c r="S43" s="193">
        <f t="shared" si="3"/>
        <v>0</v>
      </c>
      <c r="T43" s="193">
        <f t="shared" si="4"/>
        <v>0</v>
      </c>
      <c r="U43" s="205"/>
    </row>
    <row r="44" spans="1:21" s="356" customFormat="1" ht="15.6" customHeight="1">
      <c r="A44" s="1758"/>
      <c r="B44" s="1758"/>
      <c r="C44" s="452">
        <v>34</v>
      </c>
      <c r="D44" s="392" t="s">
        <v>83</v>
      </c>
      <c r="E44" s="516" t="s">
        <v>206</v>
      </c>
      <c r="F44" s="523" t="s">
        <v>206</v>
      </c>
      <c r="G44" s="524" t="s">
        <v>396</v>
      </c>
      <c r="H44" s="1675"/>
      <c r="I44" s="1685"/>
      <c r="J44" s="526" t="s">
        <v>1443</v>
      </c>
      <c r="K44" s="466" t="s">
        <v>49</v>
      </c>
      <c r="L44" s="466" t="s">
        <v>49</v>
      </c>
      <c r="M44" s="1675"/>
      <c r="N44" s="1675"/>
      <c r="O44" s="197">
        <f>IF((K44=L44)=TRUE,0,1)</f>
        <v>0</v>
      </c>
      <c r="P44" s="191">
        <f t="shared" si="1"/>
        <v>0</v>
      </c>
      <c r="Q44" s="193">
        <f t="shared" si="7"/>
        <v>0</v>
      </c>
      <c r="R44" s="193">
        <f t="shared" si="2"/>
        <v>0</v>
      </c>
      <c r="S44" s="193">
        <f t="shared" si="3"/>
        <v>0</v>
      </c>
      <c r="T44" s="193">
        <f t="shared" si="4"/>
        <v>0</v>
      </c>
      <c r="U44" s="205"/>
    </row>
    <row r="45" spans="1:21" s="356" customFormat="1" ht="15.6" customHeight="1">
      <c r="A45" s="1756" t="s">
        <v>294</v>
      </c>
      <c r="B45" s="1756" t="s">
        <v>953</v>
      </c>
      <c r="C45" s="452">
        <v>35</v>
      </c>
      <c r="D45" s="392" t="s">
        <v>84</v>
      </c>
      <c r="E45" s="516" t="s">
        <v>206</v>
      </c>
      <c r="F45" s="523" t="s">
        <v>206</v>
      </c>
      <c r="G45" s="524" t="s">
        <v>396</v>
      </c>
      <c r="H45" s="1675" t="s">
        <v>231</v>
      </c>
      <c r="I45" s="1685">
        <v>1</v>
      </c>
      <c r="J45" s="526" t="s">
        <v>1444</v>
      </c>
      <c r="K45" s="466" t="s">
        <v>85</v>
      </c>
      <c r="L45" s="466" t="s">
        <v>85</v>
      </c>
      <c r="M45" s="1675">
        <v>1</v>
      </c>
      <c r="N45" s="1675">
        <v>1</v>
      </c>
      <c r="O45" s="197">
        <f>IF((K45=L45)=TRUE,0,1)</f>
        <v>0</v>
      </c>
      <c r="P45" s="191">
        <f t="shared" si="1"/>
        <v>0</v>
      </c>
      <c r="Q45" s="193">
        <f t="shared" si="7"/>
        <v>0</v>
      </c>
      <c r="R45" s="193">
        <f t="shared" si="2"/>
        <v>0</v>
      </c>
      <c r="S45" s="193">
        <f t="shared" si="3"/>
        <v>0</v>
      </c>
      <c r="T45" s="193">
        <f t="shared" si="4"/>
        <v>0</v>
      </c>
      <c r="U45" s="205"/>
    </row>
    <row r="46" spans="1:21" s="356" customFormat="1" ht="15.6" customHeight="1">
      <c r="A46" s="1758"/>
      <c r="B46" s="1758"/>
      <c r="C46" s="452">
        <v>36</v>
      </c>
      <c r="D46" s="392" t="s">
        <v>86</v>
      </c>
      <c r="E46" s="516" t="s">
        <v>206</v>
      </c>
      <c r="F46" s="523" t="s">
        <v>206</v>
      </c>
      <c r="G46" s="524" t="s">
        <v>396</v>
      </c>
      <c r="H46" s="1675"/>
      <c r="I46" s="1685"/>
      <c r="J46" s="526" t="s">
        <v>1445</v>
      </c>
      <c r="K46" s="466" t="s">
        <v>49</v>
      </c>
      <c r="L46" s="466" t="s">
        <v>49</v>
      </c>
      <c r="M46" s="1675"/>
      <c r="N46" s="1675"/>
      <c r="O46" s="197">
        <f>IF((K46=L46)=TRUE,0,1)</f>
        <v>0</v>
      </c>
      <c r="P46" s="191">
        <f t="shared" si="1"/>
        <v>0</v>
      </c>
      <c r="Q46" s="193">
        <f t="shared" si="7"/>
        <v>0</v>
      </c>
      <c r="R46" s="193">
        <f t="shared" si="2"/>
        <v>0</v>
      </c>
      <c r="S46" s="193">
        <f t="shared" si="3"/>
        <v>0</v>
      </c>
      <c r="T46" s="193">
        <f t="shared" si="4"/>
        <v>0</v>
      </c>
      <c r="U46" s="205"/>
    </row>
    <row r="47" spans="1:21" s="356" customFormat="1" ht="15.6" customHeight="1">
      <c r="A47" s="142" t="s">
        <v>295</v>
      </c>
      <c r="B47" s="142" t="s">
        <v>296</v>
      </c>
      <c r="C47" s="452">
        <v>37</v>
      </c>
      <c r="D47" s="392" t="s">
        <v>87</v>
      </c>
      <c r="E47" s="516" t="s">
        <v>206</v>
      </c>
      <c r="F47" s="523" t="s">
        <v>206</v>
      </c>
      <c r="G47" s="524" t="s">
        <v>1536</v>
      </c>
      <c r="H47" s="362" t="s">
        <v>231</v>
      </c>
      <c r="I47" s="381">
        <v>5</v>
      </c>
      <c r="J47" s="526" t="s">
        <v>1444</v>
      </c>
      <c r="K47" s="466">
        <v>0</v>
      </c>
      <c r="L47" s="466">
        <v>0</v>
      </c>
      <c r="M47" s="362">
        <f>IF(K47&gt;3,0,IF(K47=0,5,3))</f>
        <v>5</v>
      </c>
      <c r="N47" s="362">
        <f>IF(L47&gt;3,0,IF(L47=0,5,3))</f>
        <v>5</v>
      </c>
      <c r="O47" s="197">
        <f>IF(AND(L47=0,K47&lt;&gt;0),1,IF(AND(L47=0,K47=0),0,K47/L47-1))</f>
        <v>0</v>
      </c>
      <c r="P47" s="191">
        <f t="shared" si="1"/>
        <v>0</v>
      </c>
      <c r="Q47" s="193">
        <f t="shared" si="7"/>
        <v>0</v>
      </c>
      <c r="R47" s="193">
        <f t="shared" si="2"/>
        <v>0</v>
      </c>
      <c r="S47" s="193">
        <f t="shared" si="3"/>
        <v>0</v>
      </c>
      <c r="T47" s="193">
        <f t="shared" si="4"/>
        <v>0</v>
      </c>
      <c r="U47" s="205"/>
    </row>
    <row r="48" spans="1:21" s="356" customFormat="1" ht="15.6" customHeight="1">
      <c r="A48" s="1756" t="s">
        <v>297</v>
      </c>
      <c r="B48" s="1756" t="s">
        <v>298</v>
      </c>
      <c r="C48" s="452">
        <v>38</v>
      </c>
      <c r="D48" s="392" t="s">
        <v>88</v>
      </c>
      <c r="E48" s="516" t="s">
        <v>206</v>
      </c>
      <c r="F48" s="523" t="s">
        <v>206</v>
      </c>
      <c r="G48" s="524" t="s">
        <v>396</v>
      </c>
      <c r="H48" s="1675" t="s">
        <v>231</v>
      </c>
      <c r="I48" s="1685">
        <v>1</v>
      </c>
      <c r="J48" s="526" t="s">
        <v>1446</v>
      </c>
      <c r="K48" s="466" t="s">
        <v>89</v>
      </c>
      <c r="L48" s="466" t="s">
        <v>89</v>
      </c>
      <c r="M48" s="1675">
        <v>1</v>
      </c>
      <c r="N48" s="1675">
        <v>1</v>
      </c>
      <c r="O48" s="197">
        <f>IF((K48=L48)=TRUE,0,1)</f>
        <v>0</v>
      </c>
      <c r="P48" s="191">
        <f t="shared" si="1"/>
        <v>0</v>
      </c>
      <c r="Q48" s="193">
        <f t="shared" si="7"/>
        <v>0</v>
      </c>
      <c r="R48" s="193">
        <f t="shared" si="2"/>
        <v>0</v>
      </c>
      <c r="S48" s="193">
        <f t="shared" si="3"/>
        <v>0</v>
      </c>
      <c r="T48" s="193">
        <f t="shared" si="4"/>
        <v>0</v>
      </c>
      <c r="U48" s="205"/>
    </row>
    <row r="49" spans="1:21" s="356" customFormat="1" ht="15.6" customHeight="1">
      <c r="A49" s="1758"/>
      <c r="B49" s="1758"/>
      <c r="C49" s="452">
        <v>39</v>
      </c>
      <c r="D49" s="392" t="s">
        <v>90</v>
      </c>
      <c r="E49" s="516" t="s">
        <v>206</v>
      </c>
      <c r="F49" s="523" t="s">
        <v>206</v>
      </c>
      <c r="G49" s="524" t="s">
        <v>396</v>
      </c>
      <c r="H49" s="1675"/>
      <c r="I49" s="1685"/>
      <c r="J49" s="526" t="s">
        <v>1447</v>
      </c>
      <c r="K49" s="466" t="s">
        <v>49</v>
      </c>
      <c r="L49" s="466" t="s">
        <v>49</v>
      </c>
      <c r="M49" s="1675"/>
      <c r="N49" s="1675"/>
      <c r="O49" s="197">
        <f>IF((K49=L49)=TRUE,0,1)</f>
        <v>0</v>
      </c>
      <c r="P49" s="191">
        <f t="shared" si="1"/>
        <v>0</v>
      </c>
      <c r="Q49" s="193">
        <f t="shared" si="7"/>
        <v>0</v>
      </c>
      <c r="R49" s="193">
        <f t="shared" si="2"/>
        <v>0</v>
      </c>
      <c r="S49" s="193">
        <f t="shared" si="3"/>
        <v>0</v>
      </c>
      <c r="T49" s="193">
        <f t="shared" si="4"/>
        <v>0</v>
      </c>
      <c r="U49" s="205"/>
    </row>
    <row r="50" spans="1:21" s="356" customFormat="1" ht="15.6" customHeight="1">
      <c r="A50" s="1759" t="s">
        <v>299</v>
      </c>
      <c r="B50" s="1759" t="s">
        <v>300</v>
      </c>
      <c r="C50" s="452">
        <v>40</v>
      </c>
      <c r="D50" s="392" t="s">
        <v>91</v>
      </c>
      <c r="E50" s="516" t="s">
        <v>206</v>
      </c>
      <c r="F50" s="523" t="s">
        <v>206</v>
      </c>
      <c r="G50" s="524" t="s">
        <v>396</v>
      </c>
      <c r="H50" s="1675" t="s">
        <v>231</v>
      </c>
      <c r="I50" s="1685">
        <v>1</v>
      </c>
      <c r="J50" s="526" t="s">
        <v>1448</v>
      </c>
      <c r="K50" s="466" t="s">
        <v>92</v>
      </c>
      <c r="L50" s="466" t="s">
        <v>92</v>
      </c>
      <c r="M50" s="1675">
        <v>1</v>
      </c>
      <c r="N50" s="1675">
        <v>1</v>
      </c>
      <c r="O50" s="197">
        <f>IF((K50=L50)=TRUE,0,1)</f>
        <v>0</v>
      </c>
      <c r="P50" s="191">
        <f t="shared" si="1"/>
        <v>0</v>
      </c>
      <c r="Q50" s="193">
        <f t="shared" si="7"/>
        <v>0</v>
      </c>
      <c r="R50" s="193">
        <f t="shared" si="2"/>
        <v>0</v>
      </c>
      <c r="S50" s="193">
        <f t="shared" si="3"/>
        <v>0</v>
      </c>
      <c r="T50" s="193">
        <f t="shared" si="4"/>
        <v>0</v>
      </c>
      <c r="U50" s="205"/>
    </row>
    <row r="51" spans="1:21" s="356" customFormat="1" ht="15.6" customHeight="1">
      <c r="A51" s="1760"/>
      <c r="B51" s="1760"/>
      <c r="C51" s="452">
        <v>41</v>
      </c>
      <c r="D51" s="392" t="s">
        <v>93</v>
      </c>
      <c r="E51" s="516" t="s">
        <v>206</v>
      </c>
      <c r="F51" s="523" t="s">
        <v>206</v>
      </c>
      <c r="G51" s="524" t="s">
        <v>396</v>
      </c>
      <c r="H51" s="1675"/>
      <c r="I51" s="1685"/>
      <c r="J51" s="526" t="s">
        <v>1449</v>
      </c>
      <c r="K51" s="466" t="s">
        <v>94</v>
      </c>
      <c r="L51" s="466" t="s">
        <v>94</v>
      </c>
      <c r="M51" s="1675"/>
      <c r="N51" s="1675"/>
      <c r="O51" s="197">
        <f>IF((K51=L51)=TRUE,0,1)</f>
        <v>0</v>
      </c>
      <c r="P51" s="191">
        <f t="shared" si="1"/>
        <v>0</v>
      </c>
      <c r="Q51" s="193">
        <f t="shared" si="7"/>
        <v>0</v>
      </c>
      <c r="R51" s="193">
        <f t="shared" si="2"/>
        <v>0</v>
      </c>
      <c r="S51" s="193">
        <f t="shared" si="3"/>
        <v>0</v>
      </c>
      <c r="T51" s="193">
        <f t="shared" si="4"/>
        <v>0</v>
      </c>
      <c r="U51" s="205"/>
    </row>
    <row r="52" spans="1:21" s="356" customFormat="1" ht="15.6" customHeight="1">
      <c r="A52" s="143" t="s">
        <v>1809</v>
      </c>
      <c r="B52" s="143" t="s">
        <v>1808</v>
      </c>
      <c r="C52" s="452">
        <v>42</v>
      </c>
      <c r="D52" s="392" t="s">
        <v>1807</v>
      </c>
      <c r="E52" s="516" t="s">
        <v>206</v>
      </c>
      <c r="F52" s="523" t="s">
        <v>954</v>
      </c>
      <c r="G52" s="524" t="s">
        <v>1536</v>
      </c>
      <c r="H52" s="362" t="s">
        <v>231</v>
      </c>
      <c r="I52" s="381">
        <v>5</v>
      </c>
      <c r="J52" s="386"/>
      <c r="K52" s="466">
        <v>0</v>
      </c>
      <c r="L52" s="466">
        <v>0</v>
      </c>
      <c r="M52" s="362">
        <f>IF(K52&gt;3,0,IF(K52=0,5,3))</f>
        <v>5</v>
      </c>
      <c r="N52" s="362">
        <f>IF(L52&gt;3,0,IF(L52=0,5,3))</f>
        <v>5</v>
      </c>
      <c r="O52" s="197">
        <f>IF(AND(L52=0,K52&lt;&gt;0),1,IF(AND(L52=0,K52=0),0,K52/L52-1))</f>
        <v>0</v>
      </c>
      <c r="P52" s="191">
        <f t="shared" si="1"/>
        <v>0</v>
      </c>
      <c r="Q52" s="193">
        <f t="shared" si="7"/>
        <v>0</v>
      </c>
      <c r="R52" s="193">
        <f t="shared" si="2"/>
        <v>0</v>
      </c>
      <c r="S52" s="193">
        <f t="shared" si="3"/>
        <v>0</v>
      </c>
      <c r="T52" s="193">
        <f t="shared" si="4"/>
        <v>0</v>
      </c>
      <c r="U52" s="205"/>
    </row>
    <row r="53" spans="1:21" s="356" customFormat="1" ht="15.6" customHeight="1">
      <c r="A53" s="142" t="s">
        <v>301</v>
      </c>
      <c r="B53" s="142" t="s">
        <v>302</v>
      </c>
      <c r="C53" s="452">
        <v>43</v>
      </c>
      <c r="D53" s="392" t="s">
        <v>96</v>
      </c>
      <c r="E53" s="516" t="s">
        <v>206</v>
      </c>
      <c r="F53" s="523" t="s">
        <v>206</v>
      </c>
      <c r="G53" s="524" t="s">
        <v>1536</v>
      </c>
      <c r="H53" s="362" t="s">
        <v>231</v>
      </c>
      <c r="I53" s="381">
        <v>5</v>
      </c>
      <c r="J53" s="526" t="s">
        <v>1450</v>
      </c>
      <c r="K53" s="466">
        <v>0</v>
      </c>
      <c r="L53" s="466">
        <v>0</v>
      </c>
      <c r="M53" s="362">
        <f>IF(K53&gt;3,0,IF(K53=0,5,3))</f>
        <v>5</v>
      </c>
      <c r="N53" s="362">
        <f>IF(L53&gt;3,0,IF(L53=0,5,3))</f>
        <v>5</v>
      </c>
      <c r="O53" s="197">
        <f>IF(AND(L53=0,K53&lt;&gt;0),1,IF(AND(L53=0,K53=0),0,K53/L53-1))</f>
        <v>0</v>
      </c>
      <c r="P53" s="191">
        <f t="shared" si="1"/>
        <v>0</v>
      </c>
      <c r="Q53" s="193">
        <f t="shared" si="7"/>
        <v>0</v>
      </c>
      <c r="R53" s="193">
        <f t="shared" si="2"/>
        <v>0</v>
      </c>
      <c r="S53" s="193">
        <f t="shared" si="3"/>
        <v>0</v>
      </c>
      <c r="T53" s="193">
        <f t="shared" si="4"/>
        <v>0</v>
      </c>
      <c r="U53" s="205"/>
    </row>
    <row r="54" spans="1:21" s="2" customFormat="1" ht="14.25" customHeight="1">
      <c r="A54" s="1756" t="s">
        <v>303</v>
      </c>
      <c r="B54" s="1756" t="s">
        <v>304</v>
      </c>
      <c r="C54" s="5">
        <v>44</v>
      </c>
      <c r="D54" s="9" t="s">
        <v>97</v>
      </c>
      <c r="E54" s="189" t="s">
        <v>204</v>
      </c>
      <c r="F54" s="3" t="s">
        <v>950</v>
      </c>
      <c r="G54" s="196" t="s">
        <v>396</v>
      </c>
      <c r="H54" s="1675" t="s">
        <v>231</v>
      </c>
      <c r="I54" s="1685">
        <v>3</v>
      </c>
      <c r="J54" s="18"/>
      <c r="K54" s="20" t="s">
        <v>98</v>
      </c>
      <c r="L54" s="20" t="s">
        <v>98</v>
      </c>
      <c r="M54" s="1675">
        <v>3</v>
      </c>
      <c r="N54" s="1675">
        <v>3</v>
      </c>
      <c r="O54" s="197">
        <f>IF((K54=L54)=TRUE,0,1)</f>
        <v>0</v>
      </c>
      <c r="P54" s="191">
        <f t="shared" si="1"/>
        <v>0</v>
      </c>
      <c r="Q54" s="193">
        <f t="shared" si="7"/>
        <v>0</v>
      </c>
      <c r="R54" s="193">
        <f t="shared" si="2"/>
        <v>0</v>
      </c>
      <c r="S54" s="193">
        <f t="shared" si="3"/>
        <v>0</v>
      </c>
      <c r="T54" s="193">
        <f t="shared" si="4"/>
        <v>0</v>
      </c>
      <c r="U54" s="205"/>
    </row>
    <row r="55" spans="1:21" s="2" customFormat="1" ht="15.6" customHeight="1">
      <c r="A55" s="1758"/>
      <c r="B55" s="1758"/>
      <c r="C55" s="5">
        <v>45</v>
      </c>
      <c r="D55" s="9" t="s">
        <v>99</v>
      </c>
      <c r="E55" s="189" t="s">
        <v>204</v>
      </c>
      <c r="F55" s="3" t="s">
        <v>950</v>
      </c>
      <c r="G55" s="196" t="s">
        <v>396</v>
      </c>
      <c r="H55" s="1675"/>
      <c r="I55" s="1685"/>
      <c r="J55" s="18"/>
      <c r="K55" s="20" t="s">
        <v>49</v>
      </c>
      <c r="L55" s="20" t="s">
        <v>49</v>
      </c>
      <c r="M55" s="1675"/>
      <c r="N55" s="1675"/>
      <c r="O55" s="197">
        <f>IF((K55=L55)=TRUE,0,1)</f>
        <v>0</v>
      </c>
      <c r="P55" s="191">
        <f t="shared" si="1"/>
        <v>0</v>
      </c>
      <c r="Q55" s="193">
        <f t="shared" si="7"/>
        <v>0</v>
      </c>
      <c r="R55" s="193">
        <f t="shared" si="2"/>
        <v>0</v>
      </c>
      <c r="S55" s="193">
        <f t="shared" si="3"/>
        <v>0</v>
      </c>
      <c r="T55" s="193">
        <f t="shared" si="4"/>
        <v>0</v>
      </c>
      <c r="U55" s="205"/>
    </row>
    <row r="56" spans="1:21" s="2" customFormat="1" ht="15.6" customHeight="1">
      <c r="A56" s="142" t="s">
        <v>305</v>
      </c>
      <c r="B56" s="142" t="s">
        <v>306</v>
      </c>
      <c r="C56" s="5">
        <v>46</v>
      </c>
      <c r="D56" s="9" t="s">
        <v>100</v>
      </c>
      <c r="E56" s="189" t="s">
        <v>204</v>
      </c>
      <c r="F56" s="3" t="s">
        <v>950</v>
      </c>
      <c r="G56" s="196" t="s">
        <v>396</v>
      </c>
      <c r="H56" s="25" t="s">
        <v>231</v>
      </c>
      <c r="I56" s="81">
        <v>1</v>
      </c>
      <c r="J56" s="18"/>
      <c r="K56" s="20">
        <v>0</v>
      </c>
      <c r="L56" s="20">
        <v>0</v>
      </c>
      <c r="M56" s="118">
        <f>IF(K56&lt;2,1,0)</f>
        <v>1</v>
      </c>
      <c r="N56" s="181">
        <f>IF(L56&lt;2,1,0)</f>
        <v>1</v>
      </c>
      <c r="O56" s="197">
        <f>IF(AND(L56=0,K56&lt;&gt;0),1,IF(AND(L56=0,K56=0),0,K56/L56-1))</f>
        <v>0</v>
      </c>
      <c r="P56" s="191">
        <f t="shared" si="1"/>
        <v>0</v>
      </c>
      <c r="Q56" s="193">
        <f t="shared" si="7"/>
        <v>0</v>
      </c>
      <c r="R56" s="193">
        <f t="shared" si="2"/>
        <v>0</v>
      </c>
      <c r="S56" s="193">
        <f t="shared" si="3"/>
        <v>0</v>
      </c>
      <c r="T56" s="193">
        <f t="shared" si="4"/>
        <v>0</v>
      </c>
      <c r="U56" s="205"/>
    </row>
    <row r="57" spans="1:21" s="2" customFormat="1" ht="15.6" customHeight="1">
      <c r="A57" s="142" t="s">
        <v>307</v>
      </c>
      <c r="B57" s="142" t="s">
        <v>308</v>
      </c>
      <c r="C57" s="5">
        <v>47</v>
      </c>
      <c r="D57" s="9" t="s">
        <v>101</v>
      </c>
      <c r="E57" s="189" t="s">
        <v>204</v>
      </c>
      <c r="F57" s="3" t="s">
        <v>204</v>
      </c>
      <c r="G57" s="196" t="s">
        <v>1536</v>
      </c>
      <c r="H57" s="25" t="s">
        <v>231</v>
      </c>
      <c r="I57" s="81">
        <v>1</v>
      </c>
      <c r="J57" s="18"/>
      <c r="K57" s="20">
        <v>0</v>
      </c>
      <c r="L57" s="20">
        <v>0</v>
      </c>
      <c r="M57" s="181">
        <f>IF(K57&lt;1,1,0)</f>
        <v>1</v>
      </c>
      <c r="N57" s="181">
        <f>IF(L57&lt;1,1,0)</f>
        <v>1</v>
      </c>
      <c r="O57" s="197">
        <f>IF(AND(L57=0,K57&lt;&gt;0),1,IF(AND(L57=0,K57=0),0,K57/L57-1))</f>
        <v>0</v>
      </c>
      <c r="P57" s="191">
        <f t="shared" si="1"/>
        <v>0</v>
      </c>
      <c r="Q57" s="193">
        <f t="shared" si="7"/>
        <v>0</v>
      </c>
      <c r="R57" s="193">
        <f t="shared" si="2"/>
        <v>0</v>
      </c>
      <c r="S57" s="193">
        <f t="shared" si="3"/>
        <v>0</v>
      </c>
      <c r="T57" s="193">
        <f t="shared" si="4"/>
        <v>0</v>
      </c>
      <c r="U57" s="205"/>
    </row>
    <row r="58" spans="1:21" s="2" customFormat="1" ht="15.6" customHeight="1">
      <c r="A58" s="142" t="s">
        <v>309</v>
      </c>
      <c r="B58" s="142" t="s">
        <v>310</v>
      </c>
      <c r="C58" s="5">
        <v>48</v>
      </c>
      <c r="D58" s="9" t="s">
        <v>102</v>
      </c>
      <c r="E58" s="189" t="s">
        <v>204</v>
      </c>
      <c r="F58" s="3" t="s">
        <v>204</v>
      </c>
      <c r="G58" s="196" t="s">
        <v>1536</v>
      </c>
      <c r="H58" s="25" t="s">
        <v>231</v>
      </c>
      <c r="I58" s="81">
        <v>1</v>
      </c>
      <c r="J58" s="18"/>
      <c r="K58" s="20">
        <v>0</v>
      </c>
      <c r="L58" s="20">
        <v>0</v>
      </c>
      <c r="M58" s="118">
        <f>IF(K58&lt;5,1,0)</f>
        <v>1</v>
      </c>
      <c r="N58" s="181">
        <f>IF(L58&lt;5,1,0)</f>
        <v>1</v>
      </c>
      <c r="O58" s="197">
        <f>IF(AND(L58=0,K58&lt;&gt;0),1,IF(AND(L58=0,K58=0),0,K58/L58-1))</f>
        <v>0</v>
      </c>
      <c r="P58" s="191">
        <f t="shared" si="1"/>
        <v>0</v>
      </c>
      <c r="Q58" s="193">
        <f t="shared" si="7"/>
        <v>0</v>
      </c>
      <c r="R58" s="193">
        <f t="shared" si="2"/>
        <v>0</v>
      </c>
      <c r="S58" s="193">
        <f t="shared" si="3"/>
        <v>0</v>
      </c>
      <c r="T58" s="193">
        <f t="shared" si="4"/>
        <v>0</v>
      </c>
      <c r="U58" s="205"/>
    </row>
    <row r="59" spans="1:21" s="2" customFormat="1" ht="15.6" customHeight="1">
      <c r="A59" s="142" t="s">
        <v>311</v>
      </c>
      <c r="B59" s="142" t="s">
        <v>312</v>
      </c>
      <c r="C59" s="5">
        <v>49</v>
      </c>
      <c r="D59" s="9" t="s">
        <v>103</v>
      </c>
      <c r="E59" s="189" t="s">
        <v>204</v>
      </c>
      <c r="F59" s="3" t="s">
        <v>204</v>
      </c>
      <c r="G59" s="196" t="s">
        <v>1536</v>
      </c>
      <c r="H59" s="25" t="s">
        <v>231</v>
      </c>
      <c r="I59" s="81">
        <v>2</v>
      </c>
      <c r="J59" s="18"/>
      <c r="K59" s="20">
        <v>0</v>
      </c>
      <c r="L59" s="20">
        <v>0</v>
      </c>
      <c r="M59" s="181">
        <f>IF(K59&gt;6,0,IF(K59&lt;3,2,1))</f>
        <v>2</v>
      </c>
      <c r="N59" s="181">
        <f>IF(L59&gt;6,0,IF(L59&lt;3,2,1))</f>
        <v>2</v>
      </c>
      <c r="O59" s="197">
        <f>IF(AND(L59=0,K59&lt;&gt;0),1,IF(AND(L59=0,K59=0),0,K59/L59-1))</f>
        <v>0</v>
      </c>
      <c r="P59" s="191">
        <f t="shared" si="1"/>
        <v>0</v>
      </c>
      <c r="Q59" s="193">
        <f t="shared" si="7"/>
        <v>0</v>
      </c>
      <c r="R59" s="193">
        <f t="shared" si="2"/>
        <v>0</v>
      </c>
      <c r="S59" s="193">
        <f t="shared" si="3"/>
        <v>0</v>
      </c>
      <c r="T59" s="193">
        <f t="shared" si="4"/>
        <v>0</v>
      </c>
      <c r="U59" s="205"/>
    </row>
    <row r="60" spans="1:21" s="2" customFormat="1" ht="15.6" customHeight="1">
      <c r="A60" s="142" t="s">
        <v>313</v>
      </c>
      <c r="B60" s="142" t="s">
        <v>314</v>
      </c>
      <c r="C60" s="5">
        <v>50</v>
      </c>
      <c r="D60" s="9" t="s">
        <v>104</v>
      </c>
      <c r="E60" s="189" t="s">
        <v>204</v>
      </c>
      <c r="F60" s="3" t="s">
        <v>951</v>
      </c>
      <c r="G60" s="196" t="s">
        <v>1536</v>
      </c>
      <c r="H60" s="25" t="s">
        <v>231</v>
      </c>
      <c r="I60" s="81">
        <v>2</v>
      </c>
      <c r="J60" s="18"/>
      <c r="K60" s="20">
        <v>0</v>
      </c>
      <c r="L60" s="20">
        <v>0</v>
      </c>
      <c r="M60" s="118">
        <f>IF(K60&lt;3,2,0)</f>
        <v>2</v>
      </c>
      <c r="N60" s="181">
        <f>IF(L60&lt;3,2,0)</f>
        <v>2</v>
      </c>
      <c r="O60" s="197">
        <f>IF(AND(L60=0,K60&lt;&gt;0),1,IF(AND(L60=0,K60=0),0,K60/L60-1))</f>
        <v>0</v>
      </c>
      <c r="P60" s="191">
        <f t="shared" si="1"/>
        <v>0</v>
      </c>
      <c r="Q60" s="193">
        <f t="shared" si="7"/>
        <v>0</v>
      </c>
      <c r="R60" s="193">
        <f t="shared" si="2"/>
        <v>0</v>
      </c>
      <c r="S60" s="193">
        <f t="shared" si="3"/>
        <v>0</v>
      </c>
      <c r="T60" s="193">
        <f t="shared" si="4"/>
        <v>0</v>
      </c>
      <c r="U60" s="205"/>
    </row>
    <row r="61" spans="1:21" s="356" customFormat="1" ht="15.6" customHeight="1">
      <c r="A61" s="142" t="s">
        <v>315</v>
      </c>
      <c r="B61" s="142" t="s">
        <v>316</v>
      </c>
      <c r="C61" s="452">
        <v>51</v>
      </c>
      <c r="D61" s="392" t="s">
        <v>105</v>
      </c>
      <c r="E61" s="516" t="s">
        <v>206</v>
      </c>
      <c r="F61" s="523" t="s">
        <v>206</v>
      </c>
      <c r="G61" s="524" t="s">
        <v>396</v>
      </c>
      <c r="H61" s="362" t="s">
        <v>231</v>
      </c>
      <c r="I61" s="381">
        <v>3</v>
      </c>
      <c r="J61" s="386" t="s">
        <v>1451</v>
      </c>
      <c r="K61" s="466" t="s">
        <v>106</v>
      </c>
      <c r="L61" s="466" t="s">
        <v>106</v>
      </c>
      <c r="M61" s="362">
        <v>3</v>
      </c>
      <c r="N61" s="362">
        <v>3</v>
      </c>
      <c r="O61" s="197">
        <f>IF((K61=L61)=TRUE,0,1)</f>
        <v>0</v>
      </c>
      <c r="P61" s="191">
        <f t="shared" si="1"/>
        <v>0</v>
      </c>
      <c r="Q61" s="193">
        <f t="shared" si="7"/>
        <v>0</v>
      </c>
      <c r="R61" s="193">
        <f t="shared" si="2"/>
        <v>0</v>
      </c>
      <c r="S61" s="193">
        <f t="shared" si="3"/>
        <v>0</v>
      </c>
      <c r="T61" s="193">
        <f t="shared" si="4"/>
        <v>0</v>
      </c>
      <c r="U61" s="205"/>
    </row>
    <row r="62" spans="1:21" s="356" customFormat="1" ht="15.6" customHeight="1">
      <c r="A62" s="144" t="s">
        <v>317</v>
      </c>
      <c r="B62" s="144" t="s">
        <v>318</v>
      </c>
      <c r="C62" s="529">
        <v>52</v>
      </c>
      <c r="D62" s="530" t="s">
        <v>107</v>
      </c>
      <c r="E62" s="531" t="s">
        <v>206</v>
      </c>
      <c r="F62" s="532" t="s">
        <v>206</v>
      </c>
      <c r="G62" s="524" t="s">
        <v>396</v>
      </c>
      <c r="H62" s="533" t="s">
        <v>231</v>
      </c>
      <c r="I62" s="534">
        <v>2</v>
      </c>
      <c r="J62" s="526" t="s">
        <v>1452</v>
      </c>
      <c r="K62" s="535" t="s">
        <v>108</v>
      </c>
      <c r="L62" s="535" t="s">
        <v>108</v>
      </c>
      <c r="M62" s="533">
        <v>2</v>
      </c>
      <c r="N62" s="533">
        <v>2</v>
      </c>
      <c r="O62" s="197">
        <f>IF((K62=L62)=TRUE,0,1)</f>
        <v>0</v>
      </c>
      <c r="P62" s="191">
        <f t="shared" si="1"/>
        <v>0</v>
      </c>
      <c r="Q62" s="193">
        <f t="shared" si="7"/>
        <v>0</v>
      </c>
      <c r="R62" s="193">
        <f t="shared" si="2"/>
        <v>0</v>
      </c>
      <c r="S62" s="193">
        <f t="shared" si="3"/>
        <v>0</v>
      </c>
      <c r="T62" s="193">
        <f t="shared" si="4"/>
        <v>0</v>
      </c>
      <c r="U62" s="205"/>
    </row>
    <row r="63" spans="1:21" s="2" customFormat="1" ht="15.6" customHeight="1">
      <c r="A63" s="145"/>
      <c r="B63" s="145"/>
      <c r="C63" s="198"/>
      <c r="D63" s="194" t="s">
        <v>225</v>
      </c>
      <c r="E63" s="202"/>
      <c r="F63" s="23"/>
      <c r="G63" s="196"/>
      <c r="H63" s="24"/>
      <c r="I63" s="203">
        <f>SUM(I4:I62)</f>
        <v>80</v>
      </c>
      <c r="J63" s="18"/>
      <c r="K63" s="6"/>
      <c r="L63" s="198"/>
      <c r="M63" s="208">
        <f>SUM(M4:M62)</f>
        <v>80</v>
      </c>
      <c r="N63" s="208">
        <f>SUM(N4:N62)</f>
        <v>80</v>
      </c>
      <c r="O63" s="209"/>
      <c r="P63" s="191">
        <f t="shared" si="1"/>
        <v>0</v>
      </c>
      <c r="Q63" s="199">
        <f t="shared" si="7"/>
        <v>0</v>
      </c>
      <c r="R63" s="199">
        <f t="shared" si="2"/>
        <v>0</v>
      </c>
      <c r="S63" s="199">
        <f t="shared" si="3"/>
        <v>0</v>
      </c>
      <c r="T63" s="199">
        <f t="shared" si="4"/>
        <v>0</v>
      </c>
      <c r="U63" s="206"/>
    </row>
    <row r="64" spans="1:21" s="2" customFormat="1" ht="14.25">
      <c r="A64" s="140"/>
      <c r="B64" s="140"/>
      <c r="C64" s="4"/>
      <c r="D64" s="192" t="s">
        <v>1514</v>
      </c>
      <c r="E64" s="190"/>
      <c r="F64" s="10"/>
      <c r="G64" s="27"/>
      <c r="I64" s="218">
        <f>SUM(I4:I62)</f>
        <v>80</v>
      </c>
      <c r="K64" s="4"/>
      <c r="L64" s="4"/>
      <c r="M64" s="210">
        <f>SUM(M4:M62)</f>
        <v>80</v>
      </c>
      <c r="N64" s="210">
        <f>SUM(N4:N62)</f>
        <v>80</v>
      </c>
      <c r="O64" s="10"/>
      <c r="Q64" s="199">
        <f t="shared" si="7"/>
        <v>0</v>
      </c>
      <c r="R64" s="199">
        <f t="shared" si="2"/>
        <v>0</v>
      </c>
      <c r="S64" s="199">
        <f t="shared" si="3"/>
        <v>0</v>
      </c>
      <c r="T64" s="199">
        <f t="shared" si="4"/>
        <v>0</v>
      </c>
    </row>
    <row r="65" spans="1:20" s="2" customFormat="1" ht="14.25">
      <c r="A65" s="146"/>
      <c r="B65" s="146"/>
      <c r="C65" s="4"/>
      <c r="D65" s="192" t="s">
        <v>459</v>
      </c>
      <c r="E65" s="190"/>
      <c r="F65" s="10"/>
      <c r="G65" s="14"/>
      <c r="I65" s="218">
        <v>20</v>
      </c>
      <c r="J65" s="10"/>
      <c r="K65" s="4"/>
      <c r="L65" s="4"/>
      <c r="M65" s="210">
        <v>20</v>
      </c>
      <c r="N65" s="210">
        <v>20</v>
      </c>
      <c r="O65" s="10"/>
      <c r="Q65" s="199">
        <f t="shared" si="7"/>
        <v>0</v>
      </c>
      <c r="R65" s="199">
        <f t="shared" si="2"/>
        <v>0</v>
      </c>
      <c r="S65" s="199">
        <f t="shared" si="3"/>
        <v>0</v>
      </c>
      <c r="T65" s="199">
        <f t="shared" si="4"/>
        <v>0</v>
      </c>
    </row>
    <row r="66" spans="1:20" s="1" customFormat="1">
      <c r="A66" s="146"/>
      <c r="B66" s="146"/>
      <c r="C66" s="4"/>
      <c r="D66" s="192" t="s">
        <v>461</v>
      </c>
      <c r="E66" s="190"/>
      <c r="F66" s="10"/>
      <c r="G66" s="14"/>
      <c r="I66" s="204"/>
      <c r="J66" s="10"/>
      <c r="K66" s="4"/>
      <c r="L66" s="4"/>
      <c r="M66" s="211">
        <f>100-SUM(M64:M65)</f>
        <v>0</v>
      </c>
      <c r="N66" s="211">
        <f>100-SUM(N64:N65)</f>
        <v>0</v>
      </c>
      <c r="O66" s="10"/>
      <c r="Q66" s="199">
        <f t="shared" si="7"/>
        <v>0</v>
      </c>
      <c r="R66" s="199">
        <f t="shared" si="2"/>
        <v>0</v>
      </c>
      <c r="S66" s="199">
        <f t="shared" si="3"/>
        <v>0</v>
      </c>
      <c r="T66" s="199">
        <f t="shared" si="4"/>
        <v>0</v>
      </c>
    </row>
    <row r="69" spans="1:20">
      <c r="A69" s="146"/>
      <c r="B69" s="146"/>
      <c r="D69" s="514"/>
      <c r="G69" s="537"/>
    </row>
    <row r="70" spans="1:20">
      <c r="A70" s="146"/>
      <c r="B70" s="146"/>
      <c r="D70" s="514"/>
      <c r="G70" s="537"/>
    </row>
    <row r="71" spans="1:20">
      <c r="A71" s="146"/>
      <c r="B71" s="146"/>
      <c r="D71" s="539" t="s">
        <v>1592</v>
      </c>
      <c r="G71" s="537"/>
    </row>
    <row r="72" spans="1:20">
      <c r="A72" s="146"/>
      <c r="B72" s="146"/>
      <c r="D72" s="357" t="s">
        <v>1636</v>
      </c>
      <c r="G72" s="537"/>
    </row>
    <row r="73" spans="1:20">
      <c r="A73" s="146"/>
      <c r="B73" s="146"/>
      <c r="D73" s="514"/>
      <c r="G73" s="537"/>
    </row>
    <row r="74" spans="1:20">
      <c r="A74" s="146"/>
      <c r="B74" s="146"/>
      <c r="D74" s="514"/>
      <c r="G74" s="537"/>
    </row>
    <row r="75" spans="1:20">
      <c r="A75" s="146"/>
      <c r="B75" s="146"/>
      <c r="D75" s="514"/>
      <c r="G75" s="537"/>
    </row>
    <row r="76" spans="1:20">
      <c r="A76" s="146"/>
      <c r="B76" s="146"/>
      <c r="D76" s="514"/>
      <c r="G76" s="537"/>
    </row>
    <row r="77" spans="1:20">
      <c r="A77" s="146"/>
      <c r="B77" s="146"/>
      <c r="D77" s="514"/>
      <c r="G77" s="537"/>
    </row>
    <row r="78" spans="1:20">
      <c r="A78" s="146"/>
      <c r="B78" s="146"/>
      <c r="D78" s="514"/>
      <c r="G78" s="537"/>
    </row>
    <row r="79" spans="1:20">
      <c r="A79" s="146"/>
      <c r="B79" s="146"/>
      <c r="D79" s="514"/>
      <c r="G79" s="537"/>
    </row>
    <row r="80" spans="1:20">
      <c r="A80" s="146"/>
      <c r="B80" s="146"/>
      <c r="D80" s="514"/>
      <c r="G80" s="537"/>
    </row>
    <row r="81" spans="1:7">
      <c r="A81" s="146"/>
      <c r="B81" s="146"/>
      <c r="D81" s="514"/>
      <c r="G81" s="537"/>
    </row>
    <row r="82" spans="1:7">
      <c r="A82" s="146"/>
      <c r="B82" s="146"/>
      <c r="D82" s="514"/>
      <c r="G82" s="537"/>
    </row>
    <row r="83" spans="1:7">
      <c r="A83" s="146"/>
      <c r="B83" s="146"/>
      <c r="D83" s="514"/>
      <c r="G83" s="537"/>
    </row>
    <row r="84" spans="1:7">
      <c r="A84" s="146"/>
      <c r="B84" s="146"/>
      <c r="D84" s="514"/>
      <c r="G84" s="537"/>
    </row>
    <row r="85" spans="1:7">
      <c r="A85" s="146"/>
      <c r="B85" s="146"/>
      <c r="D85" s="514"/>
      <c r="G85" s="537"/>
    </row>
    <row r="86" spans="1:7">
      <c r="A86" s="146"/>
      <c r="B86" s="146"/>
      <c r="D86" s="514"/>
      <c r="G86" s="537"/>
    </row>
    <row r="87" spans="1:7">
      <c r="A87" s="146"/>
      <c r="B87" s="146"/>
      <c r="D87" s="514"/>
      <c r="G87" s="537"/>
    </row>
    <row r="88" spans="1:7">
      <c r="A88" s="146"/>
      <c r="B88" s="146"/>
      <c r="D88" s="514"/>
      <c r="G88" s="537"/>
    </row>
    <row r="89" spans="1:7">
      <c r="A89" s="146"/>
      <c r="B89" s="146"/>
      <c r="D89" s="514"/>
      <c r="G89" s="537"/>
    </row>
    <row r="90" spans="1:7">
      <c r="A90" s="146"/>
      <c r="B90" s="146"/>
      <c r="D90" s="514"/>
      <c r="G90" s="537"/>
    </row>
    <row r="91" spans="1:7">
      <c r="A91" s="146"/>
      <c r="B91" s="146"/>
      <c r="D91" s="514"/>
      <c r="G91" s="537"/>
    </row>
    <row r="92" spans="1:7">
      <c r="A92" s="146"/>
      <c r="B92" s="146"/>
      <c r="D92" s="514"/>
      <c r="G92" s="537"/>
    </row>
    <row r="93" spans="1:7">
      <c r="A93" s="146"/>
      <c r="B93" s="146"/>
      <c r="D93" s="514"/>
      <c r="G93" s="537"/>
    </row>
    <row r="94" spans="1:7">
      <c r="A94" s="146"/>
      <c r="B94" s="146"/>
      <c r="D94" s="514"/>
      <c r="G94" s="537"/>
    </row>
    <row r="95" spans="1:7">
      <c r="A95" s="146"/>
      <c r="B95" s="146"/>
      <c r="D95" s="514"/>
      <c r="G95" s="537"/>
    </row>
    <row r="96" spans="1:7">
      <c r="A96" s="146"/>
      <c r="B96" s="146"/>
      <c r="D96" s="514"/>
      <c r="G96" s="537"/>
    </row>
    <row r="97" spans="1:7">
      <c r="A97" s="146"/>
      <c r="B97" s="146"/>
      <c r="D97" s="514"/>
      <c r="G97" s="537"/>
    </row>
    <row r="98" spans="1:7">
      <c r="A98" s="146"/>
      <c r="B98" s="146"/>
      <c r="D98" s="514"/>
      <c r="G98" s="537"/>
    </row>
    <row r="99" spans="1:7">
      <c r="A99" s="146"/>
      <c r="B99" s="146"/>
      <c r="D99" s="514"/>
      <c r="G99" s="537"/>
    </row>
    <row r="100" spans="1:7">
      <c r="A100" s="146"/>
      <c r="B100" s="146"/>
      <c r="D100" s="514"/>
      <c r="G100" s="537"/>
    </row>
    <row r="101" spans="1:7">
      <c r="A101" s="146"/>
      <c r="B101" s="146"/>
      <c r="D101" s="514"/>
      <c r="G101" s="537"/>
    </row>
    <row r="102" spans="1:7">
      <c r="A102" s="146"/>
      <c r="B102" s="146"/>
      <c r="D102" s="514"/>
      <c r="G102" s="537"/>
    </row>
    <row r="103" spans="1:7">
      <c r="A103" s="146"/>
      <c r="B103" s="146"/>
      <c r="D103" s="514"/>
      <c r="G103" s="537"/>
    </row>
    <row r="104" spans="1:7">
      <c r="A104" s="146"/>
      <c r="B104" s="146"/>
      <c r="D104" s="514"/>
      <c r="G104" s="537"/>
    </row>
    <row r="105" spans="1:7">
      <c r="A105" s="146"/>
      <c r="B105" s="146"/>
      <c r="D105" s="514"/>
      <c r="G105" s="537"/>
    </row>
    <row r="106" spans="1:7">
      <c r="A106" s="146"/>
      <c r="B106" s="146"/>
      <c r="D106" s="514"/>
      <c r="G106" s="537"/>
    </row>
    <row r="107" spans="1:7">
      <c r="A107" s="146"/>
      <c r="B107" s="146"/>
      <c r="D107" s="514"/>
      <c r="G107" s="537"/>
    </row>
    <row r="108" spans="1:7">
      <c r="A108" s="146"/>
      <c r="B108" s="146"/>
      <c r="D108" s="514"/>
      <c r="G108" s="537"/>
    </row>
    <row r="109" spans="1:7">
      <c r="A109" s="146"/>
      <c r="B109" s="146"/>
      <c r="D109" s="514"/>
      <c r="G109" s="537"/>
    </row>
    <row r="110" spans="1:7">
      <c r="A110" s="146"/>
      <c r="B110" s="146"/>
      <c r="D110" s="514"/>
      <c r="G110" s="537"/>
    </row>
    <row r="111" spans="1:7">
      <c r="A111" s="146"/>
      <c r="B111" s="146"/>
      <c r="D111" s="514"/>
      <c r="G111" s="537"/>
    </row>
    <row r="112" spans="1:7">
      <c r="A112" s="146"/>
      <c r="B112" s="146"/>
      <c r="D112" s="514"/>
      <c r="G112" s="537"/>
    </row>
    <row r="113" spans="1:7">
      <c r="A113" s="146"/>
      <c r="B113" s="146"/>
      <c r="D113" s="514"/>
      <c r="G113" s="537"/>
    </row>
    <row r="114" spans="1:7">
      <c r="A114" s="146"/>
      <c r="B114" s="146"/>
      <c r="D114" s="514"/>
      <c r="G114" s="537"/>
    </row>
    <row r="115" spans="1:7">
      <c r="A115" s="146"/>
      <c r="B115" s="146"/>
      <c r="D115" s="514"/>
      <c r="G115" s="537"/>
    </row>
    <row r="116" spans="1:7">
      <c r="A116" s="146"/>
      <c r="B116" s="146"/>
      <c r="D116" s="514"/>
      <c r="G116" s="537"/>
    </row>
    <row r="117" spans="1:7">
      <c r="A117" s="146"/>
      <c r="B117" s="146"/>
      <c r="D117" s="514"/>
      <c r="G117" s="537"/>
    </row>
    <row r="118" spans="1:7">
      <c r="A118" s="146"/>
      <c r="B118" s="146"/>
      <c r="D118" s="514"/>
      <c r="G118" s="537"/>
    </row>
    <row r="119" spans="1:7">
      <c r="A119" s="146"/>
      <c r="B119" s="146"/>
      <c r="D119" s="514"/>
      <c r="G119" s="537"/>
    </row>
    <row r="120" spans="1:7">
      <c r="A120" s="146"/>
      <c r="B120" s="146"/>
      <c r="D120" s="514"/>
      <c r="G120" s="537"/>
    </row>
    <row r="121" spans="1:7">
      <c r="A121" s="146"/>
      <c r="B121" s="146"/>
      <c r="D121" s="514"/>
      <c r="G121" s="537"/>
    </row>
  </sheetData>
  <dataConsolidate/>
  <mergeCells count="90">
    <mergeCell ref="M38:M39"/>
    <mergeCell ref="B23:B24"/>
    <mergeCell ref="M23:M24"/>
    <mergeCell ref="M25:M26"/>
    <mergeCell ref="B25:B26"/>
    <mergeCell ref="M32:M33"/>
    <mergeCell ref="M36:M37"/>
    <mergeCell ref="A38:A39"/>
    <mergeCell ref="B36:B37"/>
    <mergeCell ref="H23:H24"/>
    <mergeCell ref="H25:H26"/>
    <mergeCell ref="H32:H33"/>
    <mergeCell ref="A23:A24"/>
    <mergeCell ref="A25:A26"/>
    <mergeCell ref="B32:B33"/>
    <mergeCell ref="A36:A37"/>
    <mergeCell ref="H38:H39"/>
    <mergeCell ref="B38:B39"/>
    <mergeCell ref="M40:M41"/>
    <mergeCell ref="M43:M44"/>
    <mergeCell ref="A50:A51"/>
    <mergeCell ref="B50:B51"/>
    <mergeCell ref="H45:H46"/>
    <mergeCell ref="H48:H49"/>
    <mergeCell ref="H50:H51"/>
    <mergeCell ref="M45:M46"/>
    <mergeCell ref="M48:M49"/>
    <mergeCell ref="M50:M51"/>
    <mergeCell ref="A40:A41"/>
    <mergeCell ref="A43:A44"/>
    <mergeCell ref="H40:H41"/>
    <mergeCell ref="H43:H44"/>
    <mergeCell ref="N54:N55"/>
    <mergeCell ref="A54:A55"/>
    <mergeCell ref="B54:B55"/>
    <mergeCell ref="I50:I51"/>
    <mergeCell ref="I54:I55"/>
    <mergeCell ref="H54:H55"/>
    <mergeCell ref="N50:N51"/>
    <mergeCell ref="M54:M55"/>
    <mergeCell ref="N23:N24"/>
    <mergeCell ref="A45:A46"/>
    <mergeCell ref="B45:B46"/>
    <mergeCell ref="A48:A49"/>
    <mergeCell ref="B48:B49"/>
    <mergeCell ref="I36:I37"/>
    <mergeCell ref="I38:I39"/>
    <mergeCell ref="I40:I41"/>
    <mergeCell ref="I43:I44"/>
    <mergeCell ref="I45:I46"/>
    <mergeCell ref="I48:I49"/>
    <mergeCell ref="I25:I26"/>
    <mergeCell ref="I32:I33"/>
    <mergeCell ref="A32:A33"/>
    <mergeCell ref="B40:B41"/>
    <mergeCell ref="B43:B44"/>
    <mergeCell ref="N7:N8"/>
    <mergeCell ref="M7:M8"/>
    <mergeCell ref="M16:M17"/>
    <mergeCell ref="M21:M22"/>
    <mergeCell ref="N16:N17"/>
    <mergeCell ref="N21:N22"/>
    <mergeCell ref="B21:B22"/>
    <mergeCell ref="A18:A20"/>
    <mergeCell ref="A21:A22"/>
    <mergeCell ref="B16:B17"/>
    <mergeCell ref="B18:B20"/>
    <mergeCell ref="B9:B11"/>
    <mergeCell ref="A12:A15"/>
    <mergeCell ref="B12:B15"/>
    <mergeCell ref="H7:H8"/>
    <mergeCell ref="I16:I17"/>
    <mergeCell ref="A16:A17"/>
    <mergeCell ref="A7:A8"/>
    <mergeCell ref="B7:B8"/>
    <mergeCell ref="A9:A11"/>
    <mergeCell ref="I21:I22"/>
    <mergeCell ref="I7:I8"/>
    <mergeCell ref="H16:H17"/>
    <mergeCell ref="H21:H22"/>
    <mergeCell ref="H36:H37"/>
    <mergeCell ref="I23:I24"/>
    <mergeCell ref="N43:N44"/>
    <mergeCell ref="N45:N46"/>
    <mergeCell ref="N48:N49"/>
    <mergeCell ref="N25:N26"/>
    <mergeCell ref="N32:N33"/>
    <mergeCell ref="N36:N37"/>
    <mergeCell ref="N38:N39"/>
    <mergeCell ref="N40:N41"/>
  </mergeCells>
  <phoneticPr fontId="3" type="noConversion"/>
  <conditionalFormatting sqref="R5:R64 Q4:U62 T5:T64 Q63:T66">
    <cfRule type="cellIs" dxfId="116" priority="25" operator="lessThan">
      <formula>-0.3</formula>
    </cfRule>
    <cfRule type="cellIs" dxfId="115" priority="26" operator="greaterThan">
      <formula>0.3</formula>
    </cfRule>
  </conditionalFormatting>
  <conditionalFormatting sqref="O4:O62">
    <cfRule type="cellIs" dxfId="114" priority="20" stopIfTrue="1" operator="lessThanOrEqual">
      <formula>-0.3</formula>
    </cfRule>
    <cfRule type="cellIs" dxfId="113" priority="21" stopIfTrue="1" operator="greaterThanOrEqual">
      <formula>0.3</formula>
    </cfRule>
  </conditionalFormatting>
  <conditionalFormatting sqref="M4:N4">
    <cfRule type="cellIs" dxfId="112" priority="29" operator="notEqual">
      <formula>$I$4</formula>
    </cfRule>
  </conditionalFormatting>
  <conditionalFormatting sqref="P4:P63">
    <cfRule type="expression" dxfId="111" priority="13">
      <formula>P4&lt;0</formula>
    </cfRule>
  </conditionalFormatting>
  <conditionalFormatting sqref="P4:P63">
    <cfRule type="cellIs" dxfId="110" priority="11" stopIfTrue="1" operator="lessThan">
      <formula>0</formula>
    </cfRule>
    <cfRule type="cellIs" dxfId="109" priority="12" operator="greaterThan">
      <formula>0</formula>
    </cfRule>
  </conditionalFormatting>
  <dataValidations count="36">
    <dataValidation type="list" allowBlank="1" showInputMessage="1" showErrorMessage="1" sqref="K5:L5">
      <formula1>#REF!</formula1>
    </dataValidation>
    <dataValidation type="list" allowBlank="1" showInputMessage="1" showErrorMessage="1" sqref="K7:L7">
      <formula1>$K$7:$U$7</formula1>
    </dataValidation>
    <dataValidation type="list" allowBlank="1" showInputMessage="1" showErrorMessage="1" sqref="K8:L8">
      <formula1>$K$8:$U$8</formula1>
    </dataValidation>
    <dataValidation type="list" allowBlank="1" showInputMessage="1" showErrorMessage="1" sqref="K21:L21">
      <formula1>$K$21:$U$21</formula1>
    </dataValidation>
    <dataValidation type="list" allowBlank="1" showInputMessage="1" showErrorMessage="1" sqref="K22:L22">
      <formula1>$K$22:$U$22</formula1>
    </dataValidation>
    <dataValidation type="list" allowBlank="1" showInputMessage="1" showErrorMessage="1" sqref="K23:L23">
      <formula1>$K$23:$U$23</formula1>
    </dataValidation>
    <dataValidation type="list" allowBlank="1" showInputMessage="1" showErrorMessage="1" sqref="K24:L24">
      <formula1>$K$24:$U$24</formula1>
    </dataValidation>
    <dataValidation type="list" allowBlank="1" showInputMessage="1" showErrorMessage="1" sqref="K25:L25">
      <formula1>$K$25:$U$25</formula1>
    </dataValidation>
    <dataValidation type="list" allowBlank="1" showInputMessage="1" showErrorMessage="1" sqref="K26:L26">
      <formula1>$K$26:$U$26</formula1>
    </dataValidation>
    <dataValidation type="list" allowBlank="1" showInputMessage="1" showErrorMessage="1" sqref="K27:L27">
      <formula1>#REF!</formula1>
    </dataValidation>
    <dataValidation type="list" allowBlank="1" showInputMessage="1" showErrorMessage="1" sqref="K28:L28">
      <formula1>$K$28:$U$28</formula1>
    </dataValidation>
    <dataValidation type="list" allowBlank="1" showInputMessage="1" showErrorMessage="1" sqref="K29:L29">
      <formula1>$K$29:$U$29</formula1>
    </dataValidation>
    <dataValidation type="list" allowBlank="1" showInputMessage="1" showErrorMessage="1" sqref="K30:L30">
      <formula1>$K$30:$O$30</formula1>
    </dataValidation>
    <dataValidation type="list" allowBlank="1" showInputMessage="1" showErrorMessage="1" sqref="K31:L31">
      <formula1>#REF!</formula1>
    </dataValidation>
    <dataValidation type="list" allowBlank="1" showInputMessage="1" showErrorMessage="1" sqref="K32:L32">
      <formula1>$K$32:$U$32</formula1>
    </dataValidation>
    <dataValidation type="list" allowBlank="1" showInputMessage="1" showErrorMessage="1" sqref="K33:L33">
      <formula1>$K$33:$U$33</formula1>
    </dataValidation>
    <dataValidation type="list" allowBlank="1" showInputMessage="1" showErrorMessage="1" sqref="K34:L34">
      <formula1>$K$34:$U$34</formula1>
    </dataValidation>
    <dataValidation type="list" allowBlank="1" showInputMessage="1" showErrorMessage="1" sqref="K35:L35">
      <formula1>#REF!</formula1>
    </dataValidation>
    <dataValidation type="list" allowBlank="1" showInputMessage="1" showErrorMessage="1" sqref="K36:L36">
      <formula1>$K$36:$U$36</formula1>
    </dataValidation>
    <dataValidation type="list" allowBlank="1" showInputMessage="1" showErrorMessage="1" sqref="K37:L37">
      <formula1>$K$37:$U$37</formula1>
    </dataValidation>
    <dataValidation type="list" allowBlank="1" showInputMessage="1" showErrorMessage="1" sqref="K38:L38">
      <formula1>$K$38:$U$38</formula1>
    </dataValidation>
    <dataValidation type="list" allowBlank="1" showInputMessage="1" showErrorMessage="1" sqref="K39:L39">
      <formula1>$K$39:$U$39</formula1>
    </dataValidation>
    <dataValidation type="list" allowBlank="1" showInputMessage="1" showErrorMessage="1" sqref="K40:L40">
      <formula1>$K$40:$O$40</formula1>
    </dataValidation>
    <dataValidation type="list" allowBlank="1" showInputMessage="1" showErrorMessage="1" sqref="K41:L41">
      <formula1>$K$41:$U$41</formula1>
    </dataValidation>
    <dataValidation type="list" allowBlank="1" showInputMessage="1" showErrorMessage="1" sqref="K43:L43">
      <formula1>$K$43:$O$43</formula1>
    </dataValidation>
    <dataValidation type="list" allowBlank="1" showInputMessage="1" showErrorMessage="1" sqref="K44:L44">
      <formula1>$K$44:$U$44</formula1>
    </dataValidation>
    <dataValidation type="list" allowBlank="1" showInputMessage="1" showErrorMessage="1" sqref="K45:L45">
      <formula1>$K$45:$U$45</formula1>
    </dataValidation>
    <dataValidation type="list" allowBlank="1" showInputMessage="1" showErrorMessage="1" sqref="K46:L46">
      <formula1>$K$46:$U$46</formula1>
    </dataValidation>
    <dataValidation type="list" allowBlank="1" showInputMessage="1" showErrorMessage="1" sqref="K48:L48">
      <formula1>$K$48:$U$48</formula1>
    </dataValidation>
    <dataValidation type="list" allowBlank="1" showInputMessage="1" showErrorMessage="1" sqref="K49:L49">
      <formula1>$K$49:$U$49</formula1>
    </dataValidation>
    <dataValidation type="list" allowBlank="1" showInputMessage="1" showErrorMessage="1" sqref="K50:L50">
      <formula1>$K$50:$U$50</formula1>
    </dataValidation>
    <dataValidation type="list" allowBlank="1" showInputMessage="1" showErrorMessage="1" sqref="K51:L51">
      <formula1>$K$51:$U$51</formula1>
    </dataValidation>
    <dataValidation type="list" allowBlank="1" showInputMessage="1" showErrorMessage="1" sqref="K54:L54">
      <formula1>$K$54:$O$54</formula1>
    </dataValidation>
    <dataValidation type="list" allowBlank="1" showInputMessage="1" showErrorMessage="1" sqref="K55:L55">
      <formula1>$K$55:$U$55</formula1>
    </dataValidation>
    <dataValidation type="list" allowBlank="1" showInputMessage="1" showErrorMessage="1" sqref="K61:L61">
      <formula1>#REF!</formula1>
    </dataValidation>
    <dataValidation type="list" allowBlank="1" showInputMessage="1" showErrorMessage="1" sqref="K62:L62">
      <formula1>#REF!</formula1>
    </dataValidation>
  </dataValidations>
  <hyperlinks>
    <hyperlink ref="D71" location="权重!A1" display="权重!A1"/>
    <hyperlink ref="D72" location="目录!A1" display="目录!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51"/>
  <sheetViews>
    <sheetView workbookViewId="0">
      <selection activeCell="J3" sqref="J3:K7"/>
    </sheetView>
  </sheetViews>
  <sheetFormatPr defaultRowHeight="13.5"/>
  <cols>
    <col min="1" max="2" width="9" style="316"/>
    <col min="3" max="3" width="18.125" style="316" customWidth="1"/>
    <col min="4" max="4" width="13.5" style="316" customWidth="1"/>
    <col min="5" max="5" width="11.5" style="312" customWidth="1"/>
    <col min="6" max="8" width="9" style="316"/>
    <col min="9" max="9" width="5.25" style="316" customWidth="1"/>
    <col min="10" max="10" width="15.375" style="316" customWidth="1"/>
    <col min="11" max="11" width="35.375" style="316" customWidth="1"/>
    <col min="12" max="12" width="12.5" style="316" bestFit="1" customWidth="1"/>
    <col min="13" max="16384" width="9" style="316"/>
  </cols>
  <sheetData>
    <row r="1" spans="1:11" ht="36">
      <c r="A1" s="1501" t="s">
        <v>2048</v>
      </c>
      <c r="B1" s="1501" t="s">
        <v>2049</v>
      </c>
      <c r="C1" s="1510" t="s">
        <v>2050</v>
      </c>
      <c r="D1" s="1510" t="s">
        <v>2046</v>
      </c>
      <c r="E1" s="1507" t="s">
        <v>2051</v>
      </c>
      <c r="F1" s="1501" t="s">
        <v>1889</v>
      </c>
      <c r="I1" s="1517"/>
      <c r="J1" s="1517"/>
      <c r="K1" s="1517"/>
    </row>
    <row r="2" spans="1:11">
      <c r="A2" s="1499" t="s">
        <v>1912</v>
      </c>
      <c r="B2" s="1499" t="s">
        <v>1913</v>
      </c>
      <c r="C2" s="1514">
        <v>399</v>
      </c>
      <c r="D2" s="1514">
        <v>401</v>
      </c>
      <c r="E2" s="1095">
        <f t="shared" ref="E2:E12" si="0">C2/D2</f>
        <v>0.99501246882793015</v>
      </c>
      <c r="F2" s="1508">
        <f>IF(E2&gt;=0.9,2,IF(E2&gt;=0.8,1,IF(E2&gt;=0.7,0.5,0)))</f>
        <v>2</v>
      </c>
      <c r="I2" s="1104"/>
      <c r="J2" s="1104" t="s">
        <v>1927</v>
      </c>
      <c r="K2" s="1104" t="s">
        <v>1931</v>
      </c>
    </row>
    <row r="3" spans="1:11">
      <c r="A3" s="1499" t="s">
        <v>1914</v>
      </c>
      <c r="B3" s="1499" t="s">
        <v>1913</v>
      </c>
      <c r="C3" s="1514">
        <v>0</v>
      </c>
      <c r="D3" s="1514">
        <v>0</v>
      </c>
      <c r="E3" s="1095"/>
      <c r="F3" s="1095"/>
      <c r="I3" s="1093" t="s">
        <v>1843</v>
      </c>
      <c r="J3" s="1092">
        <v>1.875</v>
      </c>
      <c r="K3" s="1091">
        <v>0.96942778803026364</v>
      </c>
    </row>
    <row r="4" spans="1:11">
      <c r="A4" s="1499" t="s">
        <v>1915</v>
      </c>
      <c r="B4" s="1499" t="s">
        <v>1913</v>
      </c>
      <c r="C4" s="1514">
        <v>8</v>
      </c>
      <c r="D4" s="1514">
        <v>8</v>
      </c>
      <c r="E4" s="1095">
        <f t="shared" si="0"/>
        <v>1</v>
      </c>
      <c r="F4" s="1508">
        <f t="shared" ref="F4:F51" si="1">IF(E4&gt;=0.9,2,IF(E4&gt;=0.8,1,IF(E4&gt;=0.7,0.5,0)))</f>
        <v>2</v>
      </c>
      <c r="I4" s="1093" t="s">
        <v>1840</v>
      </c>
      <c r="J4" s="1092">
        <v>2</v>
      </c>
      <c r="K4" s="1091">
        <v>0.99387218052312387</v>
      </c>
    </row>
    <row r="5" spans="1:11">
      <c r="A5" s="1499" t="s">
        <v>1916</v>
      </c>
      <c r="B5" s="1499" t="s">
        <v>1913</v>
      </c>
      <c r="C5" s="1514">
        <v>235</v>
      </c>
      <c r="D5" s="1514">
        <v>244</v>
      </c>
      <c r="E5" s="1095">
        <f t="shared" si="0"/>
        <v>0.96311475409836067</v>
      </c>
      <c r="F5" s="1508">
        <f t="shared" si="1"/>
        <v>2</v>
      </c>
      <c r="I5" s="1093" t="s">
        <v>1841</v>
      </c>
      <c r="J5" s="1092">
        <v>1.6</v>
      </c>
      <c r="K5" s="1091">
        <v>0.93333333333333335</v>
      </c>
    </row>
    <row r="6" spans="1:11">
      <c r="A6" s="1499" t="s">
        <v>1917</v>
      </c>
      <c r="B6" s="1499" t="s">
        <v>1913</v>
      </c>
      <c r="C6" s="1514">
        <v>14</v>
      </c>
      <c r="D6" s="1514">
        <v>14</v>
      </c>
      <c r="E6" s="1095">
        <f t="shared" si="0"/>
        <v>1</v>
      </c>
      <c r="F6" s="1508">
        <f t="shared" si="1"/>
        <v>2</v>
      </c>
      <c r="I6" s="1093" t="s">
        <v>1839</v>
      </c>
      <c r="J6" s="1092">
        <v>2</v>
      </c>
      <c r="K6" s="1091">
        <v>0.997140522875817</v>
      </c>
    </row>
    <row r="7" spans="1:11">
      <c r="A7" s="1499" t="s">
        <v>1912</v>
      </c>
      <c r="B7" s="1499" t="s">
        <v>1918</v>
      </c>
      <c r="C7" s="1514">
        <v>1808</v>
      </c>
      <c r="D7" s="1514">
        <v>1814</v>
      </c>
      <c r="E7" s="1095">
        <f t="shared" si="0"/>
        <v>0.99669239250275632</v>
      </c>
      <c r="F7" s="1508">
        <f t="shared" si="1"/>
        <v>2</v>
      </c>
      <c r="I7" s="1093" t="s">
        <v>1842</v>
      </c>
      <c r="J7" s="1092">
        <v>2</v>
      </c>
      <c r="K7" s="1091">
        <v>0.99585722074717165</v>
      </c>
    </row>
    <row r="8" spans="1:11">
      <c r="A8" s="1499" t="s">
        <v>1914</v>
      </c>
      <c r="B8" s="1499" t="s">
        <v>1918</v>
      </c>
      <c r="C8" s="1514">
        <v>7</v>
      </c>
      <c r="D8" s="1514">
        <v>7</v>
      </c>
      <c r="E8" s="1095">
        <f t="shared" si="0"/>
        <v>1</v>
      </c>
      <c r="F8" s="1508">
        <f t="shared" si="1"/>
        <v>2</v>
      </c>
    </row>
    <row r="9" spans="1:11">
      <c r="A9" s="1499" t="s">
        <v>1915</v>
      </c>
      <c r="B9" s="1499" t="s">
        <v>1918</v>
      </c>
      <c r="C9" s="1514">
        <v>359</v>
      </c>
      <c r="D9" s="1514">
        <v>362</v>
      </c>
      <c r="E9" s="1095">
        <f t="shared" si="0"/>
        <v>0.99171270718232041</v>
      </c>
      <c r="F9" s="1508">
        <f t="shared" si="1"/>
        <v>2</v>
      </c>
    </row>
    <row r="10" spans="1:11" ht="14.25">
      <c r="A10" s="1499" t="s">
        <v>1916</v>
      </c>
      <c r="B10" s="1499" t="s">
        <v>1918</v>
      </c>
      <c r="C10" s="656"/>
      <c r="D10" s="656"/>
      <c r="E10" s="1097"/>
      <c r="F10" s="1097"/>
    </row>
    <row r="11" spans="1:11">
      <c r="A11" s="1499" t="s">
        <v>1917</v>
      </c>
      <c r="B11" s="1499" t="s">
        <v>1918</v>
      </c>
      <c r="C11" s="1514">
        <v>29</v>
      </c>
      <c r="D11" s="1514">
        <v>29</v>
      </c>
      <c r="E11" s="1095">
        <f t="shared" si="0"/>
        <v>1</v>
      </c>
      <c r="F11" s="1508">
        <f t="shared" si="1"/>
        <v>2</v>
      </c>
      <c r="J11" s="316" t="s">
        <v>1935</v>
      </c>
    </row>
    <row r="12" spans="1:11">
      <c r="A12" s="1499" t="s">
        <v>1840</v>
      </c>
      <c r="B12" s="1499" t="s">
        <v>1919</v>
      </c>
      <c r="C12" s="1514">
        <v>2535</v>
      </c>
      <c r="D12" s="1514">
        <v>2539</v>
      </c>
      <c r="E12" s="1095">
        <f t="shared" si="0"/>
        <v>0.99842457660496253</v>
      </c>
      <c r="F12" s="1508">
        <f t="shared" si="1"/>
        <v>2</v>
      </c>
      <c r="J12" s="316" t="s">
        <v>1936</v>
      </c>
    </row>
    <row r="13" spans="1:11" ht="14.25">
      <c r="A13" s="1499" t="s">
        <v>1841</v>
      </c>
      <c r="B13" s="1499" t="s">
        <v>1919</v>
      </c>
      <c r="C13" s="656"/>
      <c r="D13" s="656"/>
      <c r="E13" s="1097"/>
      <c r="F13" s="1097"/>
      <c r="J13" s="316" t="s">
        <v>1937</v>
      </c>
    </row>
    <row r="14" spans="1:11" ht="14.25">
      <c r="A14" s="1499" t="s">
        <v>1842</v>
      </c>
      <c r="B14" s="1499" t="s">
        <v>1919</v>
      </c>
      <c r="C14" s="656"/>
      <c r="D14" s="656"/>
      <c r="E14" s="1097"/>
      <c r="F14" s="1097"/>
    </row>
    <row r="15" spans="1:11">
      <c r="A15" s="1499" t="s">
        <v>1843</v>
      </c>
      <c r="B15" s="1499" t="s">
        <v>1919</v>
      </c>
      <c r="C15" s="1514">
        <v>500</v>
      </c>
      <c r="D15" s="1514">
        <v>506</v>
      </c>
      <c r="E15" s="1095">
        <f>C15/D15</f>
        <v>0.98814229249011853</v>
      </c>
      <c r="F15" s="1508">
        <f t="shared" si="1"/>
        <v>2</v>
      </c>
    </row>
    <row r="16" spans="1:11">
      <c r="A16" s="1499" t="s">
        <v>1839</v>
      </c>
      <c r="B16" s="1499" t="s">
        <v>1919</v>
      </c>
      <c r="C16" s="1514">
        <v>71</v>
      </c>
      <c r="D16" s="1514">
        <v>72</v>
      </c>
      <c r="E16" s="1095">
        <f>C16/D16</f>
        <v>0.98611111111111116</v>
      </c>
      <c r="F16" s="1508">
        <f t="shared" si="1"/>
        <v>2</v>
      </c>
    </row>
    <row r="17" spans="1:10">
      <c r="A17" s="1499" t="s">
        <v>1912</v>
      </c>
      <c r="B17" s="1499" t="s">
        <v>1920</v>
      </c>
      <c r="C17" s="1514">
        <v>351</v>
      </c>
      <c r="D17" s="1514">
        <v>358</v>
      </c>
      <c r="E17" s="1095">
        <f>C17/D17</f>
        <v>0.98044692737430172</v>
      </c>
      <c r="F17" s="1508">
        <f t="shared" si="1"/>
        <v>2</v>
      </c>
      <c r="I17" s="622" t="s">
        <v>1969</v>
      </c>
    </row>
    <row r="18" spans="1:10" ht="14.25">
      <c r="A18" s="1499" t="s">
        <v>1914</v>
      </c>
      <c r="B18" s="1499" t="s">
        <v>1920</v>
      </c>
      <c r="C18" s="1099"/>
      <c r="D18" s="1099"/>
      <c r="E18" s="1100"/>
      <c r="F18" s="1099"/>
      <c r="I18" s="622" t="s">
        <v>1970</v>
      </c>
    </row>
    <row r="19" spans="1:10">
      <c r="A19" s="1499" t="s">
        <v>1915</v>
      </c>
      <c r="B19" s="1499" t="s">
        <v>1920</v>
      </c>
      <c r="C19" s="1514">
        <v>368</v>
      </c>
      <c r="D19" s="1514">
        <v>373</v>
      </c>
      <c r="E19" s="1095">
        <f>C19/D19</f>
        <v>0.98659517426273458</v>
      </c>
      <c r="F19" s="1508">
        <f t="shared" si="1"/>
        <v>2</v>
      </c>
      <c r="I19" s="622" t="s">
        <v>1971</v>
      </c>
    </row>
    <row r="20" spans="1:10" ht="14.25">
      <c r="A20" s="1499" t="s">
        <v>1916</v>
      </c>
      <c r="B20" s="1499" t="s">
        <v>1920</v>
      </c>
      <c r="C20" s="1099"/>
      <c r="D20" s="1099"/>
      <c r="E20" s="1100"/>
      <c r="F20" s="1099"/>
    </row>
    <row r="21" spans="1:10">
      <c r="A21" s="1499" t="s">
        <v>1917</v>
      </c>
      <c r="B21" s="1499" t="s">
        <v>1920</v>
      </c>
      <c r="C21" s="1514">
        <v>8</v>
      </c>
      <c r="D21" s="1514">
        <v>8</v>
      </c>
      <c r="E21" s="1095">
        <f t="shared" ref="E21:E32" si="2">C21/D21</f>
        <v>1</v>
      </c>
      <c r="F21" s="1508">
        <f t="shared" si="1"/>
        <v>2</v>
      </c>
    </row>
    <row r="22" spans="1:10">
      <c r="A22" s="1499" t="s">
        <v>1912</v>
      </c>
      <c r="B22" s="1499" t="s">
        <v>1921</v>
      </c>
      <c r="C22" s="1514">
        <v>3633</v>
      </c>
      <c r="D22" s="1514">
        <v>3669</v>
      </c>
      <c r="E22" s="1095">
        <f>C22/D22</f>
        <v>0.99018806214227306</v>
      </c>
      <c r="F22" s="1508">
        <f>IF(E22&gt;=0.9,2,IF(E22&gt;=0.8,1,IF(E22&gt;=0.7,0.5,0)))</f>
        <v>2</v>
      </c>
    </row>
    <row r="23" spans="1:10">
      <c r="A23" s="1499" t="s">
        <v>1914</v>
      </c>
      <c r="B23" s="1499" t="s">
        <v>1921</v>
      </c>
      <c r="C23" s="1514">
        <v>9</v>
      </c>
      <c r="D23" s="1514">
        <v>9</v>
      </c>
      <c r="E23" s="1095">
        <f>C23/D23</f>
        <v>1</v>
      </c>
      <c r="F23" s="1508">
        <f>IF(E23&gt;=0.9,2,IF(E23&gt;=0.8,1,IF(E23&gt;=0.7,0.5,0)))</f>
        <v>2</v>
      </c>
    </row>
    <row r="24" spans="1:10" ht="14.25">
      <c r="A24" s="1499" t="s">
        <v>1915</v>
      </c>
      <c r="B24" s="1499" t="s">
        <v>1921</v>
      </c>
      <c r="C24" s="1099"/>
      <c r="D24" s="1099"/>
      <c r="E24" s="1100"/>
      <c r="F24" s="1099"/>
    </row>
    <row r="25" spans="1:10">
      <c r="A25" s="1499" t="s">
        <v>1916</v>
      </c>
      <c r="B25" s="1499" t="s">
        <v>1921</v>
      </c>
      <c r="C25" s="1514">
        <v>879</v>
      </c>
      <c r="D25" s="1514">
        <v>903</v>
      </c>
      <c r="E25" s="1095">
        <f t="shared" si="2"/>
        <v>0.97342192691029905</v>
      </c>
      <c r="F25" s="1508">
        <f t="shared" si="1"/>
        <v>2</v>
      </c>
    </row>
    <row r="26" spans="1:10">
      <c r="A26" s="1499" t="s">
        <v>1917</v>
      </c>
      <c r="B26" s="1499" t="s">
        <v>1921</v>
      </c>
      <c r="C26" s="1514">
        <v>67</v>
      </c>
      <c r="D26" s="1514">
        <v>68</v>
      </c>
      <c r="E26" s="1095">
        <f t="shared" si="2"/>
        <v>0.98529411764705888</v>
      </c>
      <c r="F26" s="1508">
        <f t="shared" si="1"/>
        <v>2</v>
      </c>
    </row>
    <row r="27" spans="1:10">
      <c r="A27" s="1499" t="s">
        <v>1912</v>
      </c>
      <c r="B27" s="1499" t="s">
        <v>1922</v>
      </c>
      <c r="C27" s="1514">
        <v>1969</v>
      </c>
      <c r="D27" s="1514">
        <v>1969</v>
      </c>
      <c r="E27" s="1095">
        <f t="shared" si="2"/>
        <v>1</v>
      </c>
      <c r="F27" s="1508">
        <f t="shared" si="1"/>
        <v>2</v>
      </c>
      <c r="J27" s="514"/>
    </row>
    <row r="28" spans="1:10">
      <c r="A28" s="1499" t="s">
        <v>1914</v>
      </c>
      <c r="B28" s="1499" t="s">
        <v>1922</v>
      </c>
      <c r="C28" s="1514">
        <v>13</v>
      </c>
      <c r="D28" s="1514">
        <v>13</v>
      </c>
      <c r="E28" s="1095">
        <f t="shared" si="2"/>
        <v>1</v>
      </c>
      <c r="F28" s="1508">
        <f t="shared" si="1"/>
        <v>2</v>
      </c>
    </row>
    <row r="29" spans="1:10">
      <c r="A29" s="1499" t="s">
        <v>1915</v>
      </c>
      <c r="B29" s="1499" t="s">
        <v>1922</v>
      </c>
      <c r="C29" s="1514">
        <v>488</v>
      </c>
      <c r="D29" s="1514">
        <v>488</v>
      </c>
      <c r="E29" s="1095">
        <f t="shared" si="2"/>
        <v>1</v>
      </c>
      <c r="F29" s="1508">
        <f t="shared" si="1"/>
        <v>2</v>
      </c>
    </row>
    <row r="30" spans="1:10">
      <c r="A30" s="1499" t="s">
        <v>1916</v>
      </c>
      <c r="B30" s="1499" t="s">
        <v>1922</v>
      </c>
      <c r="C30" s="1514">
        <v>1030</v>
      </c>
      <c r="D30" s="1514">
        <v>1030</v>
      </c>
      <c r="E30" s="1095">
        <f t="shared" si="2"/>
        <v>1</v>
      </c>
      <c r="F30" s="1508">
        <f t="shared" si="1"/>
        <v>2</v>
      </c>
    </row>
    <row r="31" spans="1:10">
      <c r="A31" s="1499" t="s">
        <v>1917</v>
      </c>
      <c r="B31" s="1499" t="s">
        <v>1922</v>
      </c>
      <c r="C31" s="1514">
        <v>74</v>
      </c>
      <c r="D31" s="1514">
        <v>74</v>
      </c>
      <c r="E31" s="1095">
        <f t="shared" si="2"/>
        <v>1</v>
      </c>
      <c r="F31" s="1508">
        <f t="shared" si="1"/>
        <v>2</v>
      </c>
    </row>
    <row r="32" spans="1:10">
      <c r="A32" s="1499" t="s">
        <v>1840</v>
      </c>
      <c r="B32" s="1499" t="s">
        <v>1923</v>
      </c>
      <c r="C32" s="1514">
        <v>603</v>
      </c>
      <c r="D32" s="1514">
        <v>604</v>
      </c>
      <c r="E32" s="1095">
        <f t="shared" si="2"/>
        <v>0.9983443708609272</v>
      </c>
      <c r="F32" s="1508">
        <f t="shared" si="1"/>
        <v>2</v>
      </c>
    </row>
    <row r="33" spans="1:6" ht="14.25">
      <c r="A33" s="1499" t="s">
        <v>1841</v>
      </c>
      <c r="B33" s="1499" t="s">
        <v>1923</v>
      </c>
      <c r="C33" s="656"/>
      <c r="D33" s="656"/>
      <c r="E33" s="1097"/>
      <c r="F33" s="1097"/>
    </row>
    <row r="34" spans="1:6" ht="14.25">
      <c r="A34" s="1499" t="s">
        <v>1842</v>
      </c>
      <c r="B34" s="1499" t="s">
        <v>1923</v>
      </c>
      <c r="C34" s="656"/>
      <c r="D34" s="656"/>
      <c r="E34" s="1097"/>
      <c r="F34" s="1097"/>
    </row>
    <row r="35" spans="1:6">
      <c r="A35" s="1499" t="s">
        <v>1843</v>
      </c>
      <c r="B35" s="1499" t="s">
        <v>1923</v>
      </c>
      <c r="C35" s="1514">
        <v>69</v>
      </c>
      <c r="D35" s="1514">
        <v>69</v>
      </c>
      <c r="E35" s="1095">
        <f t="shared" ref="E35" si="3">C35/D35</f>
        <v>1</v>
      </c>
      <c r="F35" s="1508">
        <f t="shared" si="1"/>
        <v>2</v>
      </c>
    </row>
    <row r="36" spans="1:6">
      <c r="A36" s="1499" t="s">
        <v>1839</v>
      </c>
      <c r="B36" s="1499" t="s">
        <v>1923</v>
      </c>
      <c r="C36" s="1514">
        <v>12</v>
      </c>
      <c r="D36" s="1514">
        <v>12</v>
      </c>
      <c r="E36" s="1095">
        <f t="shared" ref="E36:E42" si="4">C36/D36</f>
        <v>1</v>
      </c>
      <c r="F36" s="1508">
        <f t="shared" si="1"/>
        <v>2</v>
      </c>
    </row>
    <row r="37" spans="1:6">
      <c r="A37" s="1499" t="s">
        <v>1912</v>
      </c>
      <c r="B37" s="1499" t="s">
        <v>1924</v>
      </c>
      <c r="C37" s="1514">
        <v>1611</v>
      </c>
      <c r="D37" s="1514">
        <v>1612</v>
      </c>
      <c r="E37" s="1095">
        <f t="shared" si="4"/>
        <v>0.99937965260545902</v>
      </c>
      <c r="F37" s="1508">
        <f t="shared" si="1"/>
        <v>2</v>
      </c>
    </row>
    <row r="38" spans="1:6">
      <c r="A38" s="1499" t="s">
        <v>1914</v>
      </c>
      <c r="B38" s="1499" t="s">
        <v>1924</v>
      </c>
      <c r="C38" s="1514">
        <v>1</v>
      </c>
      <c r="D38" s="1514">
        <v>1</v>
      </c>
      <c r="E38" s="1095">
        <f t="shared" si="4"/>
        <v>1</v>
      </c>
      <c r="F38" s="1508">
        <f t="shared" si="1"/>
        <v>2</v>
      </c>
    </row>
    <row r="39" spans="1:6">
      <c r="A39" s="1499" t="s">
        <v>1915</v>
      </c>
      <c r="B39" s="1499" t="s">
        <v>1924</v>
      </c>
      <c r="C39" s="1514">
        <v>315</v>
      </c>
      <c r="D39" s="1514">
        <v>316</v>
      </c>
      <c r="E39" s="1095">
        <f t="shared" si="4"/>
        <v>0.99683544303797467</v>
      </c>
      <c r="F39" s="1508">
        <f t="shared" si="1"/>
        <v>2</v>
      </c>
    </row>
    <row r="40" spans="1:6">
      <c r="A40" s="1499" t="s">
        <v>1916</v>
      </c>
      <c r="B40" s="1499" t="s">
        <v>1924</v>
      </c>
      <c r="C40" s="1514">
        <v>204</v>
      </c>
      <c r="D40" s="1514">
        <v>204</v>
      </c>
      <c r="E40" s="1095">
        <f t="shared" si="4"/>
        <v>1</v>
      </c>
      <c r="F40" s="1508">
        <f t="shared" si="1"/>
        <v>2</v>
      </c>
    </row>
    <row r="41" spans="1:6">
      <c r="A41" s="1499" t="s">
        <v>1917</v>
      </c>
      <c r="B41" s="1499" t="s">
        <v>1924</v>
      </c>
      <c r="C41" s="1513">
        <v>46</v>
      </c>
      <c r="D41" s="1513">
        <v>46</v>
      </c>
      <c r="E41" s="1095">
        <f t="shared" si="4"/>
        <v>1</v>
      </c>
      <c r="F41" s="1508">
        <f t="shared" si="1"/>
        <v>2</v>
      </c>
    </row>
    <row r="42" spans="1:6">
      <c r="A42" s="1499" t="s">
        <v>1912</v>
      </c>
      <c r="B42" s="1499" t="s">
        <v>1925</v>
      </c>
      <c r="C42" s="1513">
        <v>570</v>
      </c>
      <c r="D42" s="1513">
        <v>573</v>
      </c>
      <c r="E42" s="1095">
        <f t="shared" si="4"/>
        <v>0.99476439790575921</v>
      </c>
      <c r="F42" s="1508">
        <f t="shared" si="1"/>
        <v>2</v>
      </c>
    </row>
    <row r="43" spans="1:6" ht="14.25">
      <c r="A43" s="1499" t="s">
        <v>1914</v>
      </c>
      <c r="B43" s="1499" t="s">
        <v>1925</v>
      </c>
      <c r="C43" s="656"/>
      <c r="D43" s="656"/>
      <c r="E43" s="1097"/>
      <c r="F43" s="1097"/>
    </row>
    <row r="44" spans="1:6" ht="14.25">
      <c r="A44" s="1499" t="s">
        <v>1915</v>
      </c>
      <c r="B44" s="1499" t="s">
        <v>1925</v>
      </c>
      <c r="C44" s="656"/>
      <c r="D44" s="656"/>
      <c r="E44" s="1097"/>
      <c r="F44" s="1097"/>
    </row>
    <row r="45" spans="1:6">
      <c r="A45" s="1499" t="s">
        <v>1916</v>
      </c>
      <c r="B45" s="1499" t="s">
        <v>1925</v>
      </c>
      <c r="C45" s="1514">
        <v>188</v>
      </c>
      <c r="D45" s="1514">
        <v>216</v>
      </c>
      <c r="E45" s="1095">
        <f t="shared" ref="E45:E51" si="5">C45/D45</f>
        <v>0.87037037037037035</v>
      </c>
      <c r="F45" s="1508">
        <f t="shared" si="1"/>
        <v>1</v>
      </c>
    </row>
    <row r="46" spans="1:6">
      <c r="A46" s="1499" t="s">
        <v>1917</v>
      </c>
      <c r="B46" s="1499" t="s">
        <v>1925</v>
      </c>
      <c r="C46" s="1514">
        <v>17</v>
      </c>
      <c r="D46" s="1514">
        <v>17</v>
      </c>
      <c r="E46" s="1095">
        <f t="shared" si="5"/>
        <v>1</v>
      </c>
      <c r="F46" s="1508">
        <f t="shared" si="1"/>
        <v>2</v>
      </c>
    </row>
    <row r="47" spans="1:6">
      <c r="A47" s="1499" t="s">
        <v>1840</v>
      </c>
      <c r="B47" s="1499" t="s">
        <v>1926</v>
      </c>
      <c r="C47" s="1514">
        <v>746</v>
      </c>
      <c r="D47" s="1514">
        <v>757</v>
      </c>
      <c r="E47" s="1095">
        <f t="shared" si="5"/>
        <v>0.98546895640686927</v>
      </c>
      <c r="F47" s="1508">
        <f t="shared" si="1"/>
        <v>2</v>
      </c>
    </row>
    <row r="48" spans="1:6">
      <c r="A48" s="1499" t="s">
        <v>1841</v>
      </c>
      <c r="B48" s="1499" t="s">
        <v>1926</v>
      </c>
      <c r="C48" s="1514">
        <v>2</v>
      </c>
      <c r="D48" s="1514">
        <v>3</v>
      </c>
      <c r="E48" s="1095">
        <f t="shared" si="5"/>
        <v>0.66666666666666663</v>
      </c>
      <c r="F48" s="1508">
        <f t="shared" si="1"/>
        <v>0</v>
      </c>
    </row>
    <row r="49" spans="1:6">
      <c r="A49" s="1499" t="s">
        <v>1842</v>
      </c>
      <c r="B49" s="1499" t="s">
        <v>1926</v>
      </c>
      <c r="C49" s="1514">
        <v>1</v>
      </c>
      <c r="D49" s="1514">
        <v>1</v>
      </c>
      <c r="E49" s="1095">
        <f t="shared" si="5"/>
        <v>1</v>
      </c>
      <c r="F49" s="1508">
        <f t="shared" si="1"/>
        <v>2</v>
      </c>
    </row>
    <row r="50" spans="1:6">
      <c r="A50" s="1499" t="s">
        <v>1843</v>
      </c>
      <c r="B50" s="1499" t="s">
        <v>1926</v>
      </c>
      <c r="C50" s="1514">
        <v>412</v>
      </c>
      <c r="D50" s="1514">
        <v>429</v>
      </c>
      <c r="E50" s="1095">
        <f t="shared" si="5"/>
        <v>0.96037296037296038</v>
      </c>
      <c r="F50" s="1508">
        <f t="shared" si="1"/>
        <v>2</v>
      </c>
    </row>
    <row r="51" spans="1:6">
      <c r="A51" s="1499" t="s">
        <v>1839</v>
      </c>
      <c r="B51" s="1499" t="s">
        <v>1926</v>
      </c>
      <c r="C51" s="1514">
        <v>22</v>
      </c>
      <c r="D51" s="1514">
        <v>22</v>
      </c>
      <c r="E51" s="1095">
        <f t="shared" si="5"/>
        <v>1</v>
      </c>
      <c r="F51" s="1508">
        <f t="shared" si="1"/>
        <v>2</v>
      </c>
    </row>
  </sheetData>
  <mergeCells count="1">
    <mergeCell ref="I1:K1"/>
  </mergeCells>
  <phoneticPr fontId="3" type="noConversion"/>
  <conditionalFormatting sqref="F2 F11:F12 F15:F17 F19 F21:F23 F25:F32 F45:F51 F4:F9 F36:F42">
    <cfRule type="cellIs" dxfId="424" priority="2" operator="lessThan">
      <formula>2</formula>
    </cfRule>
  </conditionalFormatting>
  <conditionalFormatting sqref="F35">
    <cfRule type="cellIs" dxfId="423" priority="1" operator="lessThan">
      <formula>2</formula>
    </cfRule>
  </conditionalFormatting>
  <hyperlinks>
    <hyperlink ref="I17" location="'总公司绩效-II'!A1" display="总公司绩效-II"/>
    <hyperlink ref="I18" location="目录!A1" display="目录"/>
    <hyperlink ref="I19" location="'OR04-分公司销售、承保、保全'!A1" display="OR0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filterMode="1">
    <tabColor theme="6"/>
  </sheetPr>
  <dimension ref="A1:X85"/>
  <sheetViews>
    <sheetView zoomScaleNormal="100" workbookViewId="0">
      <pane xSplit="8" ySplit="3" topLeftCell="L19" activePane="bottomRight" state="frozenSplit"/>
      <selection activeCell="C1" sqref="C1"/>
      <selection pane="topRight" activeCell="T1" sqref="T1"/>
      <selection pane="bottomLeft" activeCell="C15" sqref="C15"/>
      <selection pane="bottomRight" activeCell="D25" sqref="D25:D35"/>
    </sheetView>
  </sheetViews>
  <sheetFormatPr defaultColWidth="8.875" defaultRowHeight="17.25" customHeight="1" outlineLevelCol="1"/>
  <cols>
    <col min="1" max="1" width="20.75" style="873" hidden="1" customWidth="1" outlineLevel="1"/>
    <col min="2" max="2" width="20.75" style="943" hidden="1" customWidth="1" outlineLevel="1"/>
    <col min="3" max="3" width="4.625" style="944" customWidth="1" collapsed="1"/>
    <col min="4" max="4" width="29.75" style="873" customWidth="1"/>
    <col min="5" max="5" width="13.125" style="946" customWidth="1"/>
    <col min="6" max="6" width="11.5" style="947" hidden="1" customWidth="1" outlineLevel="1"/>
    <col min="7" max="7" width="10.5" style="873" hidden="1" customWidth="1" outlineLevel="1"/>
    <col min="8" max="8" width="9" style="873" customWidth="1" collapsed="1"/>
    <col min="9" max="9" width="10.75" style="873" hidden="1" customWidth="1" outlineLevel="1"/>
    <col min="10" max="10" width="12.5" style="873" hidden="1" customWidth="1" outlineLevel="1"/>
    <col min="11" max="11" width="9.75" style="873" hidden="1" customWidth="1" outlineLevel="1"/>
    <col min="12" max="12" width="13.375" style="948" customWidth="1" collapsed="1"/>
    <col min="13" max="13" width="10.125" style="948" customWidth="1"/>
    <col min="14" max="14" width="14" style="949" customWidth="1"/>
    <col min="15" max="15" width="9.375" style="562" customWidth="1"/>
    <col min="16" max="16" width="9.5" style="873" customWidth="1"/>
    <col min="17" max="17" width="10" style="873" customWidth="1"/>
    <col min="18" max="19" width="9" style="873" customWidth="1"/>
    <col min="20" max="20" width="8.625" style="873" customWidth="1"/>
    <col min="21" max="21" width="10.25" style="873" customWidth="1"/>
    <col min="22" max="22" width="10.375" style="873" customWidth="1"/>
    <col min="23" max="24" width="9" style="873" customWidth="1"/>
    <col min="25" max="16384" width="8.875" style="873"/>
  </cols>
  <sheetData>
    <row r="1" spans="1:22" ht="17.25" customHeight="1">
      <c r="A1" s="868"/>
      <c r="B1" s="869"/>
      <c r="C1" s="870" t="s">
        <v>109</v>
      </c>
      <c r="D1" s="871"/>
      <c r="E1" s="872"/>
      <c r="F1" s="868"/>
      <c r="L1" s="874"/>
      <c r="M1" s="874"/>
      <c r="N1" s="875"/>
      <c r="O1" s="558"/>
    </row>
    <row r="2" spans="1:22" ht="17.25" customHeight="1">
      <c r="A2" s="876"/>
      <c r="B2" s="877"/>
      <c r="C2" s="878"/>
      <c r="D2" s="878"/>
      <c r="E2" s="872"/>
      <c r="F2" s="878"/>
      <c r="L2" s="874"/>
      <c r="M2" s="874"/>
      <c r="N2" s="875"/>
      <c r="O2" s="558"/>
      <c r="Q2" s="879" t="s">
        <v>1637</v>
      </c>
    </row>
    <row r="3" spans="1:22" s="886" customFormat="1" ht="17.25" customHeight="1">
      <c r="A3" s="880" t="s">
        <v>392</v>
      </c>
      <c r="B3" s="880" t="s">
        <v>393</v>
      </c>
      <c r="C3" s="881" t="s">
        <v>187</v>
      </c>
      <c r="D3" s="882" t="s">
        <v>182</v>
      </c>
      <c r="E3" s="882" t="s">
        <v>1504</v>
      </c>
      <c r="F3" s="882" t="s">
        <v>1505</v>
      </c>
      <c r="G3" s="882" t="s">
        <v>1540</v>
      </c>
      <c r="H3" s="882" t="s">
        <v>1537</v>
      </c>
      <c r="I3" s="882"/>
      <c r="J3" s="882"/>
      <c r="K3" s="882"/>
      <c r="L3" s="882" t="s">
        <v>1538</v>
      </c>
      <c r="M3" s="882" t="s">
        <v>2177</v>
      </c>
      <c r="N3" s="883" t="s">
        <v>2428</v>
      </c>
      <c r="O3" s="559" t="s">
        <v>1539</v>
      </c>
      <c r="P3" s="883" t="s">
        <v>2434</v>
      </c>
      <c r="Q3" s="882" t="s">
        <v>2178</v>
      </c>
      <c r="R3" s="884" t="s">
        <v>1097</v>
      </c>
      <c r="S3" s="885" t="s">
        <v>1541</v>
      </c>
      <c r="T3" s="885" t="s">
        <v>1584</v>
      </c>
      <c r="U3" s="885" t="s">
        <v>1585</v>
      </c>
      <c r="V3" s="885" t="s">
        <v>1586</v>
      </c>
    </row>
    <row r="4" spans="1:22" s="886" customFormat="1" ht="17.25" customHeight="1">
      <c r="A4" s="1427" t="s">
        <v>2415</v>
      </c>
      <c r="B4" s="1426" t="s">
        <v>1835</v>
      </c>
      <c r="C4" s="889">
        <v>1</v>
      </c>
      <c r="D4" s="1340" t="s">
        <v>1692</v>
      </c>
      <c r="E4" s="890" t="s">
        <v>205</v>
      </c>
      <c r="F4" s="891" t="s">
        <v>401</v>
      </c>
      <c r="G4" s="892" t="s">
        <v>231</v>
      </c>
      <c r="H4" s="893">
        <v>6</v>
      </c>
      <c r="I4" s="892" t="s">
        <v>110</v>
      </c>
      <c r="J4" s="892" t="s">
        <v>111</v>
      </c>
      <c r="K4" s="892" t="s">
        <v>112</v>
      </c>
      <c r="L4" s="894" t="s">
        <v>110</v>
      </c>
      <c r="M4" s="901" t="s">
        <v>112</v>
      </c>
      <c r="N4" s="901" t="s">
        <v>1696</v>
      </c>
      <c r="O4" s="560">
        <f>IF((N4=M4)=TRUE,0,1)</f>
        <v>0</v>
      </c>
      <c r="P4" s="896">
        <v>0</v>
      </c>
      <c r="Q4" s="896">
        <v>0</v>
      </c>
      <c r="R4" s="897">
        <f t="shared" ref="R4:R40" si="0">P4-Q4</f>
        <v>0</v>
      </c>
      <c r="S4" s="898">
        <f t="shared" ref="S4:S40" si="1">H4-P4</f>
        <v>6</v>
      </c>
      <c r="T4" s="898">
        <f>S4*0.6</f>
        <v>3.5999999999999996</v>
      </c>
      <c r="U4" s="898">
        <f>T4/9</f>
        <v>0.39999999999999997</v>
      </c>
      <c r="V4" s="898">
        <f>U4/2</f>
        <v>0.19999999999999998</v>
      </c>
    </row>
    <row r="5" spans="1:22" s="886" customFormat="1" ht="17.25" customHeight="1">
      <c r="A5" s="887"/>
      <c r="B5" s="888"/>
      <c r="C5" s="889">
        <v>2</v>
      </c>
      <c r="D5" s="899" t="s">
        <v>1834</v>
      </c>
      <c r="E5" s="890" t="s">
        <v>205</v>
      </c>
      <c r="F5" s="891" t="s">
        <v>401</v>
      </c>
      <c r="G5" s="892" t="s">
        <v>231</v>
      </c>
      <c r="H5" s="896"/>
      <c r="I5" s="892"/>
      <c r="J5" s="892"/>
      <c r="K5" s="892"/>
      <c r="L5" s="900" t="s">
        <v>637</v>
      </c>
      <c r="M5" s="901" t="s">
        <v>221</v>
      </c>
      <c r="N5" s="901" t="s">
        <v>221</v>
      </c>
      <c r="O5" s="560">
        <f>IF((N5=M5)=TRUE,0,1)</f>
        <v>0</v>
      </c>
      <c r="P5" s="896"/>
      <c r="Q5" s="896"/>
      <c r="R5" s="902">
        <f t="shared" si="0"/>
        <v>0</v>
      </c>
      <c r="S5" s="898">
        <f t="shared" si="1"/>
        <v>0</v>
      </c>
      <c r="T5" s="898">
        <f t="shared" ref="T5:T44" si="2">S5*0.6</f>
        <v>0</v>
      </c>
      <c r="U5" s="898">
        <f t="shared" ref="U5:U44" si="3">T5/9</f>
        <v>0</v>
      </c>
      <c r="V5" s="898">
        <f t="shared" ref="V5:V44" si="4">U5/2</f>
        <v>0</v>
      </c>
    </row>
    <row r="6" spans="1:22" s="886" customFormat="1" ht="17.25" customHeight="1">
      <c r="A6" s="887" t="s">
        <v>319</v>
      </c>
      <c r="B6" s="888" t="s">
        <v>1073</v>
      </c>
      <c r="C6" s="889">
        <v>3</v>
      </c>
      <c r="D6" s="899" t="s">
        <v>190</v>
      </c>
      <c r="E6" s="890" t="s">
        <v>205</v>
      </c>
      <c r="F6" s="891" t="s">
        <v>401</v>
      </c>
      <c r="G6" s="892" t="s">
        <v>231</v>
      </c>
      <c r="H6" s="893">
        <v>4</v>
      </c>
      <c r="I6" s="892"/>
      <c r="J6" s="892"/>
      <c r="K6" s="892"/>
      <c r="L6" s="900"/>
      <c r="M6" s="901">
        <v>37</v>
      </c>
      <c r="N6" s="901">
        <v>41</v>
      </c>
      <c r="O6" s="560">
        <f t="shared" ref="O6:O13" si="5">IF(AND(M6=0,N6&lt;&gt;0),1,IF(AND(M6=0,N6=0),0,N6/M6-1))</f>
        <v>0.10810810810810811</v>
      </c>
      <c r="P6" s="896">
        <v>4</v>
      </c>
      <c r="Q6" s="896">
        <v>4</v>
      </c>
      <c r="R6" s="902">
        <f t="shared" si="0"/>
        <v>0</v>
      </c>
      <c r="S6" s="898">
        <f t="shared" si="1"/>
        <v>0</v>
      </c>
      <c r="T6" s="898">
        <f t="shared" si="2"/>
        <v>0</v>
      </c>
      <c r="U6" s="898">
        <f t="shared" si="3"/>
        <v>0</v>
      </c>
      <c r="V6" s="898">
        <f t="shared" si="4"/>
        <v>0</v>
      </c>
    </row>
    <row r="7" spans="1:22" s="886" customFormat="1" ht="17.25" customHeight="1">
      <c r="A7" s="1761" t="s">
        <v>320</v>
      </c>
      <c r="B7" s="1655" t="s">
        <v>1710</v>
      </c>
      <c r="C7" s="889">
        <v>4</v>
      </c>
      <c r="D7" s="899" t="s">
        <v>1709</v>
      </c>
      <c r="E7" s="903"/>
      <c r="F7" s="904" t="s">
        <v>400</v>
      </c>
      <c r="G7" s="892" t="s">
        <v>231</v>
      </c>
      <c r="H7" s="893">
        <v>2</v>
      </c>
      <c r="I7" s="892"/>
      <c r="J7" s="892"/>
      <c r="K7" s="892"/>
      <c r="L7" s="900"/>
      <c r="M7" s="1199">
        <v>9.7560975609756101E-2</v>
      </c>
      <c r="N7" s="1199">
        <f>N8/(N9+N10)</f>
        <v>0.10869565217391304</v>
      </c>
      <c r="O7" s="560">
        <f t="shared" si="5"/>
        <v>0.11413043478260865</v>
      </c>
      <c r="P7" s="896">
        <f>IF(N7&lt;=0.2,2,0)</f>
        <v>2</v>
      </c>
      <c r="Q7" s="896">
        <f>IF(M7&lt;=0.2,2,0)</f>
        <v>2</v>
      </c>
      <c r="R7" s="902">
        <f t="shared" si="0"/>
        <v>0</v>
      </c>
      <c r="S7" s="898">
        <f t="shared" si="1"/>
        <v>0</v>
      </c>
      <c r="T7" s="898">
        <f t="shared" si="2"/>
        <v>0</v>
      </c>
      <c r="U7" s="898">
        <f t="shared" si="3"/>
        <v>0</v>
      </c>
      <c r="V7" s="898">
        <f t="shared" si="4"/>
        <v>0</v>
      </c>
    </row>
    <row r="8" spans="1:22" s="886" customFormat="1" ht="17.25" customHeight="1">
      <c r="A8" s="1761"/>
      <c r="B8" s="1655"/>
      <c r="C8" s="905">
        <v>4.0999999999999996</v>
      </c>
      <c r="D8" s="906" t="s">
        <v>113</v>
      </c>
      <c r="E8" s="890" t="s">
        <v>205</v>
      </c>
      <c r="F8" s="907"/>
      <c r="G8" s="892"/>
      <c r="H8" s="908"/>
      <c r="I8" s="892"/>
      <c r="J8" s="892"/>
      <c r="K8" s="892"/>
      <c r="L8" s="900" t="s">
        <v>637</v>
      </c>
      <c r="M8" s="901">
        <v>4</v>
      </c>
      <c r="N8" s="901">
        <v>5</v>
      </c>
      <c r="O8" s="560">
        <f t="shared" si="5"/>
        <v>0.25</v>
      </c>
      <c r="P8" s="896"/>
      <c r="Q8" s="896"/>
      <c r="R8" s="902">
        <f t="shared" si="0"/>
        <v>0</v>
      </c>
      <c r="S8" s="898">
        <f t="shared" si="1"/>
        <v>0</v>
      </c>
      <c r="T8" s="898">
        <f t="shared" si="2"/>
        <v>0</v>
      </c>
      <c r="U8" s="898">
        <f t="shared" si="3"/>
        <v>0</v>
      </c>
      <c r="V8" s="898">
        <f t="shared" si="4"/>
        <v>0</v>
      </c>
    </row>
    <row r="9" spans="1:22" s="886" customFormat="1" ht="17.25" customHeight="1">
      <c r="A9" s="1761"/>
      <c r="B9" s="1655"/>
      <c r="C9" s="905">
        <v>4.2</v>
      </c>
      <c r="D9" s="906" t="s">
        <v>114</v>
      </c>
      <c r="E9" s="890" t="s">
        <v>205</v>
      </c>
      <c r="F9" s="907"/>
      <c r="G9" s="892"/>
      <c r="H9" s="908"/>
      <c r="I9" s="892"/>
      <c r="J9" s="892"/>
      <c r="K9" s="892"/>
      <c r="L9" s="900" t="s">
        <v>637</v>
      </c>
      <c r="M9" s="901">
        <v>30</v>
      </c>
      <c r="N9" s="901">
        <v>33</v>
      </c>
      <c r="O9" s="560">
        <f t="shared" si="5"/>
        <v>0.10000000000000009</v>
      </c>
      <c r="P9" s="896"/>
      <c r="Q9" s="896"/>
      <c r="R9" s="902">
        <f t="shared" si="0"/>
        <v>0</v>
      </c>
      <c r="S9" s="898">
        <f t="shared" si="1"/>
        <v>0</v>
      </c>
      <c r="T9" s="898">
        <f t="shared" si="2"/>
        <v>0</v>
      </c>
      <c r="U9" s="898">
        <f t="shared" si="3"/>
        <v>0</v>
      </c>
      <c r="V9" s="898">
        <f t="shared" si="4"/>
        <v>0</v>
      </c>
    </row>
    <row r="10" spans="1:22" s="886" customFormat="1" ht="17.25" customHeight="1">
      <c r="A10" s="1761"/>
      <c r="B10" s="1655"/>
      <c r="C10" s="905">
        <v>4.3</v>
      </c>
      <c r="D10" s="906" t="s">
        <v>115</v>
      </c>
      <c r="E10" s="890" t="s">
        <v>205</v>
      </c>
      <c r="F10" s="909"/>
      <c r="G10" s="892"/>
      <c r="H10" s="908"/>
      <c r="I10" s="892"/>
      <c r="J10" s="892"/>
      <c r="K10" s="892"/>
      <c r="L10" s="900" t="s">
        <v>637</v>
      </c>
      <c r="M10" s="901">
        <v>11</v>
      </c>
      <c r="N10" s="901">
        <v>13</v>
      </c>
      <c r="O10" s="560">
        <f t="shared" si="5"/>
        <v>0.18181818181818188</v>
      </c>
      <c r="P10" s="896"/>
      <c r="Q10" s="896"/>
      <c r="R10" s="902">
        <f t="shared" si="0"/>
        <v>0</v>
      </c>
      <c r="S10" s="898">
        <f t="shared" si="1"/>
        <v>0</v>
      </c>
      <c r="T10" s="898">
        <f t="shared" si="2"/>
        <v>0</v>
      </c>
      <c r="U10" s="898">
        <f t="shared" si="3"/>
        <v>0</v>
      </c>
      <c r="V10" s="898">
        <f t="shared" si="4"/>
        <v>0</v>
      </c>
    </row>
    <row r="11" spans="1:22" s="886" customFormat="1" ht="17.25" customHeight="1">
      <c r="A11" s="887" t="s">
        <v>321</v>
      </c>
      <c r="B11" s="888" t="s">
        <v>322</v>
      </c>
      <c r="C11" s="889">
        <v>5</v>
      </c>
      <c r="D11" s="899" t="s">
        <v>1711</v>
      </c>
      <c r="E11" s="903"/>
      <c r="F11" s="904" t="s">
        <v>400</v>
      </c>
      <c r="G11" s="892" t="s">
        <v>231</v>
      </c>
      <c r="H11" s="893">
        <v>4</v>
      </c>
      <c r="I11" s="892"/>
      <c r="J11" s="892"/>
      <c r="K11" s="892"/>
      <c r="L11" s="900"/>
      <c r="M11" s="1200">
        <v>15.054054054054054</v>
      </c>
      <c r="N11" s="1200">
        <f>N12/N13</f>
        <v>7.5609756097560972</v>
      </c>
      <c r="O11" s="560">
        <f t="shared" si="5"/>
        <v>-0.49774488768226999</v>
      </c>
      <c r="P11" s="896">
        <f>IF(N11&gt;=2,4,0)</f>
        <v>4</v>
      </c>
      <c r="Q11" s="896">
        <f>IF(M11&gt;=2,4,0)</f>
        <v>4</v>
      </c>
      <c r="R11" s="902">
        <f t="shared" si="0"/>
        <v>0</v>
      </c>
      <c r="S11" s="898">
        <f t="shared" si="1"/>
        <v>0</v>
      </c>
      <c r="T11" s="898">
        <f t="shared" si="2"/>
        <v>0</v>
      </c>
      <c r="U11" s="898">
        <f t="shared" si="3"/>
        <v>0</v>
      </c>
      <c r="V11" s="898">
        <f t="shared" si="4"/>
        <v>0</v>
      </c>
    </row>
    <row r="12" spans="1:22" s="886" customFormat="1" ht="17.25" customHeight="1">
      <c r="A12" s="887"/>
      <c r="B12" s="888"/>
      <c r="C12" s="905">
        <v>5.0999999999999996</v>
      </c>
      <c r="D12" s="906" t="s">
        <v>191</v>
      </c>
      <c r="E12" s="890" t="s">
        <v>2076</v>
      </c>
      <c r="F12" s="907"/>
      <c r="G12" s="892"/>
      <c r="H12" s="896"/>
      <c r="I12" s="892"/>
      <c r="J12" s="892"/>
      <c r="K12" s="892"/>
      <c r="L12" s="900" t="s">
        <v>638</v>
      </c>
      <c r="M12" s="901">
        <v>557</v>
      </c>
      <c r="N12" s="910">
        <v>310</v>
      </c>
      <c r="O12" s="560">
        <f t="shared" si="5"/>
        <v>-0.44344703770197491</v>
      </c>
      <c r="P12" s="896"/>
      <c r="Q12" s="896"/>
      <c r="R12" s="902">
        <f t="shared" si="0"/>
        <v>0</v>
      </c>
      <c r="S12" s="898">
        <f t="shared" si="1"/>
        <v>0</v>
      </c>
      <c r="T12" s="898">
        <f t="shared" si="2"/>
        <v>0</v>
      </c>
      <c r="U12" s="898">
        <f t="shared" si="3"/>
        <v>0</v>
      </c>
      <c r="V12" s="898">
        <f t="shared" si="4"/>
        <v>0</v>
      </c>
    </row>
    <row r="13" spans="1:22" s="886" customFormat="1" ht="17.25" customHeight="1">
      <c r="A13" s="887"/>
      <c r="B13" s="888"/>
      <c r="C13" s="905">
        <v>5.2</v>
      </c>
      <c r="D13" s="906" t="s">
        <v>116</v>
      </c>
      <c r="E13" s="890" t="s">
        <v>205</v>
      </c>
      <c r="F13" s="909"/>
      <c r="G13" s="892"/>
      <c r="H13" s="896"/>
      <c r="I13" s="892"/>
      <c r="J13" s="892"/>
      <c r="K13" s="892"/>
      <c r="L13" s="900" t="s">
        <v>637</v>
      </c>
      <c r="M13" s="901">
        <v>37</v>
      </c>
      <c r="N13" s="911">
        <v>41</v>
      </c>
      <c r="O13" s="560">
        <f t="shared" si="5"/>
        <v>0.10810810810810811</v>
      </c>
      <c r="P13" s="896"/>
      <c r="Q13" s="896"/>
      <c r="R13" s="902">
        <f t="shared" si="0"/>
        <v>0</v>
      </c>
      <c r="S13" s="898">
        <f t="shared" si="1"/>
        <v>0</v>
      </c>
      <c r="T13" s="898">
        <f t="shared" si="2"/>
        <v>0</v>
      </c>
      <c r="U13" s="898">
        <f t="shared" si="3"/>
        <v>0</v>
      </c>
      <c r="V13" s="898">
        <f t="shared" si="4"/>
        <v>0</v>
      </c>
    </row>
    <row r="14" spans="1:22" s="886" customFormat="1" ht="17.25" customHeight="1">
      <c r="A14" s="887" t="s">
        <v>323</v>
      </c>
      <c r="B14" s="888" t="s">
        <v>324</v>
      </c>
      <c r="C14" s="889">
        <v>6</v>
      </c>
      <c r="D14" s="912" t="s">
        <v>117</v>
      </c>
      <c r="E14" s="890" t="s">
        <v>205</v>
      </c>
      <c r="F14" s="891" t="s">
        <v>396</v>
      </c>
      <c r="G14" s="892" t="s">
        <v>231</v>
      </c>
      <c r="H14" s="893">
        <v>4</v>
      </c>
      <c r="I14" s="892" t="s">
        <v>118</v>
      </c>
      <c r="J14" s="892" t="s">
        <v>119</v>
      </c>
      <c r="K14" s="892"/>
      <c r="L14" s="894" t="s">
        <v>118</v>
      </c>
      <c r="M14" s="913" t="s">
        <v>118</v>
      </c>
      <c r="N14" s="913" t="s">
        <v>118</v>
      </c>
      <c r="O14" s="560">
        <f>IF((N14=M14)=TRUE,0,1)</f>
        <v>0</v>
      </c>
      <c r="P14" s="896">
        <v>4</v>
      </c>
      <c r="Q14" s="896">
        <v>4</v>
      </c>
      <c r="R14" s="902">
        <f t="shared" si="0"/>
        <v>0</v>
      </c>
      <c r="S14" s="898">
        <f t="shared" si="1"/>
        <v>0</v>
      </c>
      <c r="T14" s="898">
        <f t="shared" si="2"/>
        <v>0</v>
      </c>
      <c r="U14" s="898">
        <f t="shared" si="3"/>
        <v>0</v>
      </c>
      <c r="V14" s="898">
        <f t="shared" si="4"/>
        <v>0</v>
      </c>
    </row>
    <row r="15" spans="1:22" s="886" customFormat="1" ht="17.25" customHeight="1">
      <c r="A15" s="887" t="s">
        <v>325</v>
      </c>
      <c r="B15" s="888" t="s">
        <v>326</v>
      </c>
      <c r="C15" s="889">
        <v>7</v>
      </c>
      <c r="D15" s="912" t="s">
        <v>54</v>
      </c>
      <c r="E15" s="890" t="s">
        <v>205</v>
      </c>
      <c r="F15" s="891" t="s">
        <v>396</v>
      </c>
      <c r="G15" s="892" t="s">
        <v>231</v>
      </c>
      <c r="H15" s="893">
        <v>5</v>
      </c>
      <c r="I15" s="892" t="s">
        <v>120</v>
      </c>
      <c r="J15" s="892" t="s">
        <v>121</v>
      </c>
      <c r="K15" s="892"/>
      <c r="L15" s="894" t="s">
        <v>120</v>
      </c>
      <c r="M15" s="913" t="s">
        <v>120</v>
      </c>
      <c r="N15" s="913" t="s">
        <v>120</v>
      </c>
      <c r="O15" s="560">
        <f>IF((N15=M15)=TRUE,0,1)</f>
        <v>0</v>
      </c>
      <c r="P15" s="896">
        <v>5</v>
      </c>
      <c r="Q15" s="896">
        <v>5</v>
      </c>
      <c r="R15" s="902">
        <f t="shared" si="0"/>
        <v>0</v>
      </c>
      <c r="S15" s="898">
        <f t="shared" si="1"/>
        <v>0</v>
      </c>
      <c r="T15" s="898">
        <f t="shared" si="2"/>
        <v>0</v>
      </c>
      <c r="U15" s="898">
        <f t="shared" si="3"/>
        <v>0</v>
      </c>
      <c r="V15" s="898">
        <f t="shared" si="4"/>
        <v>0</v>
      </c>
    </row>
    <row r="16" spans="1:22" s="886" customFormat="1" ht="17.25" customHeight="1">
      <c r="A16" s="887" t="s">
        <v>327</v>
      </c>
      <c r="B16" s="888" t="s">
        <v>328</v>
      </c>
      <c r="C16" s="889">
        <v>8</v>
      </c>
      <c r="D16" s="912" t="s">
        <v>122</v>
      </c>
      <c r="E16" s="890" t="s">
        <v>205</v>
      </c>
      <c r="F16" s="891" t="s">
        <v>396</v>
      </c>
      <c r="G16" s="892" t="s">
        <v>231</v>
      </c>
      <c r="H16" s="893">
        <v>1</v>
      </c>
      <c r="I16" s="892" t="s">
        <v>123</v>
      </c>
      <c r="J16" s="892" t="s">
        <v>124</v>
      </c>
      <c r="K16" s="892"/>
      <c r="L16" s="894" t="s">
        <v>123</v>
      </c>
      <c r="M16" s="913" t="s">
        <v>123</v>
      </c>
      <c r="N16" s="913" t="s">
        <v>123</v>
      </c>
      <c r="O16" s="560">
        <f>IF((N16=M16)=TRUE,0,1)</f>
        <v>0</v>
      </c>
      <c r="P16" s="896">
        <v>1</v>
      </c>
      <c r="Q16" s="896">
        <v>1</v>
      </c>
      <c r="R16" s="902">
        <f t="shared" si="0"/>
        <v>0</v>
      </c>
      <c r="S16" s="898">
        <f t="shared" si="1"/>
        <v>0</v>
      </c>
      <c r="T16" s="898">
        <f t="shared" si="2"/>
        <v>0</v>
      </c>
      <c r="U16" s="898">
        <f t="shared" si="3"/>
        <v>0</v>
      </c>
      <c r="V16" s="898">
        <f t="shared" si="4"/>
        <v>0</v>
      </c>
    </row>
    <row r="17" spans="1:22" s="886" customFormat="1" ht="17.25" customHeight="1">
      <c r="A17" s="887" t="s">
        <v>329</v>
      </c>
      <c r="B17" s="888" t="s">
        <v>330</v>
      </c>
      <c r="C17" s="889">
        <v>9</v>
      </c>
      <c r="D17" s="912" t="s">
        <v>125</v>
      </c>
      <c r="E17" s="890" t="s">
        <v>205</v>
      </c>
      <c r="F17" s="914" t="s">
        <v>466</v>
      </c>
      <c r="G17" s="892" t="s">
        <v>231</v>
      </c>
      <c r="H17" s="893">
        <v>4</v>
      </c>
      <c r="I17" s="892"/>
      <c r="J17" s="892"/>
      <c r="K17" s="892"/>
      <c r="L17" s="900"/>
      <c r="M17" s="901">
        <v>0</v>
      </c>
      <c r="N17" s="901">
        <v>0</v>
      </c>
      <c r="O17" s="560">
        <f>IF(AND(M17=0,N17&lt;&gt;0),1,IF(AND(M17=0,N17=0),0,N17/M17-1))</f>
        <v>0</v>
      </c>
      <c r="P17" s="896">
        <f>IF(N17&lt;=2,4,0)</f>
        <v>4</v>
      </c>
      <c r="Q17" s="896">
        <f>IF(M17&lt;=2,4,0)</f>
        <v>4</v>
      </c>
      <c r="R17" s="902">
        <f t="shared" si="0"/>
        <v>0</v>
      </c>
      <c r="S17" s="898">
        <f t="shared" si="1"/>
        <v>0</v>
      </c>
      <c r="T17" s="898">
        <f t="shared" si="2"/>
        <v>0</v>
      </c>
      <c r="U17" s="898">
        <f t="shared" si="3"/>
        <v>0</v>
      </c>
      <c r="V17" s="898">
        <f t="shared" si="4"/>
        <v>0</v>
      </c>
    </row>
    <row r="18" spans="1:22" s="886" customFormat="1" ht="17.25" customHeight="1">
      <c r="A18" s="887" t="s">
        <v>331</v>
      </c>
      <c r="B18" s="888" t="s">
        <v>332</v>
      </c>
      <c r="C18" s="889">
        <v>10</v>
      </c>
      <c r="D18" s="912" t="s">
        <v>126</v>
      </c>
      <c r="E18" s="890" t="s">
        <v>205</v>
      </c>
      <c r="F18" s="891" t="s">
        <v>396</v>
      </c>
      <c r="G18" s="892" t="s">
        <v>231</v>
      </c>
      <c r="H18" s="893">
        <v>1</v>
      </c>
      <c r="I18" s="892" t="s">
        <v>127</v>
      </c>
      <c r="J18" s="892" t="s">
        <v>128</v>
      </c>
      <c r="K18" s="892"/>
      <c r="L18" s="894" t="s">
        <v>127</v>
      </c>
      <c r="M18" s="901" t="s">
        <v>127</v>
      </c>
      <c r="N18" s="901" t="s">
        <v>127</v>
      </c>
      <c r="O18" s="560">
        <f>IF((N18=M18)=TRUE,0,1)</f>
        <v>0</v>
      </c>
      <c r="P18" s="896">
        <v>1</v>
      </c>
      <c r="Q18" s="896">
        <v>1</v>
      </c>
      <c r="R18" s="902">
        <f t="shared" si="0"/>
        <v>0</v>
      </c>
      <c r="S18" s="898">
        <f t="shared" si="1"/>
        <v>0</v>
      </c>
      <c r="T18" s="898">
        <f t="shared" si="2"/>
        <v>0</v>
      </c>
      <c r="U18" s="898">
        <f t="shared" si="3"/>
        <v>0</v>
      </c>
      <c r="V18" s="898">
        <f t="shared" si="4"/>
        <v>0</v>
      </c>
    </row>
    <row r="19" spans="1:22" s="886" customFormat="1" ht="17.25" customHeight="1">
      <c r="A19" s="1175" t="s">
        <v>2187</v>
      </c>
      <c r="B19" s="888" t="s">
        <v>333</v>
      </c>
      <c r="C19" s="889">
        <v>11</v>
      </c>
      <c r="D19" s="912" t="s">
        <v>129</v>
      </c>
      <c r="E19" s="890" t="s">
        <v>205</v>
      </c>
      <c r="F19" s="891" t="s">
        <v>399</v>
      </c>
      <c r="G19" s="892" t="s">
        <v>231</v>
      </c>
      <c r="H19" s="893">
        <v>5</v>
      </c>
      <c r="I19" s="892"/>
      <c r="J19" s="892"/>
      <c r="K19" s="892"/>
      <c r="L19" s="915" t="s">
        <v>639</v>
      </c>
      <c r="M19" s="901">
        <v>0</v>
      </c>
      <c r="N19" s="901">
        <v>0</v>
      </c>
      <c r="O19" s="560">
        <f>IF(AND(M19=0,N19&lt;&gt;0),1,IF(AND(M19=0,N19=0),0,N19/M19-1))</f>
        <v>0</v>
      </c>
      <c r="P19" s="896">
        <v>5</v>
      </c>
      <c r="Q19" s="896">
        <v>5</v>
      </c>
      <c r="R19" s="902">
        <f t="shared" si="0"/>
        <v>0</v>
      </c>
      <c r="S19" s="898">
        <f t="shared" si="1"/>
        <v>0</v>
      </c>
      <c r="T19" s="898">
        <f t="shared" si="2"/>
        <v>0</v>
      </c>
      <c r="U19" s="898">
        <f t="shared" si="3"/>
        <v>0</v>
      </c>
      <c r="V19" s="898">
        <f t="shared" si="4"/>
        <v>0</v>
      </c>
    </row>
    <row r="20" spans="1:22" s="886" customFormat="1" ht="17.25" customHeight="1">
      <c r="A20" s="887" t="s">
        <v>334</v>
      </c>
      <c r="B20" s="888" t="s">
        <v>333</v>
      </c>
      <c r="C20" s="889">
        <v>12</v>
      </c>
      <c r="D20" s="912" t="s">
        <v>130</v>
      </c>
      <c r="E20" s="916" t="s">
        <v>205</v>
      </c>
      <c r="F20" s="891" t="s">
        <v>399</v>
      </c>
      <c r="G20" s="892" t="s">
        <v>231</v>
      </c>
      <c r="H20" s="893">
        <v>5</v>
      </c>
      <c r="I20" s="892"/>
      <c r="J20" s="892"/>
      <c r="K20" s="892"/>
      <c r="L20" s="917"/>
      <c r="M20" s="901">
        <v>0</v>
      </c>
      <c r="N20" s="901">
        <v>0</v>
      </c>
      <c r="O20" s="560">
        <f>IF(AND(M20=0,N20&lt;&gt;0),1,IF(AND(M20=0,N20=0),0,N20/M20-1))</f>
        <v>0</v>
      </c>
      <c r="P20" s="896">
        <v>5</v>
      </c>
      <c r="Q20" s="896">
        <v>5</v>
      </c>
      <c r="R20" s="902">
        <f t="shared" si="0"/>
        <v>0</v>
      </c>
      <c r="S20" s="898">
        <f t="shared" si="1"/>
        <v>0</v>
      </c>
      <c r="T20" s="898">
        <f t="shared" si="2"/>
        <v>0</v>
      </c>
      <c r="U20" s="898">
        <f t="shared" si="3"/>
        <v>0</v>
      </c>
      <c r="V20" s="898">
        <f t="shared" si="4"/>
        <v>0</v>
      </c>
    </row>
    <row r="21" spans="1:22" s="886" customFormat="1" ht="17.25" customHeight="1">
      <c r="A21" s="887" t="s">
        <v>335</v>
      </c>
      <c r="B21" s="888" t="s">
        <v>336</v>
      </c>
      <c r="C21" s="889">
        <v>13</v>
      </c>
      <c r="D21" s="912" t="s">
        <v>192</v>
      </c>
      <c r="E21" s="890" t="s">
        <v>205</v>
      </c>
      <c r="F21" s="891" t="s">
        <v>396</v>
      </c>
      <c r="G21" s="892" t="s">
        <v>231</v>
      </c>
      <c r="H21" s="893">
        <v>1</v>
      </c>
      <c r="I21" s="918" t="s">
        <v>127</v>
      </c>
      <c r="J21" s="892" t="s">
        <v>128</v>
      </c>
      <c r="K21" s="892"/>
      <c r="L21" s="894" t="s">
        <v>127</v>
      </c>
      <c r="M21" s="910" t="s">
        <v>127</v>
      </c>
      <c r="N21" s="910" t="s">
        <v>127</v>
      </c>
      <c r="O21" s="560">
        <f>IF((N21=M21)=TRUE,0,1)</f>
        <v>0</v>
      </c>
      <c r="P21" s="896">
        <v>1</v>
      </c>
      <c r="Q21" s="896">
        <v>1</v>
      </c>
      <c r="R21" s="902">
        <f t="shared" si="0"/>
        <v>0</v>
      </c>
      <c r="S21" s="898">
        <f t="shared" si="1"/>
        <v>0</v>
      </c>
      <c r="T21" s="898">
        <f t="shared" si="2"/>
        <v>0</v>
      </c>
      <c r="U21" s="898">
        <f t="shared" si="3"/>
        <v>0</v>
      </c>
      <c r="V21" s="898">
        <f t="shared" si="4"/>
        <v>0</v>
      </c>
    </row>
    <row r="22" spans="1:22" s="886" customFormat="1" ht="17.25" customHeight="1">
      <c r="A22" s="887" t="s">
        <v>337</v>
      </c>
      <c r="B22" s="888" t="s">
        <v>336</v>
      </c>
      <c r="C22" s="889">
        <v>14</v>
      </c>
      <c r="D22" s="912" t="s">
        <v>131</v>
      </c>
      <c r="E22" s="890" t="s">
        <v>205</v>
      </c>
      <c r="F22" s="891" t="s">
        <v>396</v>
      </c>
      <c r="G22" s="892" t="s">
        <v>231</v>
      </c>
      <c r="H22" s="893">
        <v>1</v>
      </c>
      <c r="I22" s="918" t="s">
        <v>127</v>
      </c>
      <c r="J22" s="892" t="s">
        <v>128</v>
      </c>
      <c r="K22" s="892"/>
      <c r="L22" s="894" t="s">
        <v>127</v>
      </c>
      <c r="M22" s="910" t="s">
        <v>127</v>
      </c>
      <c r="N22" s="910" t="s">
        <v>127</v>
      </c>
      <c r="O22" s="560">
        <f>IF((N22=M22)=TRUE,0,1)</f>
        <v>0</v>
      </c>
      <c r="P22" s="896">
        <v>1</v>
      </c>
      <c r="Q22" s="896">
        <v>1</v>
      </c>
      <c r="R22" s="902">
        <f t="shared" si="0"/>
        <v>0</v>
      </c>
      <c r="S22" s="898">
        <f t="shared" si="1"/>
        <v>0</v>
      </c>
      <c r="T22" s="898">
        <f t="shared" si="2"/>
        <v>0</v>
      </c>
      <c r="U22" s="898">
        <f t="shared" si="3"/>
        <v>0</v>
      </c>
      <c r="V22" s="898">
        <f t="shared" si="4"/>
        <v>0</v>
      </c>
    </row>
    <row r="23" spans="1:22" s="886" customFormat="1" ht="17.25" customHeight="1">
      <c r="A23" s="887" t="s">
        <v>338</v>
      </c>
      <c r="B23" s="888" t="s">
        <v>1456</v>
      </c>
      <c r="C23" s="889">
        <v>15</v>
      </c>
      <c r="D23" s="912" t="s">
        <v>1693</v>
      </c>
      <c r="E23" s="890" t="s">
        <v>205</v>
      </c>
      <c r="F23" s="904" t="s">
        <v>400</v>
      </c>
      <c r="G23" s="892" t="s">
        <v>231</v>
      </c>
      <c r="H23" s="893">
        <v>4</v>
      </c>
      <c r="I23" s="918"/>
      <c r="J23" s="892"/>
      <c r="K23" s="892"/>
      <c r="L23" s="900"/>
      <c r="M23" s="910">
        <v>0</v>
      </c>
      <c r="N23" s="910">
        <v>0</v>
      </c>
      <c r="O23" s="560">
        <f>IF(AND(M23=0,N23&lt;&gt;0),1,IF(AND(M23=0,N23=0),0,N23/M23-1))</f>
        <v>0</v>
      </c>
      <c r="P23" s="896">
        <f>IF(N23&gt;3,0,IF(N23=0,4,2))</f>
        <v>4</v>
      </c>
      <c r="Q23" s="896">
        <f>IF(M23&gt;3,0,IF(M23=0,4,2))</f>
        <v>4</v>
      </c>
      <c r="R23" s="902">
        <f t="shared" si="0"/>
        <v>0</v>
      </c>
      <c r="S23" s="898">
        <f t="shared" si="1"/>
        <v>0</v>
      </c>
      <c r="T23" s="898">
        <f t="shared" si="2"/>
        <v>0</v>
      </c>
      <c r="U23" s="898">
        <f t="shared" si="3"/>
        <v>0</v>
      </c>
      <c r="V23" s="898">
        <f t="shared" si="4"/>
        <v>0</v>
      </c>
    </row>
    <row r="24" spans="1:22" s="886" customFormat="1" ht="17.25" customHeight="1">
      <c r="A24" s="887" t="s">
        <v>339</v>
      </c>
      <c r="B24" s="888" t="s">
        <v>340</v>
      </c>
      <c r="C24" s="889">
        <v>16</v>
      </c>
      <c r="D24" s="912" t="s">
        <v>193</v>
      </c>
      <c r="E24" s="890" t="s">
        <v>205</v>
      </c>
      <c r="F24" s="891" t="s">
        <v>396</v>
      </c>
      <c r="G24" s="892" t="s">
        <v>231</v>
      </c>
      <c r="H24" s="893">
        <v>1</v>
      </c>
      <c r="I24" s="918" t="s">
        <v>132</v>
      </c>
      <c r="J24" s="892" t="s">
        <v>133</v>
      </c>
      <c r="K24" s="892"/>
      <c r="L24" s="894"/>
      <c r="M24" s="919" t="s">
        <v>132</v>
      </c>
      <c r="N24" s="919" t="s">
        <v>132</v>
      </c>
      <c r="O24" s="560">
        <f>IF((N24=M24)=TRUE,0,1)</f>
        <v>0</v>
      </c>
      <c r="P24" s="896">
        <v>1</v>
      </c>
      <c r="Q24" s="896">
        <v>1</v>
      </c>
      <c r="R24" s="902">
        <f t="shared" si="0"/>
        <v>0</v>
      </c>
      <c r="S24" s="898">
        <f t="shared" si="1"/>
        <v>0</v>
      </c>
      <c r="T24" s="898">
        <f t="shared" si="2"/>
        <v>0</v>
      </c>
      <c r="U24" s="898">
        <f t="shared" si="3"/>
        <v>0</v>
      </c>
      <c r="V24" s="898">
        <f t="shared" si="4"/>
        <v>0</v>
      </c>
    </row>
    <row r="25" spans="1:22" s="886" customFormat="1" ht="17.25" customHeight="1">
      <c r="A25" s="1425" t="s">
        <v>2413</v>
      </c>
      <c r="B25" s="1423" t="s">
        <v>2001</v>
      </c>
      <c r="C25" s="889">
        <v>17</v>
      </c>
      <c r="D25" s="920" t="s">
        <v>2485</v>
      </c>
      <c r="E25" s="903"/>
      <c r="F25" s="904" t="s">
        <v>400</v>
      </c>
      <c r="G25" s="892" t="s">
        <v>231</v>
      </c>
      <c r="H25" s="893">
        <v>3</v>
      </c>
      <c r="I25" s="918"/>
      <c r="J25" s="892"/>
      <c r="K25" s="892"/>
      <c r="L25" s="900"/>
      <c r="M25" s="1201">
        <v>6.426735218508997E-5</v>
      </c>
      <c r="N25" s="1307">
        <f>N26/N27</f>
        <v>3.1924491637171214E-3</v>
      </c>
      <c r="O25" s="560">
        <f>IF(AND(M25=0,N25&lt;&gt;0),1,IF(AND(M25=0,N25=0),0,N25/M25-1))</f>
        <v>48.674508987438415</v>
      </c>
      <c r="P25" s="896">
        <f>IF(N25&lt;0.001,3,0)</f>
        <v>0</v>
      </c>
      <c r="Q25" s="896">
        <f>IF(M25&lt;0.001,3,0)</f>
        <v>3</v>
      </c>
      <c r="R25" s="902">
        <f t="shared" si="0"/>
        <v>-3</v>
      </c>
      <c r="S25" s="898">
        <f t="shared" si="1"/>
        <v>3</v>
      </c>
      <c r="T25" s="898">
        <f t="shared" si="2"/>
        <v>1.7999999999999998</v>
      </c>
      <c r="U25" s="898">
        <f t="shared" si="3"/>
        <v>0.19999999999999998</v>
      </c>
      <c r="V25" s="898">
        <f t="shared" si="4"/>
        <v>9.9999999999999992E-2</v>
      </c>
    </row>
    <row r="26" spans="1:22" s="886" customFormat="1" ht="17.25" customHeight="1">
      <c r="A26" s="887"/>
      <c r="B26" s="888"/>
      <c r="C26" s="905">
        <v>17.100000000000001</v>
      </c>
      <c r="D26" s="906" t="s">
        <v>2412</v>
      </c>
      <c r="E26" s="890" t="s">
        <v>205</v>
      </c>
      <c r="F26" s="907"/>
      <c r="G26" s="892"/>
      <c r="H26" s="908"/>
      <c r="I26" s="918"/>
      <c r="J26" s="892"/>
      <c r="K26" s="892"/>
      <c r="L26" s="915" t="s">
        <v>640</v>
      </c>
      <c r="M26" s="910">
        <v>1</v>
      </c>
      <c r="N26" s="477">
        <v>46</v>
      </c>
      <c r="O26" s="560">
        <f>IF(AND(M26=0,N26&lt;&gt;0),1,IF(AND(M26=0,N26=0),0,N26/M26-1))</f>
        <v>45</v>
      </c>
      <c r="P26" s="896"/>
      <c r="Q26" s="896"/>
      <c r="R26" s="902">
        <f t="shared" si="0"/>
        <v>0</v>
      </c>
      <c r="S26" s="898">
        <f t="shared" si="1"/>
        <v>0</v>
      </c>
      <c r="T26" s="898">
        <f t="shared" si="2"/>
        <v>0</v>
      </c>
      <c r="U26" s="898">
        <f t="shared" si="3"/>
        <v>0</v>
      </c>
      <c r="V26" s="898">
        <f t="shared" si="4"/>
        <v>0</v>
      </c>
    </row>
    <row r="27" spans="1:22" s="886" customFormat="1" ht="17.25" customHeight="1">
      <c r="A27" s="887"/>
      <c r="B27" s="888"/>
      <c r="C27" s="905">
        <v>17.2</v>
      </c>
      <c r="D27" s="906" t="s">
        <v>1694</v>
      </c>
      <c r="E27" s="890" t="s">
        <v>205</v>
      </c>
      <c r="F27" s="909"/>
      <c r="G27" s="892"/>
      <c r="H27" s="908"/>
      <c r="I27" s="918"/>
      <c r="J27" s="892"/>
      <c r="K27" s="892"/>
      <c r="L27" s="915" t="s">
        <v>640</v>
      </c>
      <c r="M27" s="910">
        <v>15560</v>
      </c>
      <c r="N27" s="1470">
        <v>14409</v>
      </c>
      <c r="O27" s="560">
        <f>IF(AND(M27=0,N27&lt;&gt;0),1,IF(AND(M27=0,N27=0),0,N27/M27-1))</f>
        <v>-7.3971722365038572E-2</v>
      </c>
      <c r="P27" s="896"/>
      <c r="Q27" s="896"/>
      <c r="R27" s="902">
        <f t="shared" si="0"/>
        <v>0</v>
      </c>
      <c r="S27" s="898">
        <f t="shared" si="1"/>
        <v>0</v>
      </c>
      <c r="T27" s="898">
        <f t="shared" si="2"/>
        <v>0</v>
      </c>
      <c r="U27" s="898">
        <f t="shared" si="3"/>
        <v>0</v>
      </c>
      <c r="V27" s="898">
        <f t="shared" si="4"/>
        <v>0</v>
      </c>
    </row>
    <row r="28" spans="1:22" s="886" customFormat="1" ht="17.25" customHeight="1">
      <c r="A28" s="887" t="s">
        <v>341</v>
      </c>
      <c r="B28" s="888" t="s">
        <v>342</v>
      </c>
      <c r="C28" s="889">
        <v>18</v>
      </c>
      <c r="D28" s="912" t="s">
        <v>194</v>
      </c>
      <c r="E28" s="890" t="s">
        <v>205</v>
      </c>
      <c r="F28" s="891" t="s">
        <v>396</v>
      </c>
      <c r="G28" s="892" t="s">
        <v>231</v>
      </c>
      <c r="H28" s="893">
        <v>1</v>
      </c>
      <c r="I28" s="918" t="s">
        <v>134</v>
      </c>
      <c r="J28" s="892" t="s">
        <v>135</v>
      </c>
      <c r="K28" s="892"/>
      <c r="L28" s="894"/>
      <c r="M28" s="919" t="s">
        <v>134</v>
      </c>
      <c r="N28" s="919" t="s">
        <v>134</v>
      </c>
      <c r="O28" s="560">
        <f>IF((N28=M28)=TRUE,0,1)</f>
        <v>0</v>
      </c>
      <c r="P28" s="896">
        <v>1</v>
      </c>
      <c r="Q28" s="896">
        <v>1</v>
      </c>
      <c r="R28" s="902">
        <f t="shared" si="0"/>
        <v>0</v>
      </c>
      <c r="S28" s="898">
        <f t="shared" si="1"/>
        <v>0</v>
      </c>
      <c r="T28" s="898">
        <f t="shared" si="2"/>
        <v>0</v>
      </c>
      <c r="U28" s="898">
        <f t="shared" si="3"/>
        <v>0</v>
      </c>
      <c r="V28" s="898">
        <f t="shared" si="4"/>
        <v>0</v>
      </c>
    </row>
    <row r="29" spans="1:22" s="886" customFormat="1" ht="17.25" customHeight="1">
      <c r="A29" s="887" t="s">
        <v>343</v>
      </c>
      <c r="B29" s="888" t="s">
        <v>344</v>
      </c>
      <c r="C29" s="889">
        <v>19</v>
      </c>
      <c r="D29" s="912" t="s">
        <v>136</v>
      </c>
      <c r="E29" s="890" t="s">
        <v>205</v>
      </c>
      <c r="F29" s="904" t="s">
        <v>400</v>
      </c>
      <c r="G29" s="892" t="s">
        <v>231</v>
      </c>
      <c r="H29" s="893">
        <v>3</v>
      </c>
      <c r="I29" s="918"/>
      <c r="J29" s="892"/>
      <c r="K29" s="892"/>
      <c r="L29" s="900"/>
      <c r="M29" s="910">
        <v>0</v>
      </c>
      <c r="N29" s="910">
        <v>0</v>
      </c>
      <c r="O29" s="560">
        <f>IF(AND(M29=0,N29&lt;&gt;0),1,IF(AND(M29=0,N29=0),0,N29/M29-1))</f>
        <v>0</v>
      </c>
      <c r="P29" s="896">
        <f>IF(N29=0,3,IF(N29&gt;3,0,1))</f>
        <v>3</v>
      </c>
      <c r="Q29" s="896">
        <f>IF(M29=0,3,IF(M29&gt;3,0,1))</f>
        <v>3</v>
      </c>
      <c r="R29" s="902">
        <f t="shared" si="0"/>
        <v>0</v>
      </c>
      <c r="S29" s="898">
        <f t="shared" si="1"/>
        <v>0</v>
      </c>
      <c r="T29" s="898">
        <f t="shared" si="2"/>
        <v>0</v>
      </c>
      <c r="U29" s="898">
        <f t="shared" si="3"/>
        <v>0</v>
      </c>
      <c r="V29" s="898">
        <f t="shared" si="4"/>
        <v>0</v>
      </c>
    </row>
    <row r="30" spans="1:22" s="886" customFormat="1" ht="17.25" customHeight="1">
      <c r="A30" s="887" t="s">
        <v>345</v>
      </c>
      <c r="B30" s="888" t="s">
        <v>346</v>
      </c>
      <c r="C30" s="889">
        <v>20</v>
      </c>
      <c r="D30" s="912" t="s">
        <v>137</v>
      </c>
      <c r="E30" s="890" t="s">
        <v>205</v>
      </c>
      <c r="F30" s="891" t="s">
        <v>396</v>
      </c>
      <c r="G30" s="892" t="s">
        <v>231</v>
      </c>
      <c r="H30" s="893">
        <v>1</v>
      </c>
      <c r="I30" s="892" t="s">
        <v>138</v>
      </c>
      <c r="J30" s="892" t="s">
        <v>139</v>
      </c>
      <c r="K30" s="892" t="s">
        <v>112</v>
      </c>
      <c r="L30" s="894"/>
      <c r="M30" s="913" t="s">
        <v>139</v>
      </c>
      <c r="N30" s="913" t="s">
        <v>139</v>
      </c>
      <c r="O30" s="560">
        <f>IF((N30=M30)=TRUE,0,1)</f>
        <v>0</v>
      </c>
      <c r="P30" s="896">
        <v>1</v>
      </c>
      <c r="Q30" s="896">
        <v>1</v>
      </c>
      <c r="R30" s="902">
        <f t="shared" si="0"/>
        <v>0</v>
      </c>
      <c r="S30" s="898">
        <f t="shared" si="1"/>
        <v>0</v>
      </c>
      <c r="T30" s="898">
        <f t="shared" si="2"/>
        <v>0</v>
      </c>
      <c r="U30" s="898">
        <f t="shared" si="3"/>
        <v>0</v>
      </c>
      <c r="V30" s="898">
        <f t="shared" si="4"/>
        <v>0</v>
      </c>
    </row>
    <row r="31" spans="1:22" s="886" customFormat="1" ht="17.25" customHeight="1">
      <c r="A31" s="887" t="s">
        <v>347</v>
      </c>
      <c r="B31" s="888" t="s">
        <v>348</v>
      </c>
      <c r="C31" s="889">
        <v>21</v>
      </c>
      <c r="D31" s="912" t="s">
        <v>140</v>
      </c>
      <c r="E31" s="890" t="s">
        <v>205</v>
      </c>
      <c r="F31" s="904" t="s">
        <v>400</v>
      </c>
      <c r="G31" s="892" t="s">
        <v>231</v>
      </c>
      <c r="H31" s="893">
        <v>4</v>
      </c>
      <c r="I31" s="892"/>
      <c r="J31" s="892"/>
      <c r="K31" s="892"/>
      <c r="L31" s="900"/>
      <c r="M31" s="901">
        <v>0</v>
      </c>
      <c r="N31" s="901">
        <v>0</v>
      </c>
      <c r="O31" s="560">
        <f>IF(AND(M31=0,N31&lt;&gt;0),1,IF(AND(M31=0,N31=0),0,N31/M31-1))</f>
        <v>0</v>
      </c>
      <c r="P31" s="896">
        <f>IF(N31=0,4,IF(N31&gt;3,0,2))</f>
        <v>4</v>
      </c>
      <c r="Q31" s="896">
        <f>IF(M31=0,4,IF(M31&gt;3,0,2))</f>
        <v>4</v>
      </c>
      <c r="R31" s="902">
        <f t="shared" si="0"/>
        <v>0</v>
      </c>
      <c r="S31" s="898">
        <f t="shared" si="1"/>
        <v>0</v>
      </c>
      <c r="T31" s="898">
        <f t="shared" si="2"/>
        <v>0</v>
      </c>
      <c r="U31" s="898">
        <f t="shared" si="3"/>
        <v>0</v>
      </c>
      <c r="V31" s="898">
        <f t="shared" si="4"/>
        <v>0</v>
      </c>
    </row>
    <row r="32" spans="1:22" s="886" customFormat="1" ht="17.25" customHeight="1">
      <c r="A32" s="887" t="s">
        <v>349</v>
      </c>
      <c r="B32" s="888" t="s">
        <v>350</v>
      </c>
      <c r="C32" s="889">
        <v>22</v>
      </c>
      <c r="D32" s="912" t="s">
        <v>141</v>
      </c>
      <c r="E32" s="890" t="s">
        <v>205</v>
      </c>
      <c r="F32" s="891" t="s">
        <v>396</v>
      </c>
      <c r="G32" s="892" t="s">
        <v>231</v>
      </c>
      <c r="H32" s="893">
        <v>2</v>
      </c>
      <c r="I32" s="892" t="s">
        <v>142</v>
      </c>
      <c r="J32" s="892" t="s">
        <v>143</v>
      </c>
      <c r="K32" s="892"/>
      <c r="L32" s="894"/>
      <c r="M32" s="913" t="s">
        <v>142</v>
      </c>
      <c r="N32" s="913" t="s">
        <v>142</v>
      </c>
      <c r="O32" s="560">
        <f>IF((N32=M32)=TRUE,0,1)</f>
        <v>0</v>
      </c>
      <c r="P32" s="896">
        <v>2</v>
      </c>
      <c r="Q32" s="896">
        <v>2</v>
      </c>
      <c r="R32" s="902">
        <f t="shared" si="0"/>
        <v>0</v>
      </c>
      <c r="S32" s="898">
        <f t="shared" si="1"/>
        <v>0</v>
      </c>
      <c r="T32" s="898">
        <f t="shared" si="2"/>
        <v>0</v>
      </c>
      <c r="U32" s="898">
        <f t="shared" si="3"/>
        <v>0</v>
      </c>
      <c r="V32" s="898">
        <f t="shared" si="4"/>
        <v>0</v>
      </c>
    </row>
    <row r="33" spans="1:24" s="886" customFormat="1" ht="17.25" customHeight="1">
      <c r="A33" s="887" t="s">
        <v>351</v>
      </c>
      <c r="B33" s="888" t="s">
        <v>352</v>
      </c>
      <c r="C33" s="889">
        <v>23</v>
      </c>
      <c r="D33" s="912" t="s">
        <v>102</v>
      </c>
      <c r="E33" s="890" t="s">
        <v>205</v>
      </c>
      <c r="F33" s="904" t="s">
        <v>400</v>
      </c>
      <c r="G33" s="892" t="s">
        <v>231</v>
      </c>
      <c r="H33" s="893">
        <v>4</v>
      </c>
      <c r="I33" s="892"/>
      <c r="J33" s="892"/>
      <c r="K33" s="892"/>
      <c r="L33" s="900"/>
      <c r="M33" s="901">
        <v>0</v>
      </c>
      <c r="N33" s="901">
        <v>0</v>
      </c>
      <c r="O33" s="560">
        <f>IF(AND(M33=0,N33&lt;&gt;0),1,IF(AND(M33=0,N33=0),0,N33/M33-1))</f>
        <v>0</v>
      </c>
      <c r="P33" s="896">
        <f>IF(N33&lt;=3,4,IF(N33&gt;5,0,2))</f>
        <v>4</v>
      </c>
      <c r="Q33" s="896">
        <v>4</v>
      </c>
      <c r="R33" s="902">
        <f t="shared" si="0"/>
        <v>0</v>
      </c>
      <c r="S33" s="898">
        <f t="shared" si="1"/>
        <v>0</v>
      </c>
      <c r="T33" s="898">
        <f t="shared" si="2"/>
        <v>0</v>
      </c>
      <c r="U33" s="898">
        <f t="shared" si="3"/>
        <v>0</v>
      </c>
      <c r="V33" s="898">
        <f t="shared" si="4"/>
        <v>0</v>
      </c>
    </row>
    <row r="34" spans="1:24" s="886" customFormat="1" ht="17.25" customHeight="1">
      <c r="A34" s="887" t="s">
        <v>353</v>
      </c>
      <c r="B34" s="888" t="s">
        <v>354</v>
      </c>
      <c r="C34" s="889">
        <v>24</v>
      </c>
      <c r="D34" s="912" t="s">
        <v>144</v>
      </c>
      <c r="E34" s="890" t="s">
        <v>1658</v>
      </c>
      <c r="F34" s="891" t="s">
        <v>396</v>
      </c>
      <c r="G34" s="892" t="s">
        <v>231</v>
      </c>
      <c r="H34" s="893">
        <v>3</v>
      </c>
      <c r="I34" s="892" t="s">
        <v>145</v>
      </c>
      <c r="J34" s="892" t="s">
        <v>146</v>
      </c>
      <c r="K34" s="892"/>
      <c r="L34" s="894"/>
      <c r="M34" s="913" t="s">
        <v>145</v>
      </c>
      <c r="N34" s="913" t="s">
        <v>145</v>
      </c>
      <c r="O34" s="560">
        <f>IF((N34=M34)=TRUE,0,1)</f>
        <v>0</v>
      </c>
      <c r="P34" s="896">
        <v>3</v>
      </c>
      <c r="Q34" s="896">
        <v>3</v>
      </c>
      <c r="R34" s="902">
        <f t="shared" si="0"/>
        <v>0</v>
      </c>
      <c r="S34" s="898">
        <f t="shared" si="1"/>
        <v>0</v>
      </c>
      <c r="T34" s="898">
        <f t="shared" si="2"/>
        <v>0</v>
      </c>
      <c r="U34" s="898">
        <f t="shared" si="3"/>
        <v>0</v>
      </c>
      <c r="V34" s="898">
        <f t="shared" si="4"/>
        <v>0</v>
      </c>
    </row>
    <row r="35" spans="1:24" s="886" customFormat="1" ht="17.25" customHeight="1">
      <c r="A35" s="921" t="s">
        <v>355</v>
      </c>
      <c r="B35" s="922" t="s">
        <v>356</v>
      </c>
      <c r="C35" s="889">
        <v>25</v>
      </c>
      <c r="D35" s="912" t="s">
        <v>147</v>
      </c>
      <c r="E35" s="890" t="s">
        <v>205</v>
      </c>
      <c r="F35" s="891" t="s">
        <v>396</v>
      </c>
      <c r="G35" s="892" t="s">
        <v>231</v>
      </c>
      <c r="H35" s="893">
        <v>3</v>
      </c>
      <c r="I35" s="892" t="s">
        <v>148</v>
      </c>
      <c r="J35" s="892" t="s">
        <v>149</v>
      </c>
      <c r="K35" s="892" t="s">
        <v>112</v>
      </c>
      <c r="L35" s="894"/>
      <c r="M35" s="913" t="s">
        <v>148</v>
      </c>
      <c r="N35" s="913" t="s">
        <v>148</v>
      </c>
      <c r="O35" s="560">
        <f>IF((N35=M35)=TRUE,0,1)</f>
        <v>0</v>
      </c>
      <c r="P35" s="896">
        <v>3</v>
      </c>
      <c r="Q35" s="896">
        <v>3</v>
      </c>
      <c r="R35" s="902">
        <f t="shared" si="0"/>
        <v>0</v>
      </c>
      <c r="S35" s="898">
        <f t="shared" si="1"/>
        <v>0</v>
      </c>
      <c r="T35" s="898">
        <f t="shared" si="2"/>
        <v>0</v>
      </c>
      <c r="U35" s="898">
        <f t="shared" si="3"/>
        <v>0</v>
      </c>
      <c r="V35" s="898">
        <f t="shared" si="4"/>
        <v>0</v>
      </c>
    </row>
    <row r="36" spans="1:24" s="886" customFormat="1" ht="17.25" customHeight="1">
      <c r="A36" s="887" t="s">
        <v>470</v>
      </c>
      <c r="B36" s="888" t="s">
        <v>1713</v>
      </c>
      <c r="C36" s="889">
        <v>26</v>
      </c>
      <c r="D36" s="912" t="s">
        <v>1712</v>
      </c>
      <c r="E36" s="903"/>
      <c r="F36" s="904" t="s">
        <v>400</v>
      </c>
      <c r="G36" s="892" t="s">
        <v>231</v>
      </c>
      <c r="H36" s="893">
        <v>3</v>
      </c>
      <c r="I36" s="892"/>
      <c r="J36" s="892"/>
      <c r="K36" s="892"/>
      <c r="L36" s="900"/>
      <c r="M36" s="923">
        <v>2.6042298939278114E-6</v>
      </c>
      <c r="N36" s="1199">
        <f>IF(N38=0,"",N37/N38)</f>
        <v>1.6325741162548514E-6</v>
      </c>
      <c r="O36" s="560">
        <f>IF(AND(M36=0,N36&lt;&gt;0),1,IF(AND(M36=0,N36=0),0,N36/M36-1))</f>
        <v>-0.37310675986729691</v>
      </c>
      <c r="P36" s="896">
        <f>IF(N36&lt;0.0001,3,0)</f>
        <v>3</v>
      </c>
      <c r="Q36" s="896">
        <f>IF(M36&lt;0.0001,3,0)</f>
        <v>3</v>
      </c>
      <c r="R36" s="902">
        <f t="shared" si="0"/>
        <v>0</v>
      </c>
      <c r="S36" s="898">
        <f t="shared" si="1"/>
        <v>0</v>
      </c>
      <c r="T36" s="898">
        <f t="shared" si="2"/>
        <v>0</v>
      </c>
      <c r="U36" s="898">
        <f t="shared" si="3"/>
        <v>0</v>
      </c>
      <c r="V36" s="898">
        <f t="shared" si="4"/>
        <v>0</v>
      </c>
    </row>
    <row r="37" spans="1:24" s="886" customFormat="1" ht="17.25" customHeight="1">
      <c r="A37" s="887"/>
      <c r="B37" s="888"/>
      <c r="C37" s="905">
        <v>26.1</v>
      </c>
      <c r="D37" s="906" t="s">
        <v>199</v>
      </c>
      <c r="E37" s="890" t="s">
        <v>205</v>
      </c>
      <c r="F37" s="907"/>
      <c r="G37" s="892"/>
      <c r="H37" s="896"/>
      <c r="I37" s="892"/>
      <c r="J37" s="892"/>
      <c r="K37" s="892"/>
      <c r="L37" s="900"/>
      <c r="M37" s="901">
        <v>9792</v>
      </c>
      <c r="N37" s="1470">
        <v>6340</v>
      </c>
      <c r="O37" s="560">
        <f>IF(AND(M37=0,N37&lt;&gt;0),1,IF(AND(M37=0,N37=0),0,N37/M37-1))</f>
        <v>-0.35253267973856206</v>
      </c>
      <c r="P37" s="896"/>
      <c r="Q37" s="896"/>
      <c r="R37" s="902">
        <f t="shared" si="0"/>
        <v>0</v>
      </c>
      <c r="S37" s="898">
        <f t="shared" si="1"/>
        <v>0</v>
      </c>
      <c r="T37" s="898">
        <f t="shared" si="2"/>
        <v>0</v>
      </c>
      <c r="U37" s="898">
        <f t="shared" si="3"/>
        <v>0</v>
      </c>
      <c r="V37" s="898">
        <f t="shared" si="4"/>
        <v>0</v>
      </c>
    </row>
    <row r="38" spans="1:24" s="886" customFormat="1" ht="17.25" customHeight="1">
      <c r="A38" s="887"/>
      <c r="B38" s="888"/>
      <c r="C38" s="905">
        <v>26.2</v>
      </c>
      <c r="D38" s="906" t="s">
        <v>150</v>
      </c>
      <c r="E38" s="890" t="s">
        <v>205</v>
      </c>
      <c r="F38" s="909"/>
      <c r="G38" s="892"/>
      <c r="H38" s="896"/>
      <c r="I38" s="892"/>
      <c r="J38" s="892"/>
      <c r="K38" s="892"/>
      <c r="L38" s="900"/>
      <c r="M38" s="924">
        <v>3760036709.0599999</v>
      </c>
      <c r="N38" s="1471">
        <v>3883437778.9500003</v>
      </c>
      <c r="O38" s="560">
        <f>IF(AND(M38=0,N38&lt;&gt;0),1,IF(AND(M38=0,N38=0),0,N38/M38-1))</f>
        <v>3.2819113066811179E-2</v>
      </c>
      <c r="P38" s="896"/>
      <c r="Q38" s="896"/>
      <c r="R38" s="902">
        <f t="shared" si="0"/>
        <v>0</v>
      </c>
      <c r="S38" s="898">
        <f t="shared" si="1"/>
        <v>0</v>
      </c>
      <c r="T38" s="898">
        <f t="shared" si="2"/>
        <v>0</v>
      </c>
      <c r="U38" s="898">
        <f t="shared" si="3"/>
        <v>0</v>
      </c>
      <c r="V38" s="898">
        <f t="shared" si="4"/>
        <v>0</v>
      </c>
    </row>
    <row r="39" spans="1:24" s="886" customFormat="1" ht="17.25" customHeight="1">
      <c r="A39" s="887" t="s">
        <v>357</v>
      </c>
      <c r="B39" s="888" t="s">
        <v>358</v>
      </c>
      <c r="C39" s="889">
        <v>27</v>
      </c>
      <c r="D39" s="912" t="s">
        <v>105</v>
      </c>
      <c r="E39" s="890" t="s">
        <v>205</v>
      </c>
      <c r="F39" s="891" t="s">
        <v>396</v>
      </c>
      <c r="G39" s="892" t="s">
        <v>231</v>
      </c>
      <c r="H39" s="893">
        <v>3</v>
      </c>
      <c r="I39" s="892" t="s">
        <v>151</v>
      </c>
      <c r="J39" s="892" t="s">
        <v>152</v>
      </c>
      <c r="K39" s="892"/>
      <c r="L39" s="900"/>
      <c r="M39" s="895" t="s">
        <v>151</v>
      </c>
      <c r="N39" s="895" t="s">
        <v>1993</v>
      </c>
      <c r="O39" s="560">
        <f>IF((N39=M39)=TRUE,0,1)</f>
        <v>0</v>
      </c>
      <c r="P39" s="896">
        <v>3</v>
      </c>
      <c r="Q39" s="896">
        <v>3</v>
      </c>
      <c r="R39" s="902">
        <f t="shared" si="0"/>
        <v>0</v>
      </c>
      <c r="S39" s="898">
        <f t="shared" si="1"/>
        <v>0</v>
      </c>
      <c r="T39" s="898">
        <f t="shared" si="2"/>
        <v>0</v>
      </c>
      <c r="U39" s="898">
        <f t="shared" si="3"/>
        <v>0</v>
      </c>
      <c r="V39" s="898">
        <f t="shared" si="4"/>
        <v>0</v>
      </c>
    </row>
    <row r="40" spans="1:24" s="886" customFormat="1" ht="17.25" customHeight="1">
      <c r="A40" s="887"/>
      <c r="B40" s="888"/>
      <c r="C40" s="925">
        <v>28</v>
      </c>
      <c r="D40" s="926" t="s">
        <v>107</v>
      </c>
      <c r="E40" s="916" t="s">
        <v>205</v>
      </c>
      <c r="F40" s="904" t="s">
        <v>396</v>
      </c>
      <c r="G40" s="927" t="s">
        <v>231</v>
      </c>
      <c r="H40" s="928">
        <v>2</v>
      </c>
      <c r="I40" s="927" t="s">
        <v>153</v>
      </c>
      <c r="J40" s="927" t="s">
        <v>154</v>
      </c>
      <c r="K40" s="927"/>
      <c r="L40" s="917"/>
      <c r="M40" s="929" t="s">
        <v>153</v>
      </c>
      <c r="N40" s="929" t="s">
        <v>153</v>
      </c>
      <c r="O40" s="561">
        <f>IF((N40=M40)=TRUE,0,1)</f>
        <v>0</v>
      </c>
      <c r="P40" s="896">
        <v>2</v>
      </c>
      <c r="Q40" s="896">
        <v>2</v>
      </c>
      <c r="R40" s="902">
        <f t="shared" si="0"/>
        <v>0</v>
      </c>
      <c r="S40" s="930">
        <f t="shared" si="1"/>
        <v>0</v>
      </c>
      <c r="T40" s="898">
        <f t="shared" si="2"/>
        <v>0</v>
      </c>
      <c r="U40" s="898">
        <f t="shared" si="3"/>
        <v>0</v>
      </c>
      <c r="V40" s="898">
        <f t="shared" si="4"/>
        <v>0</v>
      </c>
    </row>
    <row r="41" spans="1:24" s="886" customFormat="1" ht="17.25" customHeight="1">
      <c r="A41" s="887" t="s">
        <v>1454</v>
      </c>
      <c r="B41" s="931" t="s">
        <v>631</v>
      </c>
      <c r="C41" s="932">
        <v>29</v>
      </c>
      <c r="D41" s="912" t="s">
        <v>632</v>
      </c>
      <c r="E41" s="890"/>
      <c r="F41" s="891" t="s">
        <v>409</v>
      </c>
      <c r="G41" s="892" t="s">
        <v>230</v>
      </c>
      <c r="H41" s="893">
        <v>10</v>
      </c>
      <c r="I41" s="892"/>
      <c r="J41" s="892"/>
      <c r="K41" s="892"/>
      <c r="L41" s="933"/>
      <c r="M41" s="895">
        <v>0</v>
      </c>
      <c r="N41" s="895">
        <f>N17+N23+N29+N31+N19+N20</f>
        <v>0</v>
      </c>
      <c r="O41" s="1217"/>
      <c r="P41" s="896">
        <f>IF(N41=0,10,"行业水平评分")</f>
        <v>10</v>
      </c>
      <c r="Q41" s="896">
        <f>IF(M41=0,10,"行业水平评分")</f>
        <v>10</v>
      </c>
      <c r="R41" s="902">
        <f>0</f>
        <v>0</v>
      </c>
      <c r="S41" s="898">
        <f>IF(N41&lt;&gt;0,10,0)</f>
        <v>0</v>
      </c>
      <c r="T41" s="898">
        <f t="shared" si="2"/>
        <v>0</v>
      </c>
      <c r="U41" s="898">
        <f t="shared" si="3"/>
        <v>0</v>
      </c>
      <c r="V41" s="898">
        <f t="shared" si="4"/>
        <v>0</v>
      </c>
    </row>
    <row r="42" spans="1:24" ht="17.25" customHeight="1">
      <c r="A42" s="934"/>
      <c r="B42" s="935"/>
      <c r="C42" s="932"/>
      <c r="D42" s="936" t="s">
        <v>222</v>
      </c>
      <c r="E42" s="937"/>
      <c r="F42" s="938"/>
      <c r="G42" s="892"/>
      <c r="H42" s="939">
        <f>SUM(H4:H41)</f>
        <v>90</v>
      </c>
      <c r="I42" s="934"/>
      <c r="J42" s="934"/>
      <c r="K42" s="934"/>
      <c r="L42" s="940"/>
      <c r="M42" s="941"/>
      <c r="N42" s="901"/>
      <c r="O42" s="1201"/>
      <c r="P42" s="1262">
        <f>SUBTOTAL(9,P4:P41)</f>
        <v>81</v>
      </c>
      <c r="Q42" s="1262">
        <f>SUBTOTAL(9,Q4:Q41)</f>
        <v>84</v>
      </c>
      <c r="R42" s="942">
        <f>P42-Q42</f>
        <v>-3</v>
      </c>
      <c r="S42" s="1264">
        <f>SUM(S4:S41)</f>
        <v>9</v>
      </c>
      <c r="T42" s="1265">
        <f t="shared" si="2"/>
        <v>5.3999999999999995</v>
      </c>
      <c r="U42" s="1265">
        <f t="shared" si="3"/>
        <v>0.6</v>
      </c>
      <c r="V42" s="1265">
        <f t="shared" si="4"/>
        <v>0.3</v>
      </c>
    </row>
    <row r="43" spans="1:24" ht="17.25" customHeight="1">
      <c r="D43" s="945" t="s">
        <v>1548</v>
      </c>
      <c r="H43" s="893">
        <f>SUM(H4:H40)</f>
        <v>80</v>
      </c>
      <c r="P43" s="1263">
        <f>P42-P45</f>
        <v>71</v>
      </c>
      <c r="Q43" s="1263">
        <f>Q42-Q45</f>
        <v>74</v>
      </c>
      <c r="S43" s="1264">
        <f>SUM(S4:S40)</f>
        <v>9</v>
      </c>
      <c r="T43" s="1265">
        <f t="shared" si="2"/>
        <v>5.3999999999999995</v>
      </c>
      <c r="U43" s="1265">
        <f t="shared" si="3"/>
        <v>0.6</v>
      </c>
      <c r="V43" s="1265">
        <f t="shared" si="4"/>
        <v>0.3</v>
      </c>
      <c r="W43" s="945" t="s">
        <v>1475</v>
      </c>
      <c r="X43" s="945"/>
    </row>
    <row r="44" spans="1:24" ht="17.25" customHeight="1">
      <c r="D44" s="945" t="s">
        <v>1549</v>
      </c>
      <c r="H44" s="893">
        <f>H41</f>
        <v>10</v>
      </c>
      <c r="P44" s="1263">
        <f>0</f>
        <v>0</v>
      </c>
      <c r="Q44" s="1263">
        <f>0</f>
        <v>0</v>
      </c>
      <c r="S44" s="1264">
        <f>S41</f>
        <v>0</v>
      </c>
      <c r="T44" s="1265">
        <f t="shared" si="2"/>
        <v>0</v>
      </c>
      <c r="U44" s="1265">
        <f t="shared" si="3"/>
        <v>0</v>
      </c>
      <c r="V44" s="1265">
        <f t="shared" si="4"/>
        <v>0</v>
      </c>
      <c r="W44" s="945" t="s">
        <v>1550</v>
      </c>
      <c r="X44" s="945"/>
    </row>
    <row r="45" spans="1:24" ht="17.25" customHeight="1">
      <c r="D45" s="945" t="s">
        <v>458</v>
      </c>
      <c r="P45" s="1263">
        <f>IF(P41=10,10,0)</f>
        <v>10</v>
      </c>
      <c r="Q45" s="1263">
        <f>IF(Q41=10,10,0)</f>
        <v>10</v>
      </c>
    </row>
    <row r="46" spans="1:24" ht="17.25" customHeight="1">
      <c r="D46" s="945" t="s">
        <v>460</v>
      </c>
      <c r="P46" s="1263">
        <f>10-P45</f>
        <v>0</v>
      </c>
      <c r="Q46" s="1263">
        <f>10-Q45</f>
        <v>0</v>
      </c>
    </row>
    <row r="47" spans="1:24" ht="17.25" customHeight="1">
      <c r="D47" s="945" t="s">
        <v>459</v>
      </c>
      <c r="H47" s="939">
        <v>10</v>
      </c>
      <c r="P47" s="1263">
        <v>10</v>
      </c>
      <c r="Q47" s="1263">
        <v>10</v>
      </c>
    </row>
    <row r="48" spans="1:24" ht="17.25" customHeight="1">
      <c r="D48" s="945" t="s">
        <v>461</v>
      </c>
      <c r="P48" s="1263">
        <f>100-SUM(P43:P44)-P47</f>
        <v>19</v>
      </c>
      <c r="Q48" s="1263">
        <f>100-SUM(Q43:Q44)-Q47</f>
        <v>16</v>
      </c>
    </row>
    <row r="49" spans="1:12" ht="17.25" customHeight="1">
      <c r="A49" s="949"/>
      <c r="B49" s="951"/>
      <c r="H49" s="952"/>
      <c r="L49" s="953"/>
    </row>
    <row r="50" spans="1:12" ht="17.25" customHeight="1">
      <c r="A50" s="949"/>
      <c r="B50" s="951"/>
      <c r="H50" s="952"/>
      <c r="L50" s="953"/>
    </row>
    <row r="51" spans="1:12" ht="17.25" customHeight="1">
      <c r="A51" s="949"/>
      <c r="B51" s="951"/>
      <c r="H51" s="952"/>
      <c r="L51" s="953"/>
    </row>
    <row r="52" spans="1:12" ht="17.25" customHeight="1">
      <c r="A52" s="949"/>
      <c r="B52" s="951"/>
      <c r="D52" s="954" t="s">
        <v>1592</v>
      </c>
      <c r="H52" s="952"/>
      <c r="L52" s="953"/>
    </row>
    <row r="53" spans="1:12" ht="17.25" customHeight="1">
      <c r="A53" s="949"/>
      <c r="B53" s="951"/>
      <c r="D53" s="955" t="s">
        <v>1636</v>
      </c>
      <c r="H53" s="952"/>
      <c r="L53" s="953"/>
    </row>
    <row r="54" spans="1:12" ht="17.25" customHeight="1">
      <c r="A54" s="949"/>
      <c r="B54" s="951"/>
      <c r="D54" s="949"/>
      <c r="H54" s="952"/>
      <c r="L54" s="953"/>
    </row>
    <row r="55" spans="1:12" ht="17.25" customHeight="1">
      <c r="A55" s="949"/>
      <c r="B55" s="951"/>
      <c r="D55" s="949"/>
      <c r="H55" s="952"/>
      <c r="L55" s="953"/>
    </row>
    <row r="56" spans="1:12" ht="17.25" customHeight="1">
      <c r="A56" s="949"/>
      <c r="B56" s="951"/>
      <c r="D56" s="949"/>
      <c r="H56" s="952"/>
      <c r="L56" s="953"/>
    </row>
    <row r="57" spans="1:12" ht="17.25" customHeight="1">
      <c r="A57" s="949"/>
      <c r="B57" s="951"/>
      <c r="D57" s="949"/>
      <c r="H57" s="952"/>
      <c r="L57" s="953"/>
    </row>
    <row r="58" spans="1:12" ht="17.25" customHeight="1">
      <c r="A58" s="949"/>
      <c r="B58" s="951"/>
      <c r="D58" s="949"/>
      <c r="H58" s="952"/>
      <c r="L58" s="953"/>
    </row>
    <row r="59" spans="1:12" ht="17.25" customHeight="1">
      <c r="A59" s="949"/>
      <c r="B59" s="951"/>
      <c r="D59" s="949"/>
      <c r="H59" s="952"/>
      <c r="L59" s="953"/>
    </row>
    <row r="60" spans="1:12" ht="17.25" customHeight="1">
      <c r="A60" s="949"/>
      <c r="B60" s="951"/>
      <c r="D60" s="949"/>
      <c r="H60" s="952"/>
      <c r="L60" s="953"/>
    </row>
    <row r="61" spans="1:12" ht="17.25" customHeight="1">
      <c r="A61" s="949"/>
      <c r="B61" s="951"/>
      <c r="D61" s="949"/>
      <c r="H61" s="952"/>
      <c r="L61" s="953"/>
    </row>
    <row r="62" spans="1:12" ht="17.25" customHeight="1">
      <c r="A62" s="949"/>
      <c r="B62" s="951"/>
      <c r="D62" s="949"/>
      <c r="H62" s="952"/>
      <c r="L62" s="953"/>
    </row>
    <row r="63" spans="1:12" ht="17.25" customHeight="1">
      <c r="A63" s="949"/>
      <c r="B63" s="951"/>
      <c r="D63" s="949"/>
      <c r="H63" s="952"/>
      <c r="L63" s="953"/>
    </row>
    <row r="64" spans="1:12" ht="17.25" customHeight="1">
      <c r="A64" s="949"/>
      <c r="B64" s="951"/>
      <c r="D64" s="949"/>
      <c r="H64" s="952"/>
      <c r="L64" s="953"/>
    </row>
    <row r="65" spans="1:12" ht="17.25" customHeight="1">
      <c r="A65" s="949"/>
      <c r="B65" s="951"/>
      <c r="D65" s="949"/>
      <c r="H65" s="952"/>
      <c r="L65" s="953"/>
    </row>
    <row r="66" spans="1:12" ht="17.25" customHeight="1">
      <c r="A66" s="949"/>
      <c r="B66" s="951"/>
      <c r="D66" s="949"/>
      <c r="H66" s="952"/>
      <c r="L66" s="953"/>
    </row>
    <row r="67" spans="1:12" ht="17.25" customHeight="1">
      <c r="A67" s="949"/>
      <c r="B67" s="951"/>
      <c r="D67" s="949"/>
      <c r="H67" s="952"/>
      <c r="L67" s="953"/>
    </row>
    <row r="68" spans="1:12" ht="17.25" customHeight="1">
      <c r="A68" s="949"/>
      <c r="B68" s="951"/>
      <c r="D68" s="949"/>
      <c r="H68" s="952"/>
      <c r="L68" s="953"/>
    </row>
    <row r="69" spans="1:12" ht="17.25" customHeight="1">
      <c r="A69" s="949"/>
      <c r="B69" s="951"/>
      <c r="D69" s="949"/>
      <c r="H69" s="952"/>
      <c r="L69" s="953"/>
    </row>
    <row r="70" spans="1:12" ht="17.25" customHeight="1">
      <c r="A70" s="949"/>
      <c r="B70" s="951"/>
      <c r="D70" s="949"/>
      <c r="H70" s="952"/>
      <c r="L70" s="953"/>
    </row>
    <row r="71" spans="1:12" ht="17.25" customHeight="1">
      <c r="A71" s="949"/>
      <c r="B71" s="951"/>
      <c r="D71" s="949"/>
      <c r="H71" s="952"/>
      <c r="L71" s="953"/>
    </row>
    <row r="72" spans="1:12" ht="17.25" customHeight="1">
      <c r="A72" s="949"/>
      <c r="B72" s="951"/>
      <c r="D72" s="949"/>
      <c r="H72" s="952"/>
      <c r="L72" s="953"/>
    </row>
    <row r="73" spans="1:12" ht="17.25" customHeight="1">
      <c r="A73" s="949"/>
      <c r="B73" s="951"/>
      <c r="D73" s="949"/>
      <c r="H73" s="952"/>
      <c r="L73" s="953"/>
    </row>
    <row r="74" spans="1:12" ht="17.25" customHeight="1">
      <c r="A74" s="949"/>
      <c r="B74" s="951"/>
      <c r="D74" s="949"/>
      <c r="H74" s="952"/>
      <c r="L74" s="953"/>
    </row>
    <row r="75" spans="1:12" ht="17.25" customHeight="1">
      <c r="A75" s="949"/>
      <c r="B75" s="951"/>
      <c r="D75" s="949"/>
      <c r="H75" s="952"/>
      <c r="L75" s="953"/>
    </row>
    <row r="76" spans="1:12" ht="17.25" customHeight="1">
      <c r="A76" s="949"/>
      <c r="B76" s="951"/>
      <c r="D76" s="949"/>
      <c r="H76" s="952"/>
      <c r="L76" s="953"/>
    </row>
    <row r="77" spans="1:12" ht="17.25" customHeight="1">
      <c r="A77" s="949"/>
      <c r="B77" s="951"/>
      <c r="D77" s="949"/>
      <c r="H77" s="952"/>
      <c r="L77" s="953"/>
    </row>
    <row r="78" spans="1:12" ht="17.25" customHeight="1">
      <c r="A78" s="949"/>
      <c r="B78" s="951"/>
      <c r="D78" s="949"/>
      <c r="H78" s="952"/>
      <c r="L78" s="953"/>
    </row>
    <row r="79" spans="1:12" ht="17.25" customHeight="1">
      <c r="A79" s="949"/>
      <c r="B79" s="951"/>
      <c r="D79" s="949"/>
      <c r="H79" s="952"/>
      <c r="L79" s="953"/>
    </row>
    <row r="80" spans="1:12" ht="17.25" customHeight="1">
      <c r="A80" s="949"/>
      <c r="B80" s="951"/>
      <c r="D80" s="949"/>
      <c r="H80" s="952"/>
      <c r="L80" s="953"/>
    </row>
    <row r="81" spans="1:12" ht="17.25" customHeight="1">
      <c r="A81" s="949"/>
      <c r="B81" s="951"/>
      <c r="D81" s="949"/>
      <c r="H81" s="952"/>
      <c r="L81" s="953"/>
    </row>
    <row r="82" spans="1:12" ht="17.25" customHeight="1">
      <c r="A82" s="949"/>
      <c r="B82" s="951"/>
      <c r="D82" s="949"/>
      <c r="H82" s="952"/>
      <c r="L82" s="953"/>
    </row>
    <row r="83" spans="1:12" ht="17.25" customHeight="1">
      <c r="A83" s="949"/>
      <c r="B83" s="951"/>
      <c r="D83" s="949"/>
      <c r="H83" s="952"/>
      <c r="L83" s="953"/>
    </row>
    <row r="84" spans="1:12" ht="17.25" customHeight="1">
      <c r="A84" s="949"/>
      <c r="B84" s="951"/>
      <c r="D84" s="949"/>
      <c r="H84" s="952"/>
      <c r="L84" s="953"/>
    </row>
    <row r="85" spans="1:12" ht="17.25" customHeight="1">
      <c r="A85" s="949"/>
      <c r="B85" s="951"/>
      <c r="D85" s="949"/>
      <c r="H85" s="952"/>
      <c r="L85" s="953"/>
    </row>
  </sheetData>
  <autoFilter ref="A3:X48">
    <filterColumn colId="4">
      <customFilters>
        <customFilter operator="notEqual" val=" "/>
      </customFilters>
    </filterColumn>
  </autoFilter>
  <mergeCells count="2">
    <mergeCell ref="A7:A10"/>
    <mergeCell ref="B7:B10"/>
  </mergeCells>
  <phoneticPr fontId="12" type="noConversion"/>
  <conditionalFormatting sqref="O4:O40">
    <cfRule type="cellIs" dxfId="108" priority="27" stopIfTrue="1" operator="lessThanOrEqual">
      <formula>-0.3</formula>
    </cfRule>
    <cfRule type="cellIs" dxfId="107" priority="28" stopIfTrue="1" operator="greaterThanOrEqual">
      <formula>0.3</formula>
    </cfRule>
  </conditionalFormatting>
  <conditionalFormatting sqref="P36:Q36">
    <cfRule type="cellIs" dxfId="106" priority="25" operator="notEqual">
      <formula>3</formula>
    </cfRule>
  </conditionalFormatting>
  <conditionalFormatting sqref="S4:V41">
    <cfRule type="expression" dxfId="105" priority="23">
      <formula>S4&lt;&gt;0</formula>
    </cfRule>
  </conditionalFormatting>
  <conditionalFormatting sqref="P4">
    <cfRule type="expression" dxfId="104" priority="20">
      <formula>P4&lt;&gt;H4</formula>
    </cfRule>
  </conditionalFormatting>
  <conditionalFormatting sqref="P5:P10">
    <cfRule type="expression" dxfId="103" priority="19">
      <formula>P5&lt;&gt;H5</formula>
    </cfRule>
  </conditionalFormatting>
  <conditionalFormatting sqref="P5:P41">
    <cfRule type="expression" dxfId="102" priority="18">
      <formula>P5&lt;&gt;H5</formula>
    </cfRule>
  </conditionalFormatting>
  <conditionalFormatting sqref="Q4">
    <cfRule type="expression" dxfId="101" priority="17">
      <formula>Q4&lt;&gt;H4</formula>
    </cfRule>
  </conditionalFormatting>
  <conditionalFormatting sqref="Q5:Q23">
    <cfRule type="expression" dxfId="100" priority="16">
      <formula>Q5&lt;&gt;H5</formula>
    </cfRule>
  </conditionalFormatting>
  <conditionalFormatting sqref="Q20:Q41">
    <cfRule type="expression" dxfId="99" priority="15">
      <formula>Q20&lt;&gt;H20</formula>
    </cfRule>
  </conditionalFormatting>
  <conditionalFormatting sqref="R4:R41">
    <cfRule type="expression" dxfId="98" priority="14">
      <formula>R4&lt;0</formula>
    </cfRule>
  </conditionalFormatting>
  <conditionalFormatting sqref="R4:R41">
    <cfRule type="cellIs" dxfId="97" priority="11" stopIfTrue="1" operator="lessThan">
      <formula>0</formula>
    </cfRule>
    <cfRule type="cellIs" dxfId="96" priority="12" operator="greaterThan">
      <formula>0</formula>
    </cfRule>
  </conditionalFormatting>
  <dataValidations count="14">
    <dataValidation type="list" allowBlank="1" showInputMessage="1" showErrorMessage="1" sqref="H5 M5:N5">
      <formula1>"是,否"</formula1>
    </dataValidation>
    <dataValidation type="list" allowBlank="1" showInputMessage="1" showErrorMessage="1" sqref="L4:N4">
      <formula1>$I$4:$K$4</formula1>
    </dataValidation>
    <dataValidation type="list" allowBlank="1" showInputMessage="1" showErrorMessage="1" sqref="L30">
      <formula1>$I$30:$K$30</formula1>
    </dataValidation>
    <dataValidation type="list" allowBlank="1" showInputMessage="1" showErrorMessage="1" sqref="L32">
      <formula1>$I$32:$J$32</formula1>
    </dataValidation>
    <dataValidation type="list" allowBlank="1" showInputMessage="1" showErrorMessage="1" sqref="L34">
      <formula1>$I$34:$J$34</formula1>
    </dataValidation>
    <dataValidation type="list" allowBlank="1" showInputMessage="1" showErrorMessage="1" sqref="L35">
      <formula1>$I$35:$K$35</formula1>
    </dataValidation>
    <dataValidation type="list" allowBlank="1" showInputMessage="1" showErrorMessage="1" sqref="L18">
      <formula1>$M$18:$M$18</formula1>
    </dataValidation>
    <dataValidation type="list" allowBlank="1" showInputMessage="1" showErrorMessage="1" sqref="L16">
      <formula1>$M$16:$M$16</formula1>
    </dataValidation>
    <dataValidation type="list" allowBlank="1" showInputMessage="1" showErrorMessage="1" sqref="L15">
      <formula1>$M$15:$M$15</formula1>
    </dataValidation>
    <dataValidation type="list" allowBlank="1" showInputMessage="1" showErrorMessage="1" sqref="L14">
      <formula1>$M$14:$M$14</formula1>
    </dataValidation>
    <dataValidation type="list" allowBlank="1" showInputMessage="1" showErrorMessage="1" sqref="L28">
      <formula1>$M$28:$M$28</formula1>
    </dataValidation>
    <dataValidation type="list" allowBlank="1" showInputMessage="1" showErrorMessage="1" sqref="L24">
      <formula1>$M$24:$M$24</formula1>
    </dataValidation>
    <dataValidation type="list" allowBlank="1" showInputMessage="1" showErrorMessage="1" sqref="L22">
      <formula1>$M$22:$M$22</formula1>
    </dataValidation>
    <dataValidation type="list" allowBlank="1" showInputMessage="1" showErrorMessage="1" sqref="L21">
      <formula1>$M$21:$M$21</formula1>
    </dataValidation>
  </dataValidations>
  <hyperlinks>
    <hyperlink ref="D52" location="权重!A1" display="权重!A1"/>
    <hyperlink ref="D53" location="目录!A1" display="目录!A1"/>
  </hyperlinks>
  <pageMargins left="0.7" right="0.7" top="0.75" bottom="0.75" header="0.3" footer="0.3"/>
  <pageSetup paperSize="9" orientation="portrait" horizontalDpi="4294967295" verticalDpi="4294967295"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6"/>
  </sheetPr>
  <dimension ref="A1:AD169"/>
  <sheetViews>
    <sheetView workbookViewId="0">
      <pane xSplit="8" ySplit="3" topLeftCell="J4" activePane="bottomRight" state="frozenSplit"/>
      <selection activeCell="A3" sqref="A3:B3"/>
      <selection pane="topRight" activeCell="A3" sqref="A3:B3"/>
      <selection pane="bottomLeft" activeCell="A3" sqref="A3:B3"/>
      <selection pane="bottomRight" activeCell="D6" sqref="D5:D6"/>
    </sheetView>
  </sheetViews>
  <sheetFormatPr defaultColWidth="8.875" defaultRowHeight="16.5" outlineLevelCol="1"/>
  <cols>
    <col min="1" max="2" width="20.75" style="353" hidden="1" customWidth="1" outlineLevel="1"/>
    <col min="3" max="3" width="4.625" style="518" customWidth="1" collapsed="1"/>
    <col min="4" max="4" width="41.375" style="353" customWidth="1"/>
    <col min="5" max="5" width="12.5" style="356" customWidth="1"/>
    <col min="6" max="6" width="11.5" style="540" hidden="1" customWidth="1" outlineLevel="1"/>
    <col min="7" max="7" width="10.5" style="353" hidden="1" customWidth="1" outlineLevel="1"/>
    <col min="8" max="8" width="9" style="353" customWidth="1" collapsed="1"/>
    <col min="9" max="9" width="13.875" style="353" hidden="1" customWidth="1"/>
    <col min="10" max="10" width="9.625" style="538" customWidth="1" collapsed="1"/>
    <col min="11" max="11" width="9.25" style="538" customWidth="1"/>
    <col min="12" max="12" width="9.25" style="562" customWidth="1"/>
    <col min="13" max="14" width="10.625" style="353" customWidth="1"/>
    <col min="15" max="15" width="11.75" style="366" customWidth="1"/>
    <col min="16" max="16" width="7.875" style="353" bestFit="1" customWidth="1"/>
    <col min="17" max="17" width="7.75" style="353" customWidth="1"/>
    <col min="18" max="19" width="11.25" style="353" customWidth="1"/>
    <col min="20" max="20" width="14.875" style="353" customWidth="1"/>
    <col min="21" max="21" width="72.125" style="353" bestFit="1" customWidth="1"/>
    <col min="22" max="22" width="5.625" style="353" bestFit="1" customWidth="1"/>
    <col min="23" max="23" width="7.75" style="353" customWidth="1"/>
    <col min="24" max="25" width="8.875" style="543" hidden="1" customWidth="1" outlineLevel="1"/>
    <col min="26" max="26" width="8.875" style="566" hidden="1" customWidth="1" outlineLevel="1"/>
    <col min="27" max="28" width="8.875" style="543" hidden="1" customWidth="1" outlineLevel="1"/>
    <col min="29" max="29" width="8.875" style="566" hidden="1" customWidth="1" outlineLevel="1"/>
    <col min="30" max="30" width="8.875" style="353" collapsed="1"/>
    <col min="31" max="16384" width="8.875" style="353"/>
  </cols>
  <sheetData>
    <row r="1" spans="1:29">
      <c r="A1" s="541"/>
      <c r="B1" s="541"/>
      <c r="C1" s="563" t="s">
        <v>184</v>
      </c>
      <c r="D1" s="542"/>
      <c r="F1" s="364"/>
      <c r="G1" s="564"/>
      <c r="I1" s="565"/>
      <c r="J1" s="364"/>
      <c r="K1" s="364"/>
      <c r="L1" s="558"/>
      <c r="M1" s="565"/>
      <c r="Y1" s="543" t="s">
        <v>1404</v>
      </c>
      <c r="AB1" s="543" t="s">
        <v>1391</v>
      </c>
    </row>
    <row r="2" spans="1:29">
      <c r="A2" s="544"/>
      <c r="B2" s="544"/>
      <c r="C2" s="567"/>
      <c r="D2" s="545"/>
      <c r="F2" s="567"/>
      <c r="I2" s="565"/>
      <c r="J2" s="364"/>
      <c r="K2" s="364"/>
      <c r="L2" s="558"/>
      <c r="M2" s="565"/>
      <c r="N2" s="346" t="s">
        <v>1637</v>
      </c>
      <c r="Y2" s="543" t="s">
        <v>1078</v>
      </c>
      <c r="AB2" s="543" t="s">
        <v>1078</v>
      </c>
    </row>
    <row r="3" spans="1:29" s="356" customFormat="1" ht="15">
      <c r="A3" s="341" t="s">
        <v>392</v>
      </c>
      <c r="B3" s="341" t="s">
        <v>393</v>
      </c>
      <c r="C3" s="546" t="s">
        <v>183</v>
      </c>
      <c r="D3" s="513" t="s">
        <v>182</v>
      </c>
      <c r="E3" s="513" t="s">
        <v>1467</v>
      </c>
      <c r="F3" s="513" t="s">
        <v>391</v>
      </c>
      <c r="G3" s="513" t="s">
        <v>646</v>
      </c>
      <c r="H3" s="513" t="s">
        <v>485</v>
      </c>
      <c r="I3" s="513" t="s">
        <v>1095</v>
      </c>
      <c r="J3" s="586" t="s">
        <v>2177</v>
      </c>
      <c r="K3" s="587" t="s">
        <v>2428</v>
      </c>
      <c r="L3" s="559" t="s">
        <v>1542</v>
      </c>
      <c r="M3" s="587" t="s">
        <v>2434</v>
      </c>
      <c r="N3" s="586" t="s">
        <v>2178</v>
      </c>
      <c r="O3" s="513" t="s">
        <v>1097</v>
      </c>
      <c r="P3" s="513" t="s">
        <v>462</v>
      </c>
      <c r="Q3" s="515" t="s">
        <v>1590</v>
      </c>
      <c r="R3" s="515" t="s">
        <v>1591</v>
      </c>
      <c r="S3" s="588" t="s">
        <v>2381</v>
      </c>
      <c r="X3" s="378"/>
      <c r="Y3" s="378" t="s">
        <v>1389</v>
      </c>
      <c r="Z3" s="385" t="s">
        <v>1388</v>
      </c>
      <c r="AA3" s="378"/>
      <c r="AB3" s="378" t="s">
        <v>1389</v>
      </c>
      <c r="AC3" s="385" t="s">
        <v>1388</v>
      </c>
    </row>
    <row r="4" spans="1:29" s="356" customFormat="1" ht="14.25">
      <c r="A4" s="1762" t="s">
        <v>2141</v>
      </c>
      <c r="B4" s="1762" t="s">
        <v>359</v>
      </c>
      <c r="C4" s="548">
        <v>1</v>
      </c>
      <c r="D4" s="1323" t="s">
        <v>155</v>
      </c>
      <c r="E4" s="516"/>
      <c r="F4" s="568" t="s">
        <v>402</v>
      </c>
      <c r="G4" s="523" t="s">
        <v>230</v>
      </c>
      <c r="H4" s="381">
        <v>8</v>
      </c>
      <c r="I4" s="361"/>
      <c r="J4" s="22">
        <v>0.75</v>
      </c>
      <c r="K4" s="22">
        <f>K5/K6</f>
        <v>0.66666666666666663</v>
      </c>
      <c r="L4" s="560">
        <f t="shared" ref="L4:L18" si="0">IF(AND(J4=0,K4&lt;&gt;0),1,IF(AND(J4=0,K4=0),0,K4/J4-1))</f>
        <v>-0.11111111111111116</v>
      </c>
      <c r="M4" s="594" t="s">
        <v>2405</v>
      </c>
      <c r="N4" s="523" t="s">
        <v>230</v>
      </c>
      <c r="O4" s="362" t="str">
        <f>"行业水平评分"</f>
        <v>行业水平评分</v>
      </c>
      <c r="P4" s="569">
        <f>H4</f>
        <v>8</v>
      </c>
      <c r="Q4" s="440">
        <f>P4*100%</f>
        <v>8</v>
      </c>
      <c r="R4" s="440">
        <f>Q4/9*2</f>
        <v>1.7777777777777777</v>
      </c>
      <c r="S4" s="440">
        <f>R4/2</f>
        <v>0.88888888888888884</v>
      </c>
      <c r="T4" s="424"/>
      <c r="U4" s="424"/>
      <c r="V4" s="424"/>
      <c r="W4" s="557"/>
      <c r="X4" s="378"/>
      <c r="Y4" s="385">
        <v>0.5</v>
      </c>
      <c r="Z4" s="385">
        <f>K4*H4</f>
        <v>5.333333333333333</v>
      </c>
      <c r="AA4" s="378"/>
      <c r="AB4" s="385">
        <v>0.5</v>
      </c>
      <c r="AC4" s="385">
        <f>J4*H4</f>
        <v>6</v>
      </c>
    </row>
    <row r="5" spans="1:29" s="356" customFormat="1" ht="15.6" customHeight="1">
      <c r="A5" s="1762"/>
      <c r="B5" s="1762"/>
      <c r="C5" s="550">
        <v>1.1000000000000001</v>
      </c>
      <c r="D5" s="1496" t="s">
        <v>156</v>
      </c>
      <c r="E5" s="516" t="s">
        <v>207</v>
      </c>
      <c r="F5" s="571"/>
      <c r="G5" s="523"/>
      <c r="H5" s="362"/>
      <c r="I5" s="361" t="s">
        <v>210</v>
      </c>
      <c r="J5" s="384">
        <v>3</v>
      </c>
      <c r="K5" s="384">
        <v>4</v>
      </c>
      <c r="L5" s="560">
        <f t="shared" si="0"/>
        <v>0.33333333333333326</v>
      </c>
      <c r="M5" s="362" t="s">
        <v>2451</v>
      </c>
      <c r="N5" s="361"/>
      <c r="O5" s="390" t="e">
        <f>M5-N5</f>
        <v>#VALUE!</v>
      </c>
      <c r="P5" s="569">
        <f>H5-N5</f>
        <v>0</v>
      </c>
      <c r="Q5" s="440">
        <f t="shared" ref="Q5:Q21" si="1">P5*100%</f>
        <v>0</v>
      </c>
      <c r="R5" s="440">
        <f t="shared" ref="R5:R21" si="2">Q5/9*2</f>
        <v>0</v>
      </c>
      <c r="S5" s="440">
        <f t="shared" ref="S5:S21" si="3">R5/2</f>
        <v>0</v>
      </c>
      <c r="T5" s="424"/>
      <c r="U5" s="424"/>
      <c r="V5" s="424"/>
      <c r="W5" s="557"/>
      <c r="X5" s="378"/>
      <c r="Y5" s="385"/>
      <c r="Z5" s="385"/>
      <c r="AA5" s="378"/>
      <c r="AB5" s="385"/>
      <c r="AC5" s="385"/>
    </row>
    <row r="6" spans="1:29" s="356" customFormat="1" ht="15.6" customHeight="1">
      <c r="A6" s="1762"/>
      <c r="B6" s="1762"/>
      <c r="C6" s="550">
        <v>1.2</v>
      </c>
      <c r="D6" s="387" t="s">
        <v>157</v>
      </c>
      <c r="E6" s="516" t="s">
        <v>207</v>
      </c>
      <c r="F6" s="572"/>
      <c r="G6" s="523"/>
      <c r="H6" s="362"/>
      <c r="I6" s="361" t="s">
        <v>210</v>
      </c>
      <c r="J6" s="384">
        <v>4</v>
      </c>
      <c r="K6" s="384">
        <v>6</v>
      </c>
      <c r="L6" s="560">
        <f t="shared" si="0"/>
        <v>0.5</v>
      </c>
      <c r="M6" s="362"/>
      <c r="N6" s="361"/>
      <c r="O6" s="390">
        <f>M6-N6</f>
        <v>0</v>
      </c>
      <c r="P6" s="569">
        <f>H6-N6</f>
        <v>0</v>
      </c>
      <c r="Q6" s="440">
        <f t="shared" si="1"/>
        <v>0</v>
      </c>
      <c r="R6" s="440">
        <f t="shared" si="2"/>
        <v>0</v>
      </c>
      <c r="S6" s="440">
        <f t="shared" si="3"/>
        <v>0</v>
      </c>
      <c r="T6" s="424"/>
      <c r="U6" s="424"/>
      <c r="V6" s="424"/>
      <c r="W6" s="557"/>
      <c r="X6" s="378"/>
      <c r="Y6" s="385"/>
      <c r="Z6" s="385"/>
      <c r="AA6" s="378"/>
      <c r="AB6" s="385"/>
      <c r="AC6" s="385"/>
    </row>
    <row r="7" spans="1:29" s="356" customFormat="1" ht="15.6" customHeight="1">
      <c r="A7" s="547" t="s">
        <v>2142</v>
      </c>
      <c r="B7" s="547" t="s">
        <v>360</v>
      </c>
      <c r="C7" s="548">
        <v>2</v>
      </c>
      <c r="D7" s="1323" t="s">
        <v>158</v>
      </c>
      <c r="E7" s="516" t="s">
        <v>207</v>
      </c>
      <c r="F7" s="568" t="s">
        <v>402</v>
      </c>
      <c r="G7" s="523" t="s">
        <v>230</v>
      </c>
      <c r="H7" s="381">
        <v>9</v>
      </c>
      <c r="I7" s="361" t="s">
        <v>210</v>
      </c>
      <c r="J7" s="477">
        <v>7.61</v>
      </c>
      <c r="K7" s="477">
        <v>7.86</v>
      </c>
      <c r="L7" s="560">
        <f t="shared" si="0"/>
        <v>3.2851511169513792E-2</v>
      </c>
      <c r="M7" s="342" t="s">
        <v>226</v>
      </c>
      <c r="N7" s="342" t="s">
        <v>226</v>
      </c>
      <c r="O7" s="362" t="str">
        <f>"行业水平评分"</f>
        <v>行业水平评分</v>
      </c>
      <c r="P7" s="569">
        <f>H7</f>
        <v>9</v>
      </c>
      <c r="Q7" s="440">
        <f t="shared" si="1"/>
        <v>9</v>
      </c>
      <c r="R7" s="440">
        <f t="shared" si="2"/>
        <v>2</v>
      </c>
      <c r="S7" s="440">
        <f t="shared" si="3"/>
        <v>1</v>
      </c>
      <c r="T7" s="424"/>
      <c r="U7" s="424"/>
      <c r="V7" s="424"/>
      <c r="W7" s="557"/>
      <c r="X7" s="378"/>
      <c r="Y7" s="385">
        <v>0</v>
      </c>
      <c r="Z7" s="385">
        <v>0</v>
      </c>
      <c r="AA7" s="378"/>
      <c r="AB7" s="385">
        <v>0</v>
      </c>
      <c r="AC7" s="385">
        <v>0</v>
      </c>
    </row>
    <row r="8" spans="1:29" s="356" customFormat="1" ht="40.5">
      <c r="A8" s="551" t="s">
        <v>2080</v>
      </c>
      <c r="B8" s="551" t="s">
        <v>361</v>
      </c>
      <c r="C8" s="548">
        <v>3</v>
      </c>
      <c r="D8" s="392" t="s">
        <v>1698</v>
      </c>
      <c r="E8" s="516" t="s">
        <v>207</v>
      </c>
      <c r="F8" s="573" t="s">
        <v>403</v>
      </c>
      <c r="G8" s="523" t="s">
        <v>231</v>
      </c>
      <c r="H8" s="381">
        <v>9</v>
      </c>
      <c r="I8" s="523" t="s">
        <v>642</v>
      </c>
      <c r="J8" s="384">
        <v>0</v>
      </c>
      <c r="K8" s="384">
        <v>0</v>
      </c>
      <c r="L8" s="560">
        <f t="shared" si="0"/>
        <v>0</v>
      </c>
      <c r="M8" s="1171">
        <f>IF(K8=0,9,IF(K8=1,5,IF(K8=2,1,0)))</f>
        <v>9</v>
      </c>
      <c r="N8" s="1172">
        <f>IF(J8=0,9,IF(J8=1,5,IF(J8=2,1,0)))</f>
        <v>9</v>
      </c>
      <c r="O8" s="390">
        <f>M8-N8</f>
        <v>0</v>
      </c>
      <c r="P8" s="569">
        <f>H8-M8</f>
        <v>0</v>
      </c>
      <c r="Q8" s="440">
        <f t="shared" si="1"/>
        <v>0</v>
      </c>
      <c r="R8" s="440">
        <f t="shared" si="2"/>
        <v>0</v>
      </c>
      <c r="S8" s="440">
        <f t="shared" si="3"/>
        <v>0</v>
      </c>
      <c r="T8" s="424"/>
      <c r="U8" s="424"/>
      <c r="V8" s="424"/>
      <c r="W8" s="557"/>
      <c r="X8" s="378"/>
      <c r="Y8" s="385">
        <v>0</v>
      </c>
      <c r="Z8" s="385">
        <v>0</v>
      </c>
      <c r="AA8" s="378"/>
      <c r="AB8" s="385">
        <v>0</v>
      </c>
      <c r="AC8" s="385">
        <v>0</v>
      </c>
    </row>
    <row r="9" spans="1:29" s="356" customFormat="1" ht="15.6" customHeight="1">
      <c r="A9" s="1762" t="s">
        <v>2143</v>
      </c>
      <c r="B9" s="1762" t="s">
        <v>362</v>
      </c>
      <c r="C9" s="548">
        <v>4</v>
      </c>
      <c r="D9" s="1323" t="s">
        <v>200</v>
      </c>
      <c r="E9" s="516"/>
      <c r="F9" s="568" t="s">
        <v>402</v>
      </c>
      <c r="G9" s="523" t="s">
        <v>230</v>
      </c>
      <c r="H9" s="381">
        <v>9</v>
      </c>
      <c r="I9" s="523"/>
      <c r="J9" s="22">
        <v>0.75</v>
      </c>
      <c r="K9" s="22">
        <f>K10/K11</f>
        <v>0.68181818181818177</v>
      </c>
      <c r="L9" s="560">
        <f t="shared" si="0"/>
        <v>-9.0909090909090939E-2</v>
      </c>
      <c r="M9" s="342" t="s">
        <v>226</v>
      </c>
      <c r="N9" s="342" t="s">
        <v>226</v>
      </c>
      <c r="O9" s="362" t="str">
        <f>"行业水平评分"</f>
        <v>行业水平评分</v>
      </c>
      <c r="P9" s="569">
        <f>H9</f>
        <v>9</v>
      </c>
      <c r="Q9" s="440">
        <f t="shared" si="1"/>
        <v>9</v>
      </c>
      <c r="R9" s="440">
        <f t="shared" si="2"/>
        <v>2</v>
      </c>
      <c r="S9" s="440">
        <f t="shared" si="3"/>
        <v>1</v>
      </c>
      <c r="T9" s="424"/>
      <c r="U9" s="424"/>
      <c r="V9" s="424"/>
      <c r="W9" s="557"/>
      <c r="X9" s="378"/>
      <c r="Y9" s="385">
        <v>0.5</v>
      </c>
      <c r="Z9" s="385">
        <f>H9*K9</f>
        <v>6.1363636363636358</v>
      </c>
      <c r="AA9" s="378"/>
      <c r="AB9" s="385">
        <v>0.5</v>
      </c>
      <c r="AC9" s="385">
        <f>H9*J9</f>
        <v>6.75</v>
      </c>
    </row>
    <row r="10" spans="1:29" s="356" customFormat="1" ht="15.6" customHeight="1">
      <c r="A10" s="1762"/>
      <c r="B10" s="1762"/>
      <c r="C10" s="550">
        <v>4.0999999999999996</v>
      </c>
      <c r="D10" s="570" t="s">
        <v>160</v>
      </c>
      <c r="E10" s="516" t="s">
        <v>207</v>
      </c>
      <c r="F10" s="571"/>
      <c r="G10" s="523"/>
      <c r="H10" s="362"/>
      <c r="I10" s="523" t="s">
        <v>210</v>
      </c>
      <c r="J10" s="384">
        <v>15</v>
      </c>
      <c r="K10" s="384">
        <v>15</v>
      </c>
      <c r="L10" s="560">
        <f t="shared" si="0"/>
        <v>0</v>
      </c>
      <c r="M10" s="1364"/>
      <c r="N10" s="361"/>
      <c r="O10" s="1383">
        <f t="shared" ref="O10:O18" si="4">M10-N10</f>
        <v>0</v>
      </c>
      <c r="P10" s="569">
        <f>H10-N10</f>
        <v>0</v>
      </c>
      <c r="Q10" s="440">
        <f t="shared" si="1"/>
        <v>0</v>
      </c>
      <c r="R10" s="440">
        <f t="shared" si="2"/>
        <v>0</v>
      </c>
      <c r="S10" s="440">
        <f t="shared" si="3"/>
        <v>0</v>
      </c>
      <c r="T10" s="424"/>
      <c r="U10" s="424"/>
      <c r="V10" s="424"/>
      <c r="W10" s="557"/>
      <c r="X10" s="378"/>
      <c r="Y10" s="385"/>
      <c r="Z10" s="385"/>
      <c r="AA10" s="378"/>
      <c r="AB10" s="385"/>
      <c r="AC10" s="385"/>
    </row>
    <row r="11" spans="1:29" s="356" customFormat="1" ht="15.6" customHeight="1">
      <c r="A11" s="1762"/>
      <c r="B11" s="1762"/>
      <c r="C11" s="550">
        <v>4.2</v>
      </c>
      <c r="D11" s="387" t="s">
        <v>161</v>
      </c>
      <c r="E11" s="516" t="s">
        <v>207</v>
      </c>
      <c r="F11" s="572"/>
      <c r="G11" s="523"/>
      <c r="H11" s="362"/>
      <c r="I11" s="523" t="s">
        <v>210</v>
      </c>
      <c r="J11" s="384">
        <v>20</v>
      </c>
      <c r="K11" s="384">
        <v>22</v>
      </c>
      <c r="L11" s="560">
        <f t="shared" si="0"/>
        <v>0.10000000000000009</v>
      </c>
      <c r="M11" s="1364"/>
      <c r="N11" s="361"/>
      <c r="O11" s="1383">
        <f t="shared" si="4"/>
        <v>0</v>
      </c>
      <c r="P11" s="569">
        <f>H11-N11</f>
        <v>0</v>
      </c>
      <c r="Q11" s="440">
        <f t="shared" si="1"/>
        <v>0</v>
      </c>
      <c r="R11" s="440">
        <f t="shared" si="2"/>
        <v>0</v>
      </c>
      <c r="S11" s="440">
        <f t="shared" si="3"/>
        <v>0</v>
      </c>
      <c r="T11" s="424"/>
      <c r="U11" s="424"/>
      <c r="V11" s="424"/>
      <c r="W11" s="557"/>
      <c r="X11" s="378"/>
      <c r="Y11" s="385"/>
      <c r="Z11" s="385"/>
      <c r="AA11" s="378"/>
      <c r="AB11" s="385"/>
      <c r="AC11" s="385"/>
    </row>
    <row r="12" spans="1:29" s="356" customFormat="1" ht="15.6" customHeight="1">
      <c r="A12" s="547" t="s">
        <v>363</v>
      </c>
      <c r="B12" s="547" t="s">
        <v>364</v>
      </c>
      <c r="C12" s="548">
        <v>5</v>
      </c>
      <c r="D12" s="392" t="s">
        <v>162</v>
      </c>
      <c r="E12" s="516" t="s">
        <v>207</v>
      </c>
      <c r="F12" s="574" t="s">
        <v>404</v>
      </c>
      <c r="G12" s="523" t="s">
        <v>229</v>
      </c>
      <c r="H12" s="381">
        <v>8</v>
      </c>
      <c r="I12" s="523" t="s">
        <v>211</v>
      </c>
      <c r="J12" s="384">
        <v>0</v>
      </c>
      <c r="K12" s="384">
        <v>0</v>
      </c>
      <c r="L12" s="560">
        <f t="shared" si="0"/>
        <v>0</v>
      </c>
      <c r="M12" s="1364">
        <f>MAX(H12-K12*2,0)</f>
        <v>8</v>
      </c>
      <c r="N12" s="1364">
        <f>MAX(M12-J12*2,0)</f>
        <v>8</v>
      </c>
      <c r="O12" s="1383">
        <f t="shared" si="4"/>
        <v>0</v>
      </c>
      <c r="P12" s="569">
        <f>H12-N12</f>
        <v>0</v>
      </c>
      <c r="Q12" s="440">
        <f t="shared" si="1"/>
        <v>0</v>
      </c>
      <c r="R12" s="440">
        <f t="shared" si="2"/>
        <v>0</v>
      </c>
      <c r="S12" s="440">
        <f t="shared" si="3"/>
        <v>0</v>
      </c>
      <c r="T12" s="424"/>
      <c r="U12" s="424"/>
      <c r="V12" s="424"/>
      <c r="W12" s="557"/>
      <c r="X12" s="378"/>
      <c r="Y12" s="385">
        <v>1</v>
      </c>
      <c r="Z12" s="385">
        <f>M12</f>
        <v>8</v>
      </c>
      <c r="AA12" s="378"/>
      <c r="AB12" s="385">
        <v>1</v>
      </c>
      <c r="AC12" s="385">
        <f>N12</f>
        <v>8</v>
      </c>
    </row>
    <row r="13" spans="1:29" s="356" customFormat="1" ht="15.6" customHeight="1">
      <c r="A13" s="547" t="s">
        <v>365</v>
      </c>
      <c r="B13" s="547" t="s">
        <v>433</v>
      </c>
      <c r="C13" s="548">
        <v>6</v>
      </c>
      <c r="D13" s="392" t="s">
        <v>1699</v>
      </c>
      <c r="E13" s="516" t="s">
        <v>207</v>
      </c>
      <c r="F13" s="574" t="s">
        <v>404</v>
      </c>
      <c r="G13" s="1386" t="s">
        <v>229</v>
      </c>
      <c r="H13" s="1363">
        <v>8</v>
      </c>
      <c r="I13" s="1387" t="s">
        <v>211</v>
      </c>
      <c r="J13" s="384">
        <v>0</v>
      </c>
      <c r="K13" s="384">
        <v>0</v>
      </c>
      <c r="L13" s="560">
        <f t="shared" si="0"/>
        <v>0</v>
      </c>
      <c r="M13" s="1364">
        <f>8-K13*2</f>
        <v>8</v>
      </c>
      <c r="N13" s="1364">
        <f>8-J13*2</f>
        <v>8</v>
      </c>
      <c r="O13" s="1383">
        <f t="shared" si="4"/>
        <v>0</v>
      </c>
      <c r="P13" s="569">
        <f>H13-M13</f>
        <v>0</v>
      </c>
      <c r="Q13" s="440">
        <f t="shared" si="1"/>
        <v>0</v>
      </c>
      <c r="R13" s="440">
        <f t="shared" si="2"/>
        <v>0</v>
      </c>
      <c r="S13" s="440">
        <f t="shared" si="3"/>
        <v>0</v>
      </c>
      <c r="T13" s="424"/>
      <c r="U13" s="424"/>
      <c r="V13" s="424"/>
      <c r="W13" s="557"/>
      <c r="X13" s="378"/>
      <c r="Y13" s="385">
        <v>1</v>
      </c>
      <c r="Z13" s="385">
        <f t="shared" ref="Z13:Z18" si="5">M13</f>
        <v>8</v>
      </c>
      <c r="AA13" s="378"/>
      <c r="AB13" s="385">
        <v>1</v>
      </c>
      <c r="AC13" s="385">
        <f t="shared" ref="AC13:AC18" si="6">N13</f>
        <v>8</v>
      </c>
    </row>
    <row r="14" spans="1:29" s="356" customFormat="1" ht="15.6" customHeight="1">
      <c r="A14" s="547" t="s">
        <v>366</v>
      </c>
      <c r="B14" s="547" t="s">
        <v>434</v>
      </c>
      <c r="C14" s="548">
        <v>7</v>
      </c>
      <c r="D14" s="392" t="s">
        <v>480</v>
      </c>
      <c r="E14" s="516" t="s">
        <v>207</v>
      </c>
      <c r="F14" s="574" t="s">
        <v>404</v>
      </c>
      <c r="G14" s="1386" t="s">
        <v>229</v>
      </c>
      <c r="H14" s="1363">
        <v>10</v>
      </c>
      <c r="I14" s="1387" t="s">
        <v>212</v>
      </c>
      <c r="J14" s="384">
        <v>0</v>
      </c>
      <c r="K14" s="384">
        <v>0</v>
      </c>
      <c r="L14" s="560">
        <f t="shared" si="0"/>
        <v>0</v>
      </c>
      <c r="M14" s="1364">
        <f>MAX(H14-K14*3,0)</f>
        <v>10</v>
      </c>
      <c r="N14" s="1364">
        <f>MAX(M14-J14*3,0)</f>
        <v>10</v>
      </c>
      <c r="O14" s="1383">
        <f t="shared" si="4"/>
        <v>0</v>
      </c>
      <c r="P14" s="569">
        <f>H14-N14</f>
        <v>0</v>
      </c>
      <c r="Q14" s="440">
        <f t="shared" si="1"/>
        <v>0</v>
      </c>
      <c r="R14" s="440">
        <f t="shared" si="2"/>
        <v>0</v>
      </c>
      <c r="S14" s="440">
        <f t="shared" si="3"/>
        <v>0</v>
      </c>
      <c r="T14" s="424"/>
      <c r="U14" s="424"/>
      <c r="V14" s="424"/>
      <c r="W14" s="557"/>
      <c r="X14" s="378"/>
      <c r="Y14" s="385">
        <v>1</v>
      </c>
      <c r="Z14" s="385">
        <f t="shared" si="5"/>
        <v>10</v>
      </c>
      <c r="AA14" s="378"/>
      <c r="AB14" s="385">
        <v>1</v>
      </c>
      <c r="AC14" s="385">
        <f t="shared" si="6"/>
        <v>10</v>
      </c>
    </row>
    <row r="15" spans="1:29" s="356" customFormat="1" ht="15.6" customHeight="1">
      <c r="A15" s="547" t="s">
        <v>367</v>
      </c>
      <c r="B15" s="547" t="s">
        <v>434</v>
      </c>
      <c r="C15" s="548">
        <v>8</v>
      </c>
      <c r="D15" s="392" t="s">
        <v>481</v>
      </c>
      <c r="E15" s="516" t="s">
        <v>207</v>
      </c>
      <c r="F15" s="574" t="s">
        <v>404</v>
      </c>
      <c r="G15" s="1386" t="s">
        <v>229</v>
      </c>
      <c r="H15" s="1363">
        <v>10</v>
      </c>
      <c r="I15" s="1387" t="s">
        <v>213</v>
      </c>
      <c r="J15" s="384">
        <v>0</v>
      </c>
      <c r="K15" s="384">
        <v>0</v>
      </c>
      <c r="L15" s="560">
        <f t="shared" si="0"/>
        <v>0</v>
      </c>
      <c r="M15" s="1364">
        <f>MAX(H15-K15*3,0)</f>
        <v>10</v>
      </c>
      <c r="N15" s="1364">
        <f>MAX(M15-J15*3,0)</f>
        <v>10</v>
      </c>
      <c r="O15" s="1383">
        <f t="shared" si="4"/>
        <v>0</v>
      </c>
      <c r="P15" s="569">
        <f>H15-N15</f>
        <v>0</v>
      </c>
      <c r="Q15" s="440">
        <f t="shared" si="1"/>
        <v>0</v>
      </c>
      <c r="R15" s="440">
        <f t="shared" si="2"/>
        <v>0</v>
      </c>
      <c r="S15" s="440">
        <f t="shared" si="3"/>
        <v>0</v>
      </c>
      <c r="T15" s="424"/>
      <c r="U15" s="424"/>
      <c r="V15" s="424"/>
      <c r="W15" s="557"/>
      <c r="X15" s="378"/>
      <c r="Y15" s="385">
        <v>1</v>
      </c>
      <c r="Z15" s="385">
        <f t="shared" si="5"/>
        <v>10</v>
      </c>
      <c r="AA15" s="378"/>
      <c r="AB15" s="385">
        <v>1</v>
      </c>
      <c r="AC15" s="385">
        <f t="shared" si="6"/>
        <v>10</v>
      </c>
    </row>
    <row r="16" spans="1:29" s="356" customFormat="1" ht="15.6" customHeight="1">
      <c r="A16" s="547" t="s">
        <v>368</v>
      </c>
      <c r="B16" s="547" t="s">
        <v>434</v>
      </c>
      <c r="C16" s="548">
        <v>9</v>
      </c>
      <c r="D16" s="392" t="s">
        <v>482</v>
      </c>
      <c r="E16" s="516" t="s">
        <v>207</v>
      </c>
      <c r="F16" s="574" t="s">
        <v>404</v>
      </c>
      <c r="G16" s="1386" t="s">
        <v>229</v>
      </c>
      <c r="H16" s="1363">
        <v>9</v>
      </c>
      <c r="I16" s="1387" t="s">
        <v>214</v>
      </c>
      <c r="J16" s="384">
        <v>0</v>
      </c>
      <c r="K16" s="384">
        <v>0</v>
      </c>
      <c r="L16" s="560">
        <f t="shared" si="0"/>
        <v>0</v>
      </c>
      <c r="M16" s="1364">
        <f>MAX(H16-K16*3,0)</f>
        <v>9</v>
      </c>
      <c r="N16" s="1364">
        <f>MAX(M16-J16*3,0)</f>
        <v>9</v>
      </c>
      <c r="O16" s="1383">
        <f t="shared" si="4"/>
        <v>0</v>
      </c>
      <c r="P16" s="569">
        <f>H16-N16</f>
        <v>0</v>
      </c>
      <c r="Q16" s="440">
        <f t="shared" si="1"/>
        <v>0</v>
      </c>
      <c r="R16" s="440">
        <f t="shared" si="2"/>
        <v>0</v>
      </c>
      <c r="S16" s="440">
        <f t="shared" si="3"/>
        <v>0</v>
      </c>
      <c r="T16" s="424"/>
      <c r="U16" s="424"/>
      <c r="V16" s="424"/>
      <c r="W16" s="557"/>
      <c r="X16" s="378"/>
      <c r="Y16" s="385">
        <v>1</v>
      </c>
      <c r="Z16" s="385">
        <f t="shared" si="5"/>
        <v>9</v>
      </c>
      <c r="AA16" s="378"/>
      <c r="AB16" s="385">
        <v>1</v>
      </c>
      <c r="AC16" s="385">
        <f t="shared" si="6"/>
        <v>9</v>
      </c>
    </row>
    <row r="17" spans="1:29" s="356" customFormat="1" ht="15.6" customHeight="1">
      <c r="A17" s="547" t="s">
        <v>369</v>
      </c>
      <c r="B17" s="547" t="s">
        <v>364</v>
      </c>
      <c r="C17" s="548">
        <v>10</v>
      </c>
      <c r="D17" s="677" t="s">
        <v>163</v>
      </c>
      <c r="E17" s="1384" t="s">
        <v>207</v>
      </c>
      <c r="F17" s="574" t="s">
        <v>404</v>
      </c>
      <c r="G17" s="1386" t="s">
        <v>229</v>
      </c>
      <c r="H17" s="1363">
        <v>10</v>
      </c>
      <c r="I17" s="1387" t="s">
        <v>213</v>
      </c>
      <c r="J17" s="384">
        <v>0</v>
      </c>
      <c r="K17" s="384">
        <v>0</v>
      </c>
      <c r="L17" s="560">
        <f t="shared" si="0"/>
        <v>0</v>
      </c>
      <c r="M17" s="1364">
        <f>MAX(H17-K17*2,0)</f>
        <v>10</v>
      </c>
      <c r="N17" s="1364">
        <f>MAX(M17-J17*2,0)</f>
        <v>10</v>
      </c>
      <c r="O17" s="1383">
        <f t="shared" si="4"/>
        <v>0</v>
      </c>
      <c r="P17" s="569">
        <f>H17-N17</f>
        <v>0</v>
      </c>
      <c r="Q17" s="440">
        <f t="shared" si="1"/>
        <v>0</v>
      </c>
      <c r="R17" s="440">
        <f t="shared" si="2"/>
        <v>0</v>
      </c>
      <c r="S17" s="440">
        <f t="shared" si="3"/>
        <v>0</v>
      </c>
      <c r="T17" s="424"/>
      <c r="U17" s="424"/>
      <c r="V17" s="424"/>
      <c r="W17" s="557"/>
      <c r="X17" s="378"/>
      <c r="Y17" s="385">
        <v>1</v>
      </c>
      <c r="Z17" s="385">
        <f t="shared" si="5"/>
        <v>10</v>
      </c>
      <c r="AA17" s="378"/>
      <c r="AB17" s="385">
        <v>1</v>
      </c>
      <c r="AC17" s="385">
        <f t="shared" si="6"/>
        <v>10</v>
      </c>
    </row>
    <row r="18" spans="1:29" s="356" customFormat="1" ht="15.6" customHeight="1">
      <c r="A18" s="547" t="s">
        <v>370</v>
      </c>
      <c r="B18" s="547" t="s">
        <v>364</v>
      </c>
      <c r="C18" s="552">
        <v>11</v>
      </c>
      <c r="D18" s="677" t="s">
        <v>483</v>
      </c>
      <c r="E18" s="592" t="s">
        <v>207</v>
      </c>
      <c r="F18" s="1374" t="s">
        <v>404</v>
      </c>
      <c r="G18" s="594" t="s">
        <v>229</v>
      </c>
      <c r="H18" s="1363">
        <v>10</v>
      </c>
      <c r="I18" s="594"/>
      <c r="J18" s="1368">
        <v>0</v>
      </c>
      <c r="K18" s="1368">
        <v>0</v>
      </c>
      <c r="L18" s="1372">
        <f t="shared" si="0"/>
        <v>0</v>
      </c>
      <c r="M18" s="1364">
        <f>MAX(H18-K18*2,0)</f>
        <v>10</v>
      </c>
      <c r="N18" s="1364">
        <f>MAX(M18-J18*2,0)</f>
        <v>10</v>
      </c>
      <c r="O18" s="598">
        <f t="shared" si="4"/>
        <v>0</v>
      </c>
      <c r="P18" s="440">
        <f>H18-N18</f>
        <v>0</v>
      </c>
      <c r="Q18" s="440">
        <f t="shared" si="1"/>
        <v>0</v>
      </c>
      <c r="R18" s="440">
        <f t="shared" si="2"/>
        <v>0</v>
      </c>
      <c r="S18" s="440">
        <f t="shared" si="3"/>
        <v>0</v>
      </c>
      <c r="T18" s="424"/>
      <c r="U18" s="424"/>
      <c r="V18" s="424"/>
      <c r="W18" s="557"/>
      <c r="X18" s="378"/>
      <c r="Y18" s="385">
        <v>1</v>
      </c>
      <c r="Z18" s="385">
        <f t="shared" si="5"/>
        <v>10</v>
      </c>
      <c r="AA18" s="378"/>
      <c r="AB18" s="385">
        <v>1</v>
      </c>
      <c r="AC18" s="385">
        <f t="shared" si="6"/>
        <v>10</v>
      </c>
    </row>
    <row r="19" spans="1:29" s="575" customFormat="1" ht="15.6" customHeight="1">
      <c r="A19" s="553"/>
      <c r="B19" s="553"/>
      <c r="C19" s="548"/>
      <c r="D19" s="416" t="s">
        <v>224</v>
      </c>
      <c r="E19" s="1380"/>
      <c r="F19" s="445"/>
      <c r="G19" s="1380"/>
      <c r="H19" s="1398">
        <v>100</v>
      </c>
      <c r="I19" s="1380"/>
      <c r="J19" s="1381"/>
      <c r="K19" s="1381"/>
      <c r="L19" s="1382"/>
      <c r="M19" s="1399">
        <f>SUBTOTAL(9,M4:M18)</f>
        <v>74</v>
      </c>
      <c r="N19" s="1399">
        <f>SUBTOTAL(9,N4:N18)</f>
        <v>74</v>
      </c>
      <c r="O19" s="1364">
        <f>M19-N19</f>
        <v>0</v>
      </c>
      <c r="P19" s="1400">
        <f>H19-M19</f>
        <v>26</v>
      </c>
      <c r="Q19" s="555">
        <f t="shared" si="1"/>
        <v>26</v>
      </c>
      <c r="R19" s="555">
        <f t="shared" si="2"/>
        <v>5.7777777777777777</v>
      </c>
      <c r="S19" s="555">
        <f t="shared" si="3"/>
        <v>2.8888888888888888</v>
      </c>
      <c r="T19" s="1380"/>
      <c r="X19" s="576"/>
      <c r="Y19" s="576"/>
      <c r="Z19" s="577"/>
      <c r="AA19" s="576"/>
      <c r="AB19" s="576"/>
      <c r="AC19" s="577"/>
    </row>
    <row r="20" spans="1:29" s="356" customFormat="1" ht="14.25">
      <c r="C20" s="358"/>
      <c r="D20" s="556" t="s">
        <v>228</v>
      </c>
      <c r="E20" s="615"/>
      <c r="F20" s="616"/>
      <c r="G20" s="615"/>
      <c r="H20" s="1363">
        <f>H8+SUM(H12:H18)</f>
        <v>74</v>
      </c>
      <c r="I20" s="615"/>
      <c r="J20" s="437"/>
      <c r="K20" s="437"/>
      <c r="L20" s="632"/>
      <c r="M20" s="502">
        <f>M19-M22</f>
        <v>74</v>
      </c>
      <c r="N20" s="502">
        <f>N19-N22</f>
        <v>74</v>
      </c>
      <c r="O20" s="578"/>
      <c r="P20" s="554">
        <f>P8+SUM(P12:P18)</f>
        <v>0</v>
      </c>
      <c r="Q20" s="555">
        <f t="shared" si="1"/>
        <v>0</v>
      </c>
      <c r="R20" s="555">
        <f t="shared" si="2"/>
        <v>0</v>
      </c>
      <c r="S20" s="555">
        <f t="shared" si="3"/>
        <v>0</v>
      </c>
      <c r="T20" s="1385" t="s">
        <v>1552</v>
      </c>
      <c r="X20" s="378"/>
      <c r="Y20" s="378"/>
      <c r="Z20" s="385"/>
      <c r="AA20" s="378"/>
      <c r="AB20" s="378"/>
      <c r="AC20" s="385"/>
    </row>
    <row r="21" spans="1:29" s="356" customFormat="1" ht="14.25">
      <c r="C21" s="358"/>
      <c r="D21" s="556" t="s">
        <v>1551</v>
      </c>
      <c r="E21" s="615"/>
      <c r="F21" s="616"/>
      <c r="G21" s="615"/>
      <c r="H21" s="1363">
        <v>26</v>
      </c>
      <c r="I21" s="615"/>
      <c r="J21" s="437"/>
      <c r="K21" s="437"/>
      <c r="L21" s="632"/>
      <c r="M21" s="409">
        <f>M22</f>
        <v>0</v>
      </c>
      <c r="N21" s="409">
        <f>N22</f>
        <v>0</v>
      </c>
      <c r="O21" s="578"/>
      <c r="P21" s="554">
        <f>P4+P7+P9</f>
        <v>26</v>
      </c>
      <c r="Q21" s="555">
        <f t="shared" si="1"/>
        <v>26</v>
      </c>
      <c r="R21" s="555">
        <f t="shared" si="2"/>
        <v>5.7777777777777777</v>
      </c>
      <c r="S21" s="555">
        <f t="shared" si="3"/>
        <v>2.8888888888888888</v>
      </c>
      <c r="T21" s="556" t="s">
        <v>1553</v>
      </c>
      <c r="X21" s="378"/>
      <c r="Y21" s="378"/>
      <c r="Z21" s="385"/>
      <c r="AA21" s="378"/>
      <c r="AB21" s="378"/>
      <c r="AC21" s="385"/>
    </row>
    <row r="22" spans="1:29" s="356" customFormat="1" ht="14.25">
      <c r="C22" s="358"/>
      <c r="D22" s="556" t="s">
        <v>458</v>
      </c>
      <c r="E22" s="615"/>
      <c r="F22" s="616"/>
      <c r="G22" s="615"/>
      <c r="H22" s="615"/>
      <c r="I22" s="615"/>
      <c r="J22" s="437"/>
      <c r="K22" s="437"/>
      <c r="L22" s="632"/>
      <c r="M22" s="409">
        <v>0</v>
      </c>
      <c r="N22" s="409">
        <v>0</v>
      </c>
      <c r="O22" s="578"/>
      <c r="P22" s="615"/>
      <c r="Q22" s="615"/>
      <c r="R22" s="615"/>
      <c r="S22" s="615"/>
      <c r="T22" s="615"/>
      <c r="X22" s="378"/>
      <c r="Y22" s="378"/>
      <c r="Z22" s="385"/>
      <c r="AA22" s="378"/>
      <c r="AB22" s="378"/>
      <c r="AC22" s="385"/>
    </row>
    <row r="23" spans="1:29" s="356" customFormat="1" ht="14.25">
      <c r="C23" s="358"/>
      <c r="D23" s="556" t="s">
        <v>460</v>
      </c>
      <c r="E23" s="615"/>
      <c r="F23" s="616"/>
      <c r="G23" s="615"/>
      <c r="H23" s="615"/>
      <c r="I23" s="615"/>
      <c r="J23" s="437"/>
      <c r="K23" s="437"/>
      <c r="L23" s="632"/>
      <c r="M23" s="409">
        <f>26-M22</f>
        <v>26</v>
      </c>
      <c r="N23" s="409">
        <f>26-N22</f>
        <v>26</v>
      </c>
      <c r="O23" s="578"/>
      <c r="P23" s="615"/>
      <c r="Q23" s="615"/>
      <c r="R23" s="615"/>
      <c r="S23" s="615"/>
      <c r="T23" s="615"/>
      <c r="X23" s="378"/>
      <c r="Y23" s="378"/>
      <c r="Z23" s="385"/>
      <c r="AA23" s="378"/>
      <c r="AB23" s="378"/>
      <c r="AC23" s="385"/>
    </row>
    <row r="24" spans="1:29" s="356" customFormat="1" ht="14.25">
      <c r="C24" s="358"/>
      <c r="D24" s="556" t="s">
        <v>461</v>
      </c>
      <c r="E24" s="615"/>
      <c r="F24" s="616"/>
      <c r="G24" s="615"/>
      <c r="H24" s="615"/>
      <c r="I24" s="615"/>
      <c r="J24" s="437"/>
      <c r="K24" s="437"/>
      <c r="L24" s="632"/>
      <c r="M24" s="409">
        <f>100-SUM(M20:M21)</f>
        <v>26</v>
      </c>
      <c r="N24" s="409">
        <f>100-SUM(N20:N21)</f>
        <v>26</v>
      </c>
      <c r="O24" s="578"/>
      <c r="P24" s="615"/>
      <c r="Q24" s="615"/>
      <c r="R24" s="615"/>
      <c r="S24" s="615"/>
      <c r="T24" s="615"/>
      <c r="X24" s="378"/>
      <c r="Y24" s="378"/>
      <c r="Z24" s="385"/>
      <c r="AA24" s="378"/>
      <c r="AB24" s="378"/>
      <c r="AC24" s="385"/>
    </row>
    <row r="25" spans="1:29" s="356" customFormat="1" ht="14.25">
      <c r="C25" s="358"/>
      <c r="F25" s="417"/>
      <c r="J25" s="435"/>
      <c r="K25" s="435"/>
      <c r="L25" s="633"/>
      <c r="M25" s="367"/>
      <c r="N25" s="367"/>
      <c r="O25" s="367"/>
      <c r="X25" s="378"/>
      <c r="Y25" s="378"/>
      <c r="Z25" s="385"/>
      <c r="AA25" s="378"/>
      <c r="AB25" s="378"/>
      <c r="AC25" s="385"/>
    </row>
    <row r="26" spans="1:29" s="356" customFormat="1" ht="14.25">
      <c r="C26" s="358"/>
      <c r="F26" s="417"/>
      <c r="J26" s="435"/>
      <c r="K26" s="435"/>
      <c r="L26" s="633"/>
      <c r="O26" s="367"/>
      <c r="X26" s="378" t="s">
        <v>491</v>
      </c>
      <c r="Y26" s="378"/>
      <c r="Z26" s="385">
        <f>SUMPRODUCT(Y4:Y18,Z4:Z18)</f>
        <v>70.734848484848484</v>
      </c>
      <c r="AA26" s="378"/>
      <c r="AB26" s="378"/>
      <c r="AC26" s="385">
        <f>SUMPRODUCT(AB4:AB18,AC4:AC18)</f>
        <v>71.375</v>
      </c>
    </row>
    <row r="27" spans="1:29" s="356" customFormat="1" ht="14.25">
      <c r="C27" s="358"/>
      <c r="F27" s="417"/>
      <c r="J27" s="435"/>
      <c r="K27" s="435"/>
      <c r="L27" s="633"/>
      <c r="O27" s="367"/>
      <c r="X27" s="378" t="s">
        <v>1282</v>
      </c>
      <c r="Y27" s="378"/>
      <c r="Z27" s="385">
        <f>SUMPRODUCT(Y4:Y18,H4:H18)</f>
        <v>73.5</v>
      </c>
      <c r="AA27" s="378"/>
      <c r="AB27" s="378"/>
      <c r="AC27" s="385">
        <f>SUMPRODUCT(AB4:AB18,H4:H18)</f>
        <v>73.5</v>
      </c>
    </row>
    <row r="28" spans="1:29" s="356" customFormat="1" ht="14.25">
      <c r="C28" s="358"/>
      <c r="F28" s="417"/>
      <c r="J28" s="435"/>
      <c r="K28" s="435"/>
      <c r="L28" s="633"/>
      <c r="O28" s="367"/>
      <c r="X28" s="378"/>
      <c r="Y28" s="378"/>
      <c r="Z28" s="385"/>
      <c r="AA28" s="378"/>
      <c r="AB28" s="378"/>
      <c r="AC28" s="385"/>
    </row>
    <row r="29" spans="1:29" s="356" customFormat="1" ht="14.25">
      <c r="C29" s="358"/>
      <c r="F29" s="417"/>
      <c r="J29" s="435"/>
      <c r="K29" s="435"/>
      <c r="L29" s="633"/>
      <c r="O29" s="367"/>
      <c r="X29" s="378"/>
      <c r="Y29" s="378"/>
      <c r="Z29" s="385"/>
      <c r="AA29" s="378"/>
      <c r="AB29" s="378"/>
      <c r="AC29" s="385">
        <f>AC26/AC27*100</f>
        <v>97.10884353741497</v>
      </c>
    </row>
    <row r="30" spans="1:29" s="356" customFormat="1" ht="14.25">
      <c r="C30" s="358"/>
      <c r="D30" s="539" t="s">
        <v>2144</v>
      </c>
      <c r="F30" s="417"/>
      <c r="J30" s="435"/>
      <c r="K30" s="435"/>
      <c r="L30" s="633"/>
      <c r="O30" s="367"/>
      <c r="X30" s="378"/>
      <c r="Y30" s="378"/>
      <c r="Z30" s="385"/>
      <c r="AA30" s="378"/>
      <c r="AB30" s="378"/>
      <c r="AC30" s="385"/>
    </row>
    <row r="31" spans="1:29" s="356" customFormat="1" ht="14.25">
      <c r="C31" s="358"/>
      <c r="D31" s="357" t="s">
        <v>1636</v>
      </c>
      <c r="F31" s="417"/>
      <c r="J31" s="435"/>
      <c r="K31" s="435"/>
      <c r="L31" s="633"/>
      <c r="O31" s="367"/>
      <c r="X31" s="378"/>
      <c r="Y31" s="378"/>
      <c r="Z31" s="385"/>
      <c r="AA31" s="378"/>
      <c r="AB31" s="378"/>
      <c r="AC31" s="385"/>
    </row>
    <row r="32" spans="1:29" s="356" customFormat="1" ht="14.25">
      <c r="C32" s="358"/>
      <c r="F32" s="417"/>
      <c r="J32" s="435"/>
      <c r="K32" s="435"/>
      <c r="L32" s="633"/>
      <c r="O32" s="367"/>
      <c r="X32" s="378"/>
      <c r="Y32" s="378"/>
      <c r="Z32" s="385"/>
      <c r="AA32" s="378"/>
      <c r="AB32" s="378"/>
      <c r="AC32" s="385"/>
    </row>
    <row r="33" spans="3:29" s="356" customFormat="1" ht="14.25">
      <c r="C33" s="358"/>
      <c r="F33" s="417"/>
      <c r="J33" s="435"/>
      <c r="K33" s="435"/>
      <c r="L33" s="633"/>
      <c r="O33" s="367"/>
      <c r="X33" s="378"/>
      <c r="Y33" s="378"/>
      <c r="Z33" s="385"/>
      <c r="AA33" s="378"/>
      <c r="AB33" s="378"/>
      <c r="AC33" s="385"/>
    </row>
    <row r="34" spans="3:29" s="356" customFormat="1" ht="14.25">
      <c r="C34" s="358"/>
      <c r="F34" s="417"/>
      <c r="J34" s="435"/>
      <c r="K34" s="435"/>
      <c r="L34" s="633"/>
      <c r="O34" s="367"/>
      <c r="X34" s="378"/>
      <c r="Y34" s="378"/>
      <c r="Z34" s="385"/>
      <c r="AA34" s="378"/>
      <c r="AB34" s="378"/>
      <c r="AC34" s="385"/>
    </row>
    <row r="35" spans="3:29" s="356" customFormat="1" ht="14.25">
      <c r="C35" s="358"/>
      <c r="F35" s="417"/>
      <c r="J35" s="435"/>
      <c r="K35" s="435"/>
      <c r="L35" s="633"/>
      <c r="O35" s="367"/>
      <c r="X35" s="378"/>
      <c r="Y35" s="378"/>
      <c r="Z35" s="385"/>
      <c r="AA35" s="378"/>
      <c r="AB35" s="378"/>
      <c r="AC35" s="385"/>
    </row>
    <row r="36" spans="3:29" s="356" customFormat="1" ht="14.25">
      <c r="C36" s="358"/>
      <c r="F36" s="417"/>
      <c r="J36" s="435"/>
      <c r="K36" s="435"/>
      <c r="L36" s="633"/>
      <c r="O36" s="367"/>
      <c r="X36" s="378"/>
      <c r="Y36" s="378"/>
      <c r="Z36" s="385"/>
      <c r="AA36" s="378"/>
      <c r="AB36" s="378"/>
      <c r="AC36" s="385"/>
    </row>
    <row r="37" spans="3:29" s="356" customFormat="1" ht="14.25">
      <c r="C37" s="358"/>
      <c r="F37" s="417"/>
      <c r="J37" s="435"/>
      <c r="K37" s="435"/>
      <c r="L37" s="633"/>
      <c r="O37" s="367"/>
      <c r="X37" s="378"/>
      <c r="Y37" s="378"/>
      <c r="Z37" s="385"/>
      <c r="AA37" s="378"/>
      <c r="AB37" s="378"/>
      <c r="AC37" s="385"/>
    </row>
    <row r="38" spans="3:29" s="356" customFormat="1" ht="14.25">
      <c r="C38" s="358"/>
      <c r="F38" s="417"/>
      <c r="J38" s="435"/>
      <c r="K38" s="435"/>
      <c r="L38" s="633"/>
      <c r="O38" s="367"/>
      <c r="X38" s="378"/>
      <c r="Y38" s="378"/>
      <c r="Z38" s="385"/>
      <c r="AA38" s="378"/>
      <c r="AB38" s="378"/>
      <c r="AC38" s="385"/>
    </row>
    <row r="39" spans="3:29" s="356" customFormat="1" ht="14.25">
      <c r="C39" s="358"/>
      <c r="F39" s="417"/>
      <c r="J39" s="435"/>
      <c r="K39" s="435"/>
      <c r="L39" s="633"/>
      <c r="O39" s="367"/>
      <c r="X39" s="378"/>
      <c r="Y39" s="378"/>
      <c r="Z39" s="385"/>
      <c r="AA39" s="378"/>
      <c r="AB39" s="378"/>
      <c r="AC39" s="385"/>
    </row>
    <row r="40" spans="3:29" s="356" customFormat="1" ht="14.25">
      <c r="C40" s="358"/>
      <c r="F40" s="417"/>
      <c r="J40" s="435"/>
      <c r="K40" s="435"/>
      <c r="L40" s="633"/>
      <c r="O40" s="367"/>
      <c r="X40" s="378"/>
      <c r="Y40" s="378"/>
      <c r="Z40" s="385"/>
      <c r="AA40" s="378"/>
      <c r="AB40" s="378"/>
      <c r="AC40" s="385"/>
    </row>
    <row r="41" spans="3:29" s="356" customFormat="1" ht="14.25">
      <c r="C41" s="358"/>
      <c r="F41" s="417"/>
      <c r="J41" s="435"/>
      <c r="K41" s="435"/>
      <c r="L41" s="633"/>
      <c r="O41" s="367"/>
      <c r="X41" s="378"/>
      <c r="Y41" s="378"/>
      <c r="Z41" s="385"/>
      <c r="AA41" s="378"/>
      <c r="AB41" s="378"/>
      <c r="AC41" s="385"/>
    </row>
    <row r="42" spans="3:29" s="356" customFormat="1" ht="14.25">
      <c r="C42" s="358"/>
      <c r="F42" s="417"/>
      <c r="J42" s="435"/>
      <c r="K42" s="435"/>
      <c r="L42" s="633"/>
      <c r="O42" s="367"/>
      <c r="X42" s="378"/>
      <c r="Y42" s="378"/>
      <c r="Z42" s="385"/>
      <c r="AA42" s="378"/>
      <c r="AB42" s="378"/>
      <c r="AC42" s="385"/>
    </row>
    <row r="43" spans="3:29" s="356" customFormat="1" ht="14.25">
      <c r="C43" s="358"/>
      <c r="F43" s="417"/>
      <c r="J43" s="435"/>
      <c r="K43" s="435"/>
      <c r="L43" s="633"/>
      <c r="O43" s="367"/>
      <c r="X43" s="378"/>
      <c r="Y43" s="378"/>
      <c r="Z43" s="385"/>
      <c r="AA43" s="378"/>
      <c r="AB43" s="378"/>
      <c r="AC43" s="385"/>
    </row>
    <row r="44" spans="3:29" s="356" customFormat="1" ht="14.25">
      <c r="C44" s="358"/>
      <c r="F44" s="417"/>
      <c r="J44" s="435"/>
      <c r="K44" s="435"/>
      <c r="L44" s="633"/>
      <c r="O44" s="367"/>
      <c r="X44" s="378"/>
      <c r="Y44" s="378"/>
      <c r="Z44" s="385"/>
      <c r="AA44" s="378"/>
      <c r="AB44" s="378"/>
      <c r="AC44" s="385"/>
    </row>
    <row r="45" spans="3:29" s="356" customFormat="1" ht="14.25">
      <c r="C45" s="358"/>
      <c r="F45" s="417"/>
      <c r="J45" s="435"/>
      <c r="K45" s="435"/>
      <c r="L45" s="633"/>
      <c r="O45" s="367"/>
      <c r="X45" s="378"/>
      <c r="Y45" s="378"/>
      <c r="Z45" s="385"/>
      <c r="AA45" s="378"/>
      <c r="AB45" s="378"/>
      <c r="AC45" s="385"/>
    </row>
    <row r="46" spans="3:29" s="356" customFormat="1" ht="14.25">
      <c r="C46" s="358"/>
      <c r="F46" s="417"/>
      <c r="J46" s="435"/>
      <c r="K46" s="435"/>
      <c r="L46" s="633"/>
      <c r="O46" s="367"/>
      <c r="X46" s="378"/>
      <c r="Y46" s="378"/>
      <c r="Z46" s="385"/>
      <c r="AA46" s="378"/>
      <c r="AB46" s="378"/>
      <c r="AC46" s="385"/>
    </row>
    <row r="47" spans="3:29" s="356" customFormat="1" ht="14.25">
      <c r="C47" s="358"/>
      <c r="F47" s="417"/>
      <c r="J47" s="435"/>
      <c r="K47" s="435"/>
      <c r="L47" s="633"/>
      <c r="O47" s="367"/>
      <c r="X47" s="378"/>
      <c r="Y47" s="378"/>
      <c r="Z47" s="385"/>
      <c r="AA47" s="378"/>
      <c r="AB47" s="378"/>
      <c r="AC47" s="385"/>
    </row>
    <row r="48" spans="3:29" s="356" customFormat="1" ht="14.25">
      <c r="C48" s="358"/>
      <c r="F48" s="417"/>
      <c r="J48" s="435"/>
      <c r="K48" s="435"/>
      <c r="L48" s="633"/>
      <c r="O48" s="367"/>
      <c r="X48" s="378"/>
      <c r="Y48" s="378"/>
      <c r="Z48" s="385"/>
      <c r="AA48" s="378"/>
      <c r="AB48" s="378"/>
      <c r="AC48" s="385"/>
    </row>
    <row r="49" spans="3:29" s="356" customFormat="1" ht="14.25">
      <c r="C49" s="358"/>
      <c r="F49" s="417"/>
      <c r="J49" s="435"/>
      <c r="K49" s="435"/>
      <c r="L49" s="633"/>
      <c r="O49" s="367"/>
      <c r="X49" s="378"/>
      <c r="Y49" s="378"/>
      <c r="Z49" s="385"/>
      <c r="AA49" s="378"/>
      <c r="AB49" s="378"/>
      <c r="AC49" s="385"/>
    </row>
    <row r="50" spans="3:29" s="356" customFormat="1" ht="14.25">
      <c r="C50" s="358"/>
      <c r="F50" s="417"/>
      <c r="J50" s="435"/>
      <c r="K50" s="435"/>
      <c r="L50" s="633"/>
      <c r="O50" s="367"/>
      <c r="X50" s="378"/>
      <c r="Y50" s="378"/>
      <c r="Z50" s="385"/>
      <c r="AA50" s="378"/>
      <c r="AB50" s="378"/>
      <c r="AC50" s="385"/>
    </row>
    <row r="51" spans="3:29" s="356" customFormat="1" ht="14.25">
      <c r="C51" s="358"/>
      <c r="F51" s="417"/>
      <c r="J51" s="435"/>
      <c r="K51" s="435"/>
      <c r="L51" s="633"/>
      <c r="O51" s="367"/>
      <c r="X51" s="378"/>
      <c r="Y51" s="378"/>
      <c r="Z51" s="385"/>
      <c r="AA51" s="378"/>
      <c r="AB51" s="378"/>
      <c r="AC51" s="385"/>
    </row>
    <row r="52" spans="3:29" s="356" customFormat="1" ht="14.25">
      <c r="C52" s="358"/>
      <c r="F52" s="417"/>
      <c r="J52" s="435"/>
      <c r="K52" s="435"/>
      <c r="L52" s="633"/>
      <c r="O52" s="367"/>
      <c r="X52" s="378"/>
      <c r="Y52" s="378"/>
      <c r="Z52" s="385"/>
      <c r="AA52" s="378"/>
      <c r="AB52" s="378"/>
      <c r="AC52" s="385"/>
    </row>
    <row r="53" spans="3:29" s="356" customFormat="1" ht="14.25">
      <c r="C53" s="358"/>
      <c r="F53" s="417"/>
      <c r="J53" s="435"/>
      <c r="K53" s="435"/>
      <c r="L53" s="633"/>
      <c r="O53" s="367"/>
      <c r="X53" s="378"/>
      <c r="Y53" s="378"/>
      <c r="Z53" s="385"/>
      <c r="AA53" s="378"/>
      <c r="AB53" s="378"/>
      <c r="AC53" s="385"/>
    </row>
    <row r="54" spans="3:29" s="356" customFormat="1" ht="14.25">
      <c r="C54" s="358"/>
      <c r="F54" s="417"/>
      <c r="J54" s="435"/>
      <c r="K54" s="435"/>
      <c r="L54" s="633"/>
      <c r="O54" s="367"/>
      <c r="X54" s="378"/>
      <c r="Y54" s="378"/>
      <c r="Z54" s="385"/>
      <c r="AA54" s="378"/>
      <c r="AB54" s="378"/>
      <c r="AC54" s="385"/>
    </row>
    <row r="55" spans="3:29" s="356" customFormat="1" ht="14.25">
      <c r="C55" s="358"/>
      <c r="F55" s="417"/>
      <c r="J55" s="435"/>
      <c r="K55" s="435"/>
      <c r="L55" s="633"/>
      <c r="O55" s="367"/>
      <c r="X55" s="378"/>
      <c r="Y55" s="378"/>
      <c r="Z55" s="385"/>
      <c r="AA55" s="378"/>
      <c r="AB55" s="378"/>
      <c r="AC55" s="385"/>
    </row>
    <row r="56" spans="3:29" s="356" customFormat="1" ht="14.25">
      <c r="C56" s="358"/>
      <c r="F56" s="417"/>
      <c r="J56" s="435"/>
      <c r="K56" s="435"/>
      <c r="L56" s="633"/>
      <c r="O56" s="367"/>
      <c r="X56" s="378"/>
      <c r="Y56" s="378"/>
      <c r="Z56" s="385"/>
      <c r="AA56" s="378"/>
      <c r="AB56" s="378"/>
      <c r="AC56" s="385"/>
    </row>
    <row r="57" spans="3:29" s="356" customFormat="1" ht="14.25">
      <c r="C57" s="358"/>
      <c r="F57" s="417"/>
      <c r="J57" s="435"/>
      <c r="K57" s="435"/>
      <c r="L57" s="633"/>
      <c r="O57" s="367"/>
      <c r="X57" s="378"/>
      <c r="Y57" s="378"/>
      <c r="Z57" s="385"/>
      <c r="AA57" s="378"/>
      <c r="AB57" s="378"/>
      <c r="AC57" s="385"/>
    </row>
    <row r="58" spans="3:29" s="356" customFormat="1" ht="14.25">
      <c r="C58" s="358"/>
      <c r="F58" s="417"/>
      <c r="J58" s="435"/>
      <c r="K58" s="435"/>
      <c r="L58" s="633"/>
      <c r="O58" s="367"/>
      <c r="X58" s="378"/>
      <c r="Y58" s="378"/>
      <c r="Z58" s="385"/>
      <c r="AA58" s="378"/>
      <c r="AB58" s="378"/>
      <c r="AC58" s="385"/>
    </row>
    <row r="59" spans="3:29" s="356" customFormat="1" ht="14.25">
      <c r="C59" s="358"/>
      <c r="F59" s="417"/>
      <c r="J59" s="435"/>
      <c r="K59" s="435"/>
      <c r="L59" s="633"/>
      <c r="O59" s="367"/>
      <c r="X59" s="378"/>
      <c r="Y59" s="378"/>
      <c r="Z59" s="385"/>
      <c r="AA59" s="378"/>
      <c r="AB59" s="378"/>
      <c r="AC59" s="385"/>
    </row>
    <row r="60" spans="3:29" s="356" customFormat="1" ht="14.25">
      <c r="C60" s="358"/>
      <c r="F60" s="417"/>
      <c r="J60" s="435"/>
      <c r="K60" s="435"/>
      <c r="L60" s="633"/>
      <c r="O60" s="367"/>
      <c r="X60" s="378"/>
      <c r="Y60" s="378"/>
      <c r="Z60" s="385"/>
      <c r="AA60" s="378"/>
      <c r="AB60" s="378"/>
      <c r="AC60" s="385"/>
    </row>
    <row r="61" spans="3:29" s="356" customFormat="1" ht="14.25">
      <c r="C61" s="358"/>
      <c r="F61" s="417"/>
      <c r="J61" s="435"/>
      <c r="K61" s="435"/>
      <c r="L61" s="633"/>
      <c r="O61" s="367"/>
      <c r="X61" s="378"/>
      <c r="Y61" s="378"/>
      <c r="Z61" s="385"/>
      <c r="AA61" s="378"/>
      <c r="AB61" s="378"/>
      <c r="AC61" s="385"/>
    </row>
    <row r="62" spans="3:29" s="356" customFormat="1" ht="14.25">
      <c r="C62" s="358"/>
      <c r="F62" s="417"/>
      <c r="J62" s="435"/>
      <c r="K62" s="435"/>
      <c r="L62" s="633"/>
      <c r="O62" s="367"/>
      <c r="X62" s="378"/>
      <c r="Y62" s="378"/>
      <c r="Z62" s="385"/>
      <c r="AA62" s="378"/>
      <c r="AB62" s="378"/>
      <c r="AC62" s="385"/>
    </row>
    <row r="63" spans="3:29" s="356" customFormat="1" ht="14.25">
      <c r="C63" s="358"/>
      <c r="F63" s="417"/>
      <c r="J63" s="435"/>
      <c r="K63" s="435"/>
      <c r="L63" s="633"/>
      <c r="O63" s="367"/>
      <c r="X63" s="378"/>
      <c r="Y63" s="378"/>
      <c r="Z63" s="385"/>
      <c r="AA63" s="378"/>
      <c r="AB63" s="378"/>
      <c r="AC63" s="385"/>
    </row>
    <row r="64" spans="3:29" s="356" customFormat="1" ht="14.25">
      <c r="C64" s="358"/>
      <c r="F64" s="417"/>
      <c r="J64" s="435"/>
      <c r="K64" s="435"/>
      <c r="L64" s="633"/>
      <c r="O64" s="367"/>
      <c r="X64" s="378"/>
      <c r="Y64" s="378"/>
      <c r="Z64" s="385"/>
      <c r="AA64" s="378"/>
      <c r="AB64" s="378"/>
      <c r="AC64" s="385"/>
    </row>
    <row r="65" spans="3:29" s="356" customFormat="1" ht="14.25">
      <c r="C65" s="358"/>
      <c r="F65" s="417"/>
      <c r="J65" s="435"/>
      <c r="K65" s="435"/>
      <c r="L65" s="633"/>
      <c r="O65" s="367"/>
      <c r="X65" s="378"/>
      <c r="Y65" s="378"/>
      <c r="Z65" s="385"/>
      <c r="AA65" s="378"/>
      <c r="AB65" s="378"/>
      <c r="AC65" s="385"/>
    </row>
    <row r="66" spans="3:29" s="356" customFormat="1" ht="14.25">
      <c r="C66" s="358"/>
      <c r="F66" s="417"/>
      <c r="J66" s="435"/>
      <c r="K66" s="435"/>
      <c r="L66" s="633"/>
      <c r="O66" s="367"/>
      <c r="X66" s="378"/>
      <c r="Y66" s="378"/>
      <c r="Z66" s="385"/>
      <c r="AA66" s="378"/>
      <c r="AB66" s="378"/>
      <c r="AC66" s="385"/>
    </row>
    <row r="67" spans="3:29" s="356" customFormat="1" ht="14.25">
      <c r="C67" s="358"/>
      <c r="F67" s="417"/>
      <c r="J67" s="435"/>
      <c r="K67" s="435"/>
      <c r="L67" s="633"/>
      <c r="O67" s="367"/>
      <c r="X67" s="378"/>
      <c r="Y67" s="378"/>
      <c r="Z67" s="385"/>
      <c r="AA67" s="378"/>
      <c r="AB67" s="378"/>
      <c r="AC67" s="385"/>
    </row>
    <row r="68" spans="3:29" s="356" customFormat="1" ht="14.25">
      <c r="C68" s="358"/>
      <c r="F68" s="417"/>
      <c r="J68" s="435"/>
      <c r="K68" s="435"/>
      <c r="L68" s="633"/>
      <c r="O68" s="367"/>
      <c r="X68" s="378"/>
      <c r="Y68" s="378"/>
      <c r="Z68" s="385"/>
      <c r="AA68" s="378"/>
      <c r="AB68" s="378"/>
      <c r="AC68" s="385"/>
    </row>
    <row r="69" spans="3:29" s="356" customFormat="1" ht="14.25">
      <c r="C69" s="358"/>
      <c r="F69" s="417"/>
      <c r="J69" s="435"/>
      <c r="K69" s="435"/>
      <c r="L69" s="633"/>
      <c r="O69" s="367"/>
      <c r="X69" s="378"/>
      <c r="Y69" s="378"/>
      <c r="Z69" s="385"/>
      <c r="AA69" s="378"/>
      <c r="AB69" s="378"/>
      <c r="AC69" s="385"/>
    </row>
    <row r="70" spans="3:29" s="356" customFormat="1" ht="14.25">
      <c r="C70" s="358"/>
      <c r="F70" s="417"/>
      <c r="J70" s="435"/>
      <c r="K70" s="435"/>
      <c r="L70" s="633"/>
      <c r="O70" s="367"/>
      <c r="X70" s="378"/>
      <c r="Y70" s="378"/>
      <c r="Z70" s="385"/>
      <c r="AA70" s="378"/>
      <c r="AB70" s="378"/>
      <c r="AC70" s="385"/>
    </row>
    <row r="71" spans="3:29" s="356" customFormat="1" ht="14.25">
      <c r="C71" s="358"/>
      <c r="F71" s="417"/>
      <c r="J71" s="435"/>
      <c r="K71" s="435"/>
      <c r="L71" s="633"/>
      <c r="O71" s="367"/>
      <c r="X71" s="378"/>
      <c r="Y71" s="378"/>
      <c r="Z71" s="385"/>
      <c r="AA71" s="378"/>
      <c r="AB71" s="378"/>
      <c r="AC71" s="385"/>
    </row>
    <row r="72" spans="3:29" s="356" customFormat="1" ht="14.25">
      <c r="C72" s="358"/>
      <c r="F72" s="417"/>
      <c r="J72" s="435"/>
      <c r="K72" s="435"/>
      <c r="L72" s="633"/>
      <c r="O72" s="367"/>
      <c r="X72" s="378"/>
      <c r="Y72" s="378"/>
      <c r="Z72" s="385"/>
      <c r="AA72" s="378"/>
      <c r="AB72" s="378"/>
      <c r="AC72" s="385"/>
    </row>
    <row r="73" spans="3:29" s="356" customFormat="1" ht="14.25">
      <c r="C73" s="358"/>
      <c r="F73" s="417"/>
      <c r="J73" s="435"/>
      <c r="K73" s="435"/>
      <c r="L73" s="633"/>
      <c r="O73" s="367"/>
      <c r="X73" s="378"/>
      <c r="Y73" s="378"/>
      <c r="Z73" s="385"/>
      <c r="AA73" s="378"/>
      <c r="AB73" s="378"/>
      <c r="AC73" s="385"/>
    </row>
    <row r="74" spans="3:29" s="356" customFormat="1" ht="14.25">
      <c r="C74" s="358"/>
      <c r="F74" s="417"/>
      <c r="J74" s="435"/>
      <c r="K74" s="435"/>
      <c r="L74" s="633"/>
      <c r="O74" s="367"/>
      <c r="X74" s="378"/>
      <c r="Y74" s="378"/>
      <c r="Z74" s="385"/>
      <c r="AA74" s="378"/>
      <c r="AB74" s="378"/>
      <c r="AC74" s="385"/>
    </row>
    <row r="75" spans="3:29" s="356" customFormat="1" ht="14.25">
      <c r="C75" s="358"/>
      <c r="F75" s="417"/>
      <c r="J75" s="435"/>
      <c r="K75" s="435"/>
      <c r="L75" s="633"/>
      <c r="O75" s="367"/>
      <c r="X75" s="378"/>
      <c r="Y75" s="378"/>
      <c r="Z75" s="385"/>
      <c r="AA75" s="378"/>
      <c r="AB75" s="378"/>
      <c r="AC75" s="385"/>
    </row>
    <row r="76" spans="3:29" s="356" customFormat="1" ht="14.25">
      <c r="C76" s="358"/>
      <c r="F76" s="417"/>
      <c r="J76" s="435"/>
      <c r="K76" s="435"/>
      <c r="L76" s="633"/>
      <c r="O76" s="367"/>
      <c r="X76" s="378"/>
      <c r="Y76" s="378"/>
      <c r="Z76" s="385"/>
      <c r="AA76" s="378"/>
      <c r="AB76" s="378"/>
      <c r="AC76" s="385"/>
    </row>
    <row r="77" spans="3:29" s="356" customFormat="1" ht="14.25">
      <c r="C77" s="358"/>
      <c r="F77" s="417"/>
      <c r="J77" s="435"/>
      <c r="K77" s="435"/>
      <c r="L77" s="633"/>
      <c r="O77" s="367"/>
      <c r="X77" s="378"/>
      <c r="Y77" s="378"/>
      <c r="Z77" s="385"/>
      <c r="AA77" s="378"/>
      <c r="AB77" s="378"/>
      <c r="AC77" s="385"/>
    </row>
    <row r="78" spans="3:29" s="356" customFormat="1" ht="14.25">
      <c r="C78" s="358"/>
      <c r="F78" s="417"/>
      <c r="J78" s="435"/>
      <c r="K78" s="435"/>
      <c r="L78" s="633"/>
      <c r="O78" s="367"/>
      <c r="X78" s="378"/>
      <c r="Y78" s="378"/>
      <c r="Z78" s="385"/>
      <c r="AA78" s="378"/>
      <c r="AB78" s="378"/>
      <c r="AC78" s="385"/>
    </row>
    <row r="79" spans="3:29" s="356" customFormat="1" ht="14.25">
      <c r="C79" s="358"/>
      <c r="F79" s="417"/>
      <c r="J79" s="435"/>
      <c r="K79" s="435"/>
      <c r="L79" s="633"/>
      <c r="O79" s="367"/>
      <c r="X79" s="378"/>
      <c r="Y79" s="378"/>
      <c r="Z79" s="385"/>
      <c r="AA79" s="378"/>
      <c r="AB79" s="378"/>
      <c r="AC79" s="385"/>
    </row>
    <row r="80" spans="3:29" s="356" customFormat="1" ht="14.25">
      <c r="C80" s="358"/>
      <c r="F80" s="417"/>
      <c r="J80" s="435"/>
      <c r="K80" s="435"/>
      <c r="L80" s="633"/>
      <c r="O80" s="367"/>
      <c r="X80" s="378"/>
      <c r="Y80" s="378"/>
      <c r="Z80" s="385"/>
      <c r="AA80" s="378"/>
      <c r="AB80" s="378"/>
      <c r="AC80" s="385"/>
    </row>
    <row r="81" spans="3:29" s="356" customFormat="1" ht="14.25">
      <c r="C81" s="358"/>
      <c r="F81" s="417"/>
      <c r="J81" s="435"/>
      <c r="K81" s="435"/>
      <c r="L81" s="633"/>
      <c r="O81" s="367"/>
      <c r="X81" s="378"/>
      <c r="Y81" s="378"/>
      <c r="Z81" s="385"/>
      <c r="AA81" s="378"/>
      <c r="AB81" s="378"/>
      <c r="AC81" s="385"/>
    </row>
    <row r="82" spans="3:29" s="356" customFormat="1" ht="14.25">
      <c r="C82" s="358"/>
      <c r="F82" s="417"/>
      <c r="J82" s="435"/>
      <c r="K82" s="435"/>
      <c r="L82" s="633"/>
      <c r="O82" s="367"/>
      <c r="X82" s="378"/>
      <c r="Y82" s="378"/>
      <c r="Z82" s="385"/>
      <c r="AA82" s="378"/>
      <c r="AB82" s="378"/>
      <c r="AC82" s="385"/>
    </row>
    <row r="83" spans="3:29" s="356" customFormat="1" ht="14.25">
      <c r="C83" s="358"/>
      <c r="F83" s="417"/>
      <c r="J83" s="435"/>
      <c r="K83" s="435"/>
      <c r="L83" s="633"/>
      <c r="O83" s="367"/>
      <c r="X83" s="378"/>
      <c r="Y83" s="378"/>
      <c r="Z83" s="385"/>
      <c r="AA83" s="378"/>
      <c r="AB83" s="378"/>
      <c r="AC83" s="385"/>
    </row>
    <row r="84" spans="3:29" s="356" customFormat="1" ht="14.25">
      <c r="C84" s="358"/>
      <c r="F84" s="417"/>
      <c r="J84" s="435"/>
      <c r="K84" s="435"/>
      <c r="L84" s="633"/>
      <c r="O84" s="367"/>
      <c r="X84" s="378"/>
      <c r="Y84" s="378"/>
      <c r="Z84" s="385"/>
      <c r="AA84" s="378"/>
      <c r="AB84" s="378"/>
      <c r="AC84" s="385"/>
    </row>
    <row r="85" spans="3:29" s="356" customFormat="1" ht="14.25">
      <c r="C85" s="358"/>
      <c r="F85" s="417"/>
      <c r="J85" s="435"/>
      <c r="K85" s="435"/>
      <c r="L85" s="633"/>
      <c r="O85" s="367"/>
      <c r="X85" s="378"/>
      <c r="Y85" s="378"/>
      <c r="Z85" s="385"/>
      <c r="AA85" s="378"/>
      <c r="AB85" s="378"/>
      <c r="AC85" s="385"/>
    </row>
    <row r="86" spans="3:29" s="356" customFormat="1" ht="14.25">
      <c r="C86" s="358"/>
      <c r="F86" s="417"/>
      <c r="J86" s="435"/>
      <c r="K86" s="435"/>
      <c r="L86" s="633"/>
      <c r="O86" s="367"/>
      <c r="X86" s="378"/>
      <c r="Y86" s="378"/>
      <c r="Z86" s="385"/>
      <c r="AA86" s="378"/>
      <c r="AB86" s="378"/>
      <c r="AC86" s="385"/>
    </row>
    <row r="87" spans="3:29" s="356" customFormat="1" ht="14.25">
      <c r="C87" s="358"/>
      <c r="F87" s="417"/>
      <c r="J87" s="435"/>
      <c r="K87" s="435"/>
      <c r="L87" s="633"/>
      <c r="O87" s="367"/>
      <c r="X87" s="378"/>
      <c r="Y87" s="378"/>
      <c r="Z87" s="385"/>
      <c r="AA87" s="378"/>
      <c r="AB87" s="378"/>
      <c r="AC87" s="385"/>
    </row>
    <row r="88" spans="3:29" s="356" customFormat="1" ht="14.25">
      <c r="C88" s="358"/>
      <c r="F88" s="417"/>
      <c r="J88" s="435"/>
      <c r="K88" s="435"/>
      <c r="L88" s="633"/>
      <c r="O88" s="367"/>
      <c r="X88" s="378"/>
      <c r="Y88" s="378"/>
      <c r="Z88" s="385"/>
      <c r="AA88" s="378"/>
      <c r="AB88" s="378"/>
      <c r="AC88" s="385"/>
    </row>
    <row r="89" spans="3:29" s="356" customFormat="1" ht="14.25">
      <c r="C89" s="358"/>
      <c r="F89" s="417"/>
      <c r="J89" s="435"/>
      <c r="K89" s="435"/>
      <c r="L89" s="633"/>
      <c r="O89" s="367"/>
      <c r="X89" s="378"/>
      <c r="Y89" s="378"/>
      <c r="Z89" s="385"/>
      <c r="AA89" s="378"/>
      <c r="AB89" s="378"/>
      <c r="AC89" s="385"/>
    </row>
    <row r="90" spans="3:29" s="356" customFormat="1" ht="14.25">
      <c r="C90" s="358"/>
      <c r="F90" s="417"/>
      <c r="J90" s="435"/>
      <c r="K90" s="435"/>
      <c r="L90" s="633"/>
      <c r="O90" s="367"/>
      <c r="X90" s="378"/>
      <c r="Y90" s="378"/>
      <c r="Z90" s="385"/>
      <c r="AA90" s="378"/>
      <c r="AB90" s="378"/>
      <c r="AC90" s="385"/>
    </row>
    <row r="91" spans="3:29" s="356" customFormat="1" ht="14.25">
      <c r="C91" s="358"/>
      <c r="F91" s="417"/>
      <c r="J91" s="435"/>
      <c r="K91" s="435"/>
      <c r="L91" s="633"/>
      <c r="O91" s="367"/>
      <c r="X91" s="378"/>
      <c r="Y91" s="378"/>
      <c r="Z91" s="385"/>
      <c r="AA91" s="378"/>
      <c r="AB91" s="378"/>
      <c r="AC91" s="385"/>
    </row>
    <row r="92" spans="3:29" s="356" customFormat="1" ht="14.25">
      <c r="C92" s="358"/>
      <c r="F92" s="417"/>
      <c r="J92" s="435"/>
      <c r="K92" s="435"/>
      <c r="L92" s="633"/>
      <c r="O92" s="367"/>
      <c r="X92" s="378"/>
      <c r="Y92" s="378"/>
      <c r="Z92" s="385"/>
      <c r="AA92" s="378"/>
      <c r="AB92" s="378"/>
      <c r="AC92" s="385"/>
    </row>
    <row r="93" spans="3:29" s="356" customFormat="1" ht="14.25">
      <c r="C93" s="358"/>
      <c r="F93" s="417"/>
      <c r="J93" s="435"/>
      <c r="K93" s="435"/>
      <c r="L93" s="633"/>
      <c r="O93" s="367"/>
      <c r="X93" s="378"/>
      <c r="Y93" s="378"/>
      <c r="Z93" s="385"/>
      <c r="AA93" s="378"/>
      <c r="AB93" s="378"/>
      <c r="AC93" s="385"/>
    </row>
    <row r="94" spans="3:29" s="356" customFormat="1" ht="14.25">
      <c r="C94" s="358"/>
      <c r="F94" s="417"/>
      <c r="J94" s="435"/>
      <c r="K94" s="435"/>
      <c r="L94" s="633"/>
      <c r="O94" s="367"/>
      <c r="X94" s="378"/>
      <c r="Y94" s="378"/>
      <c r="Z94" s="385"/>
      <c r="AA94" s="378"/>
      <c r="AB94" s="378"/>
      <c r="AC94" s="385"/>
    </row>
    <row r="95" spans="3:29" s="356" customFormat="1" ht="14.25">
      <c r="C95" s="358"/>
      <c r="F95" s="417"/>
      <c r="J95" s="435"/>
      <c r="K95" s="435"/>
      <c r="L95" s="633"/>
      <c r="O95" s="367"/>
      <c r="X95" s="378"/>
      <c r="Y95" s="378"/>
      <c r="Z95" s="385"/>
      <c r="AA95" s="378"/>
      <c r="AB95" s="378"/>
      <c r="AC95" s="385"/>
    </row>
    <row r="96" spans="3:29" s="356" customFormat="1" ht="14.25">
      <c r="C96" s="358"/>
      <c r="F96" s="417"/>
      <c r="J96" s="435"/>
      <c r="K96" s="435"/>
      <c r="L96" s="633"/>
      <c r="O96" s="367"/>
      <c r="X96" s="378"/>
      <c r="Y96" s="378"/>
      <c r="Z96" s="385"/>
      <c r="AA96" s="378"/>
      <c r="AB96" s="378"/>
      <c r="AC96" s="385"/>
    </row>
    <row r="97" spans="3:29" s="356" customFormat="1" ht="14.25">
      <c r="C97" s="358"/>
      <c r="F97" s="417"/>
      <c r="J97" s="435"/>
      <c r="K97" s="435"/>
      <c r="L97" s="633"/>
      <c r="O97" s="367"/>
      <c r="X97" s="378"/>
      <c r="Y97" s="378"/>
      <c r="Z97" s="385"/>
      <c r="AA97" s="378"/>
      <c r="AB97" s="378"/>
      <c r="AC97" s="385"/>
    </row>
    <row r="98" spans="3:29" s="356" customFormat="1" ht="14.25">
      <c r="C98" s="358"/>
      <c r="F98" s="417"/>
      <c r="J98" s="435"/>
      <c r="K98" s="435"/>
      <c r="L98" s="633"/>
      <c r="O98" s="367"/>
      <c r="X98" s="378"/>
      <c r="Y98" s="378"/>
      <c r="Z98" s="385"/>
      <c r="AA98" s="378"/>
      <c r="AB98" s="378"/>
      <c r="AC98" s="385"/>
    </row>
    <row r="99" spans="3:29" s="356" customFormat="1" ht="14.25">
      <c r="C99" s="358"/>
      <c r="F99" s="417"/>
      <c r="J99" s="435"/>
      <c r="K99" s="435"/>
      <c r="L99" s="633"/>
      <c r="O99" s="367"/>
      <c r="X99" s="378"/>
      <c r="Y99" s="378"/>
      <c r="Z99" s="385"/>
      <c r="AA99" s="378"/>
      <c r="AB99" s="378"/>
      <c r="AC99" s="385"/>
    </row>
    <row r="100" spans="3:29" s="356" customFormat="1" ht="14.25">
      <c r="C100" s="358"/>
      <c r="F100" s="417"/>
      <c r="J100" s="435"/>
      <c r="K100" s="435"/>
      <c r="L100" s="633"/>
      <c r="O100" s="367"/>
      <c r="X100" s="378"/>
      <c r="Y100" s="378"/>
      <c r="Z100" s="385"/>
      <c r="AA100" s="378"/>
      <c r="AB100" s="378"/>
      <c r="AC100" s="385"/>
    </row>
    <row r="101" spans="3:29" s="356" customFormat="1" ht="14.25">
      <c r="C101" s="358"/>
      <c r="F101" s="417"/>
      <c r="J101" s="435"/>
      <c r="K101" s="435"/>
      <c r="L101" s="633"/>
      <c r="O101" s="367"/>
      <c r="X101" s="378"/>
      <c r="Y101" s="378"/>
      <c r="Z101" s="385"/>
      <c r="AA101" s="378"/>
      <c r="AB101" s="378"/>
      <c r="AC101" s="385"/>
    </row>
    <row r="102" spans="3:29" s="356" customFormat="1" ht="14.25">
      <c r="C102" s="358"/>
      <c r="F102" s="417"/>
      <c r="J102" s="435"/>
      <c r="K102" s="435"/>
      <c r="L102" s="633"/>
      <c r="O102" s="367"/>
      <c r="X102" s="378"/>
      <c r="Y102" s="378"/>
      <c r="Z102" s="385"/>
      <c r="AA102" s="378"/>
      <c r="AB102" s="378"/>
      <c r="AC102" s="385"/>
    </row>
    <row r="103" spans="3:29" s="356" customFormat="1" ht="14.25">
      <c r="C103" s="358"/>
      <c r="F103" s="417"/>
      <c r="J103" s="435"/>
      <c r="K103" s="435"/>
      <c r="L103" s="633"/>
      <c r="O103" s="367"/>
      <c r="X103" s="378"/>
      <c r="Y103" s="378"/>
      <c r="Z103" s="385"/>
      <c r="AA103" s="378"/>
      <c r="AB103" s="378"/>
      <c r="AC103" s="385"/>
    </row>
    <row r="104" spans="3:29" s="356" customFormat="1" ht="14.25">
      <c r="C104" s="358"/>
      <c r="F104" s="417"/>
      <c r="J104" s="435"/>
      <c r="K104" s="435"/>
      <c r="L104" s="633"/>
      <c r="O104" s="367"/>
      <c r="X104" s="378"/>
      <c r="Y104" s="378"/>
      <c r="Z104" s="385"/>
      <c r="AA104" s="378"/>
      <c r="AB104" s="378"/>
      <c r="AC104" s="385"/>
    </row>
    <row r="105" spans="3:29" s="356" customFormat="1" ht="14.25">
      <c r="C105" s="358"/>
      <c r="F105" s="417"/>
      <c r="J105" s="435"/>
      <c r="K105" s="435"/>
      <c r="L105" s="633"/>
      <c r="O105" s="367"/>
      <c r="X105" s="378"/>
      <c r="Y105" s="378"/>
      <c r="Z105" s="385"/>
      <c r="AA105" s="378"/>
      <c r="AB105" s="378"/>
      <c r="AC105" s="385"/>
    </row>
    <row r="106" spans="3:29" s="356" customFormat="1" ht="14.25">
      <c r="C106" s="358"/>
      <c r="F106" s="417"/>
      <c r="J106" s="435"/>
      <c r="K106" s="435"/>
      <c r="L106" s="633"/>
      <c r="O106" s="367"/>
      <c r="X106" s="378"/>
      <c r="Y106" s="378"/>
      <c r="Z106" s="385"/>
      <c r="AA106" s="378"/>
      <c r="AB106" s="378"/>
      <c r="AC106" s="385"/>
    </row>
    <row r="107" spans="3:29" s="356" customFormat="1" ht="14.25">
      <c r="C107" s="358"/>
      <c r="F107" s="417"/>
      <c r="J107" s="435"/>
      <c r="K107" s="435"/>
      <c r="L107" s="633"/>
      <c r="O107" s="367"/>
      <c r="X107" s="378"/>
      <c r="Y107" s="378"/>
      <c r="Z107" s="385"/>
      <c r="AA107" s="378"/>
      <c r="AB107" s="378"/>
      <c r="AC107" s="385"/>
    </row>
    <row r="108" spans="3:29" s="356" customFormat="1" ht="14.25">
      <c r="C108" s="358"/>
      <c r="F108" s="417"/>
      <c r="J108" s="435"/>
      <c r="K108" s="435"/>
      <c r="L108" s="633"/>
      <c r="O108" s="367"/>
      <c r="X108" s="378"/>
      <c r="Y108" s="378"/>
      <c r="Z108" s="385"/>
      <c r="AA108" s="378"/>
      <c r="AB108" s="378"/>
      <c r="AC108" s="385"/>
    </row>
    <row r="109" spans="3:29" s="356" customFormat="1" ht="14.25">
      <c r="C109" s="358"/>
      <c r="F109" s="417"/>
      <c r="J109" s="435"/>
      <c r="K109" s="435"/>
      <c r="L109" s="633"/>
      <c r="O109" s="367"/>
      <c r="X109" s="378"/>
      <c r="Y109" s="378"/>
      <c r="Z109" s="385"/>
      <c r="AA109" s="378"/>
      <c r="AB109" s="378"/>
      <c r="AC109" s="385"/>
    </row>
    <row r="110" spans="3:29" s="356" customFormat="1" ht="14.25">
      <c r="C110" s="358"/>
      <c r="F110" s="417"/>
      <c r="J110" s="435"/>
      <c r="K110" s="435"/>
      <c r="L110" s="633"/>
      <c r="O110" s="367"/>
      <c r="X110" s="378"/>
      <c r="Y110" s="378"/>
      <c r="Z110" s="385"/>
      <c r="AA110" s="378"/>
      <c r="AB110" s="378"/>
      <c r="AC110" s="385"/>
    </row>
    <row r="111" spans="3:29" s="356" customFormat="1" ht="14.25">
      <c r="C111" s="358"/>
      <c r="F111" s="417"/>
      <c r="J111" s="435"/>
      <c r="K111" s="435"/>
      <c r="L111" s="633"/>
      <c r="O111" s="367"/>
      <c r="X111" s="378"/>
      <c r="Y111" s="378"/>
      <c r="Z111" s="385"/>
      <c r="AA111" s="378"/>
      <c r="AB111" s="378"/>
      <c r="AC111" s="385"/>
    </row>
    <row r="112" spans="3:29" s="356" customFormat="1" ht="14.25">
      <c r="C112" s="358"/>
      <c r="F112" s="417"/>
      <c r="J112" s="435"/>
      <c r="K112" s="435"/>
      <c r="L112" s="633"/>
      <c r="O112" s="367"/>
      <c r="X112" s="378"/>
      <c r="Y112" s="378"/>
      <c r="Z112" s="385"/>
      <c r="AA112" s="378"/>
      <c r="AB112" s="378"/>
      <c r="AC112" s="385"/>
    </row>
    <row r="113" spans="3:29" s="356" customFormat="1" ht="14.25">
      <c r="C113" s="358"/>
      <c r="F113" s="417"/>
      <c r="J113" s="435"/>
      <c r="K113" s="435"/>
      <c r="L113" s="633"/>
      <c r="O113" s="367"/>
      <c r="X113" s="378"/>
      <c r="Y113" s="378"/>
      <c r="Z113" s="385"/>
      <c r="AA113" s="378"/>
      <c r="AB113" s="378"/>
      <c r="AC113" s="385"/>
    </row>
    <row r="114" spans="3:29" s="356" customFormat="1" ht="14.25">
      <c r="C114" s="358"/>
      <c r="F114" s="417"/>
      <c r="J114" s="435"/>
      <c r="K114" s="435"/>
      <c r="L114" s="633"/>
      <c r="O114" s="367"/>
      <c r="X114" s="378"/>
      <c r="Y114" s="378"/>
      <c r="Z114" s="385"/>
      <c r="AA114" s="378"/>
      <c r="AB114" s="378"/>
      <c r="AC114" s="385"/>
    </row>
    <row r="115" spans="3:29" s="356" customFormat="1" ht="14.25">
      <c r="C115" s="358"/>
      <c r="F115" s="417"/>
      <c r="J115" s="435"/>
      <c r="K115" s="435"/>
      <c r="L115" s="633"/>
      <c r="O115" s="367"/>
      <c r="X115" s="378"/>
      <c r="Y115" s="378"/>
      <c r="Z115" s="385"/>
      <c r="AA115" s="378"/>
      <c r="AB115" s="378"/>
      <c r="AC115" s="385"/>
    </row>
    <row r="116" spans="3:29" s="356" customFormat="1" ht="14.25">
      <c r="C116" s="358"/>
      <c r="F116" s="417"/>
      <c r="J116" s="435"/>
      <c r="K116" s="435"/>
      <c r="L116" s="633"/>
      <c r="O116" s="367"/>
      <c r="X116" s="378"/>
      <c r="Y116" s="378"/>
      <c r="Z116" s="385"/>
      <c r="AA116" s="378"/>
      <c r="AB116" s="378"/>
      <c r="AC116" s="385"/>
    </row>
    <row r="117" spans="3:29" s="356" customFormat="1" ht="14.25">
      <c r="C117" s="358"/>
      <c r="F117" s="417"/>
      <c r="J117" s="435"/>
      <c r="K117" s="435"/>
      <c r="L117" s="633"/>
      <c r="O117" s="367"/>
      <c r="X117" s="378"/>
      <c r="Y117" s="378"/>
      <c r="Z117" s="385"/>
      <c r="AA117" s="378"/>
      <c r="AB117" s="378"/>
      <c r="AC117" s="385"/>
    </row>
    <row r="118" spans="3:29" s="356" customFormat="1" ht="14.25">
      <c r="C118" s="358"/>
      <c r="F118" s="417"/>
      <c r="J118" s="435"/>
      <c r="K118" s="435"/>
      <c r="L118" s="633"/>
      <c r="O118" s="367"/>
      <c r="X118" s="378"/>
      <c r="Y118" s="378"/>
      <c r="Z118" s="385"/>
      <c r="AA118" s="378"/>
      <c r="AB118" s="378"/>
      <c r="AC118" s="385"/>
    </row>
    <row r="119" spans="3:29" s="356" customFormat="1" ht="14.25">
      <c r="C119" s="358"/>
      <c r="F119" s="417"/>
      <c r="J119" s="435"/>
      <c r="K119" s="435"/>
      <c r="L119" s="633"/>
      <c r="O119" s="367"/>
      <c r="X119" s="378"/>
      <c r="Y119" s="378"/>
      <c r="Z119" s="385"/>
      <c r="AA119" s="378"/>
      <c r="AB119" s="378"/>
      <c r="AC119" s="385"/>
    </row>
    <row r="120" spans="3:29" s="356" customFormat="1" ht="14.25">
      <c r="C120" s="358"/>
      <c r="F120" s="417"/>
      <c r="J120" s="435"/>
      <c r="K120" s="435"/>
      <c r="L120" s="633"/>
      <c r="O120" s="367"/>
      <c r="X120" s="378"/>
      <c r="Y120" s="378"/>
      <c r="Z120" s="385"/>
      <c r="AA120" s="378"/>
      <c r="AB120" s="378"/>
      <c r="AC120" s="385"/>
    </row>
    <row r="121" spans="3:29" s="356" customFormat="1" ht="14.25">
      <c r="C121" s="358"/>
      <c r="F121" s="417"/>
      <c r="J121" s="435"/>
      <c r="K121" s="435"/>
      <c r="L121" s="633"/>
      <c r="O121" s="367"/>
      <c r="X121" s="378"/>
      <c r="Y121" s="378"/>
      <c r="Z121" s="385"/>
      <c r="AA121" s="378"/>
      <c r="AB121" s="378"/>
      <c r="AC121" s="385"/>
    </row>
    <row r="122" spans="3:29" s="356" customFormat="1" ht="14.25">
      <c r="C122" s="358"/>
      <c r="F122" s="417"/>
      <c r="J122" s="435"/>
      <c r="K122" s="435"/>
      <c r="L122" s="633"/>
      <c r="O122" s="367"/>
      <c r="X122" s="378"/>
      <c r="Y122" s="378"/>
      <c r="Z122" s="385"/>
      <c r="AA122" s="378"/>
      <c r="AB122" s="378"/>
      <c r="AC122" s="385"/>
    </row>
    <row r="123" spans="3:29" s="356" customFormat="1" ht="14.25">
      <c r="C123" s="358"/>
      <c r="F123" s="417"/>
      <c r="J123" s="435"/>
      <c r="K123" s="435"/>
      <c r="L123" s="633"/>
      <c r="O123" s="367"/>
      <c r="X123" s="378"/>
      <c r="Y123" s="378"/>
      <c r="Z123" s="385"/>
      <c r="AA123" s="378"/>
      <c r="AB123" s="378"/>
      <c r="AC123" s="385"/>
    </row>
    <row r="124" spans="3:29" s="356" customFormat="1" ht="14.25">
      <c r="C124" s="358"/>
      <c r="F124" s="417"/>
      <c r="J124" s="435"/>
      <c r="K124" s="435"/>
      <c r="L124" s="633"/>
      <c r="O124" s="367"/>
      <c r="X124" s="378"/>
      <c r="Y124" s="378"/>
      <c r="Z124" s="385"/>
      <c r="AA124" s="378"/>
      <c r="AB124" s="378"/>
      <c r="AC124" s="385"/>
    </row>
    <row r="125" spans="3:29" s="356" customFormat="1" ht="14.25">
      <c r="C125" s="358"/>
      <c r="F125" s="417"/>
      <c r="J125" s="435"/>
      <c r="K125" s="435"/>
      <c r="L125" s="633"/>
      <c r="O125" s="367"/>
      <c r="X125" s="378"/>
      <c r="Y125" s="378"/>
      <c r="Z125" s="385"/>
      <c r="AA125" s="378"/>
      <c r="AB125" s="378"/>
      <c r="AC125" s="385"/>
    </row>
    <row r="126" spans="3:29" s="356" customFormat="1" ht="14.25">
      <c r="C126" s="358"/>
      <c r="F126" s="417"/>
      <c r="J126" s="435"/>
      <c r="K126" s="435"/>
      <c r="L126" s="633"/>
      <c r="O126" s="367"/>
      <c r="X126" s="378"/>
      <c r="Y126" s="378"/>
      <c r="Z126" s="385"/>
      <c r="AA126" s="378"/>
      <c r="AB126" s="378"/>
      <c r="AC126" s="385"/>
    </row>
    <row r="127" spans="3:29" s="356" customFormat="1" ht="14.25">
      <c r="C127" s="358"/>
      <c r="F127" s="417"/>
      <c r="J127" s="435"/>
      <c r="K127" s="435"/>
      <c r="L127" s="633"/>
      <c r="O127" s="367"/>
      <c r="X127" s="378"/>
      <c r="Y127" s="378"/>
      <c r="Z127" s="385"/>
      <c r="AA127" s="378"/>
      <c r="AB127" s="378"/>
      <c r="AC127" s="385"/>
    </row>
    <row r="128" spans="3:29" s="356" customFormat="1" ht="14.25">
      <c r="C128" s="358"/>
      <c r="F128" s="417"/>
      <c r="J128" s="435"/>
      <c r="K128" s="435"/>
      <c r="L128" s="633"/>
      <c r="O128" s="367"/>
      <c r="X128" s="378"/>
      <c r="Y128" s="378"/>
      <c r="Z128" s="385"/>
      <c r="AA128" s="378"/>
      <c r="AB128" s="378"/>
      <c r="AC128" s="385"/>
    </row>
    <row r="129" spans="3:29" s="356" customFormat="1" ht="14.25">
      <c r="C129" s="358"/>
      <c r="F129" s="417"/>
      <c r="J129" s="435"/>
      <c r="K129" s="435"/>
      <c r="L129" s="633"/>
      <c r="O129" s="367"/>
      <c r="X129" s="378"/>
      <c r="Y129" s="378"/>
      <c r="Z129" s="385"/>
      <c r="AA129" s="378"/>
      <c r="AB129" s="378"/>
      <c r="AC129" s="385"/>
    </row>
    <row r="130" spans="3:29" s="356" customFormat="1" ht="14.25">
      <c r="C130" s="358"/>
      <c r="F130" s="417"/>
      <c r="J130" s="435"/>
      <c r="K130" s="435"/>
      <c r="L130" s="633"/>
      <c r="O130" s="367"/>
      <c r="X130" s="378"/>
      <c r="Y130" s="378"/>
      <c r="Z130" s="385"/>
      <c r="AA130" s="378"/>
      <c r="AB130" s="378"/>
      <c r="AC130" s="385"/>
    </row>
    <row r="131" spans="3:29" s="356" customFormat="1" ht="14.25">
      <c r="C131" s="358"/>
      <c r="F131" s="417"/>
      <c r="J131" s="435"/>
      <c r="K131" s="435"/>
      <c r="L131" s="633"/>
      <c r="O131" s="367"/>
      <c r="X131" s="378"/>
      <c r="Y131" s="378"/>
      <c r="Z131" s="385"/>
      <c r="AA131" s="378"/>
      <c r="AB131" s="378"/>
      <c r="AC131" s="385"/>
    </row>
    <row r="132" spans="3:29" s="356" customFormat="1" ht="14.25">
      <c r="C132" s="358"/>
      <c r="F132" s="417"/>
      <c r="J132" s="435"/>
      <c r="K132" s="435"/>
      <c r="L132" s="633"/>
      <c r="O132" s="367"/>
      <c r="X132" s="378"/>
      <c r="Y132" s="378"/>
      <c r="Z132" s="385"/>
      <c r="AA132" s="378"/>
      <c r="AB132" s="378"/>
      <c r="AC132" s="385"/>
    </row>
    <row r="133" spans="3:29" s="356" customFormat="1" ht="14.25">
      <c r="C133" s="358"/>
      <c r="F133" s="417"/>
      <c r="J133" s="435"/>
      <c r="K133" s="435"/>
      <c r="L133" s="633"/>
      <c r="O133" s="367"/>
      <c r="X133" s="378"/>
      <c r="Y133" s="378"/>
      <c r="Z133" s="385"/>
      <c r="AA133" s="378"/>
      <c r="AB133" s="378"/>
      <c r="AC133" s="385"/>
    </row>
    <row r="134" spans="3:29" s="356" customFormat="1" ht="14.25">
      <c r="C134" s="358"/>
      <c r="F134" s="417"/>
      <c r="J134" s="435"/>
      <c r="K134" s="435"/>
      <c r="L134" s="633"/>
      <c r="O134" s="367"/>
      <c r="X134" s="378"/>
      <c r="Y134" s="378"/>
      <c r="Z134" s="385"/>
      <c r="AA134" s="378"/>
      <c r="AB134" s="378"/>
      <c r="AC134" s="385"/>
    </row>
    <row r="135" spans="3:29" s="356" customFormat="1" ht="14.25">
      <c r="C135" s="358"/>
      <c r="F135" s="417"/>
      <c r="J135" s="435"/>
      <c r="K135" s="435"/>
      <c r="L135" s="633"/>
      <c r="O135" s="367"/>
      <c r="X135" s="378"/>
      <c r="Y135" s="378"/>
      <c r="Z135" s="385"/>
      <c r="AA135" s="378"/>
      <c r="AB135" s="378"/>
      <c r="AC135" s="385"/>
    </row>
    <row r="136" spans="3:29" s="356" customFormat="1" ht="14.25">
      <c r="C136" s="358"/>
      <c r="F136" s="417"/>
      <c r="J136" s="435"/>
      <c r="K136" s="435"/>
      <c r="L136" s="633"/>
      <c r="O136" s="367"/>
      <c r="X136" s="378"/>
      <c r="Y136" s="378"/>
      <c r="Z136" s="385"/>
      <c r="AA136" s="378"/>
      <c r="AB136" s="378"/>
      <c r="AC136" s="385"/>
    </row>
    <row r="137" spans="3:29" s="356" customFormat="1" ht="14.25">
      <c r="C137" s="358"/>
      <c r="F137" s="417"/>
      <c r="J137" s="435"/>
      <c r="K137" s="435"/>
      <c r="L137" s="633"/>
      <c r="O137" s="367"/>
      <c r="X137" s="378"/>
      <c r="Y137" s="378"/>
      <c r="Z137" s="385"/>
      <c r="AA137" s="378"/>
      <c r="AB137" s="378"/>
      <c r="AC137" s="385"/>
    </row>
    <row r="138" spans="3:29" s="356" customFormat="1" ht="14.25">
      <c r="C138" s="358"/>
      <c r="F138" s="417"/>
      <c r="J138" s="435"/>
      <c r="K138" s="435"/>
      <c r="L138" s="633"/>
      <c r="O138" s="367"/>
      <c r="X138" s="378"/>
      <c r="Y138" s="378"/>
      <c r="Z138" s="385"/>
      <c r="AA138" s="378"/>
      <c r="AB138" s="378"/>
      <c r="AC138" s="385"/>
    </row>
    <row r="139" spans="3:29" s="356" customFormat="1" ht="14.25">
      <c r="C139" s="358"/>
      <c r="F139" s="417"/>
      <c r="J139" s="435"/>
      <c r="K139" s="435"/>
      <c r="L139" s="633"/>
      <c r="O139" s="367"/>
      <c r="X139" s="378"/>
      <c r="Y139" s="378"/>
      <c r="Z139" s="385"/>
      <c r="AA139" s="378"/>
      <c r="AB139" s="378"/>
      <c r="AC139" s="385"/>
    </row>
    <row r="140" spans="3:29" s="356" customFormat="1" ht="14.25">
      <c r="C140" s="358"/>
      <c r="F140" s="417"/>
      <c r="J140" s="435"/>
      <c r="K140" s="435"/>
      <c r="L140" s="633"/>
      <c r="O140" s="367"/>
      <c r="X140" s="378"/>
      <c r="Y140" s="378"/>
      <c r="Z140" s="385"/>
      <c r="AA140" s="378"/>
      <c r="AB140" s="378"/>
      <c r="AC140" s="385"/>
    </row>
    <row r="141" spans="3:29" s="356" customFormat="1" ht="14.25">
      <c r="C141" s="358"/>
      <c r="F141" s="417"/>
      <c r="J141" s="435"/>
      <c r="K141" s="435"/>
      <c r="L141" s="633"/>
      <c r="O141" s="367"/>
      <c r="X141" s="378"/>
      <c r="Y141" s="378"/>
      <c r="Z141" s="385"/>
      <c r="AA141" s="378"/>
      <c r="AB141" s="378"/>
      <c r="AC141" s="385"/>
    </row>
    <row r="142" spans="3:29" s="356" customFormat="1" ht="14.25">
      <c r="C142" s="358"/>
      <c r="F142" s="417"/>
      <c r="J142" s="435"/>
      <c r="K142" s="435"/>
      <c r="L142" s="633"/>
      <c r="O142" s="367"/>
      <c r="X142" s="378"/>
      <c r="Y142" s="378"/>
      <c r="Z142" s="385"/>
      <c r="AA142" s="378"/>
      <c r="AB142" s="378"/>
      <c r="AC142" s="385"/>
    </row>
    <row r="143" spans="3:29" s="356" customFormat="1" ht="14.25">
      <c r="C143" s="358"/>
      <c r="F143" s="417"/>
      <c r="J143" s="435"/>
      <c r="K143" s="435"/>
      <c r="L143" s="633"/>
      <c r="O143" s="367"/>
      <c r="X143" s="378"/>
      <c r="Y143" s="378"/>
      <c r="Z143" s="385"/>
      <c r="AA143" s="378"/>
      <c r="AB143" s="378"/>
      <c r="AC143" s="385"/>
    </row>
    <row r="144" spans="3:29" s="356" customFormat="1" ht="14.25">
      <c r="C144" s="358"/>
      <c r="F144" s="417"/>
      <c r="J144" s="435"/>
      <c r="K144" s="435"/>
      <c r="L144" s="633"/>
      <c r="O144" s="367"/>
      <c r="X144" s="378"/>
      <c r="Y144" s="378"/>
      <c r="Z144" s="385"/>
      <c r="AA144" s="378"/>
      <c r="AB144" s="378"/>
      <c r="AC144" s="385"/>
    </row>
    <row r="145" spans="3:29" s="356" customFormat="1" ht="14.25">
      <c r="C145" s="358"/>
      <c r="F145" s="417"/>
      <c r="J145" s="435"/>
      <c r="K145" s="435"/>
      <c r="L145" s="633"/>
      <c r="O145" s="367"/>
      <c r="X145" s="378"/>
      <c r="Y145" s="378"/>
      <c r="Z145" s="385"/>
      <c r="AA145" s="378"/>
      <c r="AB145" s="378"/>
      <c r="AC145" s="385"/>
    </row>
    <row r="146" spans="3:29" s="356" customFormat="1" ht="14.25">
      <c r="C146" s="358"/>
      <c r="F146" s="417"/>
      <c r="J146" s="435"/>
      <c r="K146" s="435"/>
      <c r="L146" s="633"/>
      <c r="O146" s="367"/>
      <c r="X146" s="378"/>
      <c r="Y146" s="378"/>
      <c r="Z146" s="385"/>
      <c r="AA146" s="378"/>
      <c r="AB146" s="378"/>
      <c r="AC146" s="385"/>
    </row>
    <row r="147" spans="3:29" s="356" customFormat="1" ht="14.25">
      <c r="C147" s="358"/>
      <c r="F147" s="417"/>
      <c r="J147" s="435"/>
      <c r="K147" s="435"/>
      <c r="L147" s="633"/>
      <c r="O147" s="367"/>
      <c r="X147" s="378"/>
      <c r="Y147" s="378"/>
      <c r="Z147" s="385"/>
      <c r="AA147" s="378"/>
      <c r="AB147" s="378"/>
      <c r="AC147" s="385"/>
    </row>
    <row r="148" spans="3:29" s="356" customFormat="1" ht="14.25">
      <c r="C148" s="358"/>
      <c r="F148" s="417"/>
      <c r="J148" s="435"/>
      <c r="K148" s="435"/>
      <c r="L148" s="633"/>
      <c r="O148" s="367"/>
      <c r="X148" s="378"/>
      <c r="Y148" s="378"/>
      <c r="Z148" s="385"/>
      <c r="AA148" s="378"/>
      <c r="AB148" s="378"/>
      <c r="AC148" s="385"/>
    </row>
    <row r="149" spans="3:29" s="356" customFormat="1" ht="14.25">
      <c r="C149" s="358"/>
      <c r="F149" s="417"/>
      <c r="J149" s="435"/>
      <c r="K149" s="435"/>
      <c r="L149" s="633"/>
      <c r="O149" s="367"/>
      <c r="X149" s="378"/>
      <c r="Y149" s="378"/>
      <c r="Z149" s="385"/>
      <c r="AA149" s="378"/>
      <c r="AB149" s="378"/>
      <c r="AC149" s="385"/>
    </row>
    <row r="150" spans="3:29" s="356" customFormat="1" ht="14.25">
      <c r="C150" s="358"/>
      <c r="F150" s="417"/>
      <c r="J150" s="435"/>
      <c r="K150" s="435"/>
      <c r="L150" s="633"/>
      <c r="O150" s="367"/>
      <c r="X150" s="378"/>
      <c r="Y150" s="378"/>
      <c r="Z150" s="385"/>
      <c r="AA150" s="378"/>
      <c r="AB150" s="378"/>
      <c r="AC150" s="385"/>
    </row>
    <row r="151" spans="3:29" s="356" customFormat="1" ht="14.25">
      <c r="C151" s="358"/>
      <c r="F151" s="417"/>
      <c r="J151" s="435"/>
      <c r="K151" s="435"/>
      <c r="L151" s="633"/>
      <c r="O151" s="367"/>
      <c r="X151" s="378"/>
      <c r="Y151" s="378"/>
      <c r="Z151" s="385"/>
      <c r="AA151" s="378"/>
      <c r="AB151" s="378"/>
      <c r="AC151" s="385"/>
    </row>
    <row r="152" spans="3:29" s="356" customFormat="1" ht="14.25">
      <c r="C152" s="358"/>
      <c r="F152" s="417"/>
      <c r="J152" s="435"/>
      <c r="K152" s="435"/>
      <c r="L152" s="633"/>
      <c r="O152" s="367"/>
      <c r="X152" s="378"/>
      <c r="Y152" s="378"/>
      <c r="Z152" s="385"/>
      <c r="AA152" s="378"/>
      <c r="AB152" s="378"/>
      <c r="AC152" s="385"/>
    </row>
    <row r="153" spans="3:29" s="356" customFormat="1" ht="14.25">
      <c r="C153" s="358"/>
      <c r="F153" s="417"/>
      <c r="J153" s="435"/>
      <c r="K153" s="435"/>
      <c r="L153" s="633"/>
      <c r="O153" s="367"/>
      <c r="X153" s="378"/>
      <c r="Y153" s="378"/>
      <c r="Z153" s="385"/>
      <c r="AA153" s="378"/>
      <c r="AB153" s="378"/>
      <c r="AC153" s="385"/>
    </row>
    <row r="154" spans="3:29" s="356" customFormat="1" ht="14.25">
      <c r="C154" s="358"/>
      <c r="F154" s="417"/>
      <c r="J154" s="435"/>
      <c r="K154" s="435"/>
      <c r="L154" s="633"/>
      <c r="O154" s="367"/>
      <c r="X154" s="378"/>
      <c r="Y154" s="378"/>
      <c r="Z154" s="385"/>
      <c r="AA154" s="378"/>
      <c r="AB154" s="378"/>
      <c r="AC154" s="385"/>
    </row>
    <row r="155" spans="3:29" s="356" customFormat="1" ht="14.25">
      <c r="C155" s="358"/>
      <c r="F155" s="417"/>
      <c r="J155" s="435"/>
      <c r="K155" s="435"/>
      <c r="L155" s="633"/>
      <c r="O155" s="367"/>
      <c r="X155" s="378"/>
      <c r="Y155" s="378"/>
      <c r="Z155" s="385"/>
      <c r="AA155" s="378"/>
      <c r="AB155" s="378"/>
      <c r="AC155" s="385"/>
    </row>
    <row r="156" spans="3:29" s="356" customFormat="1" ht="14.25">
      <c r="C156" s="358"/>
      <c r="F156" s="417"/>
      <c r="J156" s="435"/>
      <c r="K156" s="435"/>
      <c r="L156" s="633"/>
      <c r="O156" s="367"/>
      <c r="X156" s="378"/>
      <c r="Y156" s="378"/>
      <c r="Z156" s="385"/>
      <c r="AA156" s="378"/>
      <c r="AB156" s="378"/>
      <c r="AC156" s="385"/>
    </row>
    <row r="157" spans="3:29" s="356" customFormat="1" ht="14.25">
      <c r="C157" s="358"/>
      <c r="F157" s="417"/>
      <c r="J157" s="435"/>
      <c r="K157" s="435"/>
      <c r="L157" s="633"/>
      <c r="O157" s="367"/>
      <c r="X157" s="378"/>
      <c r="Y157" s="378"/>
      <c r="Z157" s="385"/>
      <c r="AA157" s="378"/>
      <c r="AB157" s="378"/>
      <c r="AC157" s="385"/>
    </row>
    <row r="158" spans="3:29" s="356" customFormat="1" ht="14.25">
      <c r="C158" s="358"/>
      <c r="F158" s="417"/>
      <c r="J158" s="435"/>
      <c r="K158" s="435"/>
      <c r="L158" s="633"/>
      <c r="O158" s="367"/>
      <c r="X158" s="378"/>
      <c r="Y158" s="378"/>
      <c r="Z158" s="385"/>
      <c r="AA158" s="378"/>
      <c r="AB158" s="378"/>
      <c r="AC158" s="385"/>
    </row>
    <row r="159" spans="3:29" s="356" customFormat="1" ht="14.25">
      <c r="C159" s="358"/>
      <c r="F159" s="417"/>
      <c r="J159" s="435"/>
      <c r="K159" s="435"/>
      <c r="L159" s="633"/>
      <c r="O159" s="367"/>
      <c r="X159" s="378"/>
      <c r="Y159" s="378"/>
      <c r="Z159" s="385"/>
      <c r="AA159" s="378"/>
      <c r="AB159" s="378"/>
      <c r="AC159" s="385"/>
    </row>
    <row r="160" spans="3:29" s="356" customFormat="1" ht="14.25">
      <c r="C160" s="358"/>
      <c r="F160" s="417"/>
      <c r="J160" s="435"/>
      <c r="K160" s="435"/>
      <c r="L160" s="633"/>
      <c r="O160" s="367"/>
      <c r="X160" s="378"/>
      <c r="Y160" s="378"/>
      <c r="Z160" s="385"/>
      <c r="AA160" s="378"/>
      <c r="AB160" s="378"/>
      <c r="AC160" s="385"/>
    </row>
    <row r="161" spans="1:29" s="356" customFormat="1" ht="14.25">
      <c r="C161" s="358"/>
      <c r="F161" s="417"/>
      <c r="J161" s="435"/>
      <c r="K161" s="435"/>
      <c r="L161" s="633"/>
      <c r="O161" s="367"/>
      <c r="X161" s="378"/>
      <c r="Y161" s="378"/>
      <c r="Z161" s="385"/>
      <c r="AA161" s="378"/>
      <c r="AB161" s="378"/>
      <c r="AC161" s="385"/>
    </row>
    <row r="162" spans="1:29" s="356" customFormat="1" ht="14.25">
      <c r="C162" s="358"/>
      <c r="F162" s="417"/>
      <c r="J162" s="435"/>
      <c r="K162" s="435"/>
      <c r="L162" s="633"/>
      <c r="O162" s="367"/>
      <c r="X162" s="378"/>
      <c r="Y162" s="378"/>
      <c r="Z162" s="385"/>
      <c r="AA162" s="378"/>
      <c r="AB162" s="378"/>
      <c r="AC162" s="385"/>
    </row>
    <row r="163" spans="1:29" s="356" customFormat="1" ht="14.25">
      <c r="C163" s="358"/>
      <c r="F163" s="417"/>
      <c r="J163" s="435"/>
      <c r="K163" s="435"/>
      <c r="L163" s="633"/>
      <c r="O163" s="367"/>
      <c r="X163" s="378"/>
      <c r="Y163" s="378"/>
      <c r="Z163" s="385"/>
      <c r="AA163" s="378"/>
      <c r="AB163" s="378"/>
      <c r="AC163" s="385"/>
    </row>
    <row r="164" spans="1:29" s="356" customFormat="1" ht="14.25">
      <c r="C164" s="358"/>
      <c r="F164" s="417"/>
      <c r="J164" s="435"/>
      <c r="K164" s="435"/>
      <c r="L164" s="633"/>
      <c r="O164" s="367"/>
      <c r="X164" s="378"/>
      <c r="Y164" s="378"/>
      <c r="Z164" s="385"/>
      <c r="AA164" s="378"/>
      <c r="AB164" s="378"/>
      <c r="AC164" s="385"/>
    </row>
    <row r="165" spans="1:29" s="356" customFormat="1" ht="14.25">
      <c r="C165" s="358"/>
      <c r="F165" s="417"/>
      <c r="J165" s="435"/>
      <c r="K165" s="435"/>
      <c r="L165" s="633"/>
      <c r="O165" s="367"/>
      <c r="X165" s="378"/>
      <c r="Y165" s="378"/>
      <c r="Z165" s="385"/>
      <c r="AA165" s="378"/>
      <c r="AB165" s="378"/>
      <c r="AC165" s="385"/>
    </row>
    <row r="166" spans="1:29" s="356" customFormat="1" ht="14.25">
      <c r="C166" s="358"/>
      <c r="F166" s="417"/>
      <c r="J166" s="435"/>
      <c r="K166" s="435"/>
      <c r="L166" s="633"/>
      <c r="O166" s="367"/>
      <c r="X166" s="378"/>
      <c r="Y166" s="378"/>
      <c r="Z166" s="385"/>
      <c r="AA166" s="378"/>
      <c r="AB166" s="378"/>
      <c r="AC166" s="385"/>
    </row>
    <row r="167" spans="1:29" s="356" customFormat="1" ht="14.25">
      <c r="C167" s="358"/>
      <c r="F167" s="417"/>
      <c r="J167" s="435"/>
      <c r="K167" s="435"/>
      <c r="L167" s="633"/>
      <c r="O167" s="367"/>
      <c r="X167" s="378"/>
      <c r="Y167" s="378"/>
      <c r="Z167" s="385"/>
      <c r="AA167" s="378"/>
      <c r="AB167" s="378"/>
      <c r="AC167" s="385"/>
    </row>
    <row r="168" spans="1:29" s="356" customFormat="1" ht="14.25">
      <c r="C168" s="358"/>
      <c r="F168" s="417"/>
      <c r="J168" s="435"/>
      <c r="K168" s="435"/>
      <c r="L168" s="633"/>
      <c r="O168" s="367"/>
      <c r="X168" s="378"/>
      <c r="Y168" s="378"/>
      <c r="Z168" s="385"/>
      <c r="AA168" s="378"/>
      <c r="AB168" s="378"/>
      <c r="AC168" s="385"/>
    </row>
    <row r="169" spans="1:29">
      <c r="A169" s="356"/>
      <c r="B169" s="356"/>
      <c r="C169" s="358"/>
      <c r="D169" s="356"/>
      <c r="F169" s="417"/>
      <c r="J169" s="435"/>
      <c r="K169" s="435"/>
      <c r="L169" s="633"/>
    </row>
  </sheetData>
  <mergeCells count="4">
    <mergeCell ref="A4:A6"/>
    <mergeCell ref="B4:B6"/>
    <mergeCell ref="A9:A11"/>
    <mergeCell ref="B9:B11"/>
  </mergeCells>
  <phoneticPr fontId="3" type="noConversion"/>
  <conditionalFormatting sqref="L4:L18">
    <cfRule type="cellIs" dxfId="95" priority="45" stopIfTrue="1" operator="lessThanOrEqual">
      <formula>-0.3</formula>
    </cfRule>
    <cfRule type="cellIs" dxfId="94" priority="46" stopIfTrue="1" operator="greaterThanOrEqual">
      <formula>0.3</formula>
    </cfRule>
  </conditionalFormatting>
  <conditionalFormatting sqref="P4:S18">
    <cfRule type="expression" dxfId="93" priority="43">
      <formula>P4&lt;&gt;0</formula>
    </cfRule>
  </conditionalFormatting>
  <conditionalFormatting sqref="P5:S5">
    <cfRule type="expression" dxfId="92" priority="41">
      <formula>$P$5&lt;〉0</formula>
    </cfRule>
  </conditionalFormatting>
  <conditionalFormatting sqref="O5:O6 O10:O18 O8">
    <cfRule type="expression" dxfId="91" priority="39">
      <formula>O5&lt;0</formula>
    </cfRule>
  </conditionalFormatting>
  <conditionalFormatting sqref="O5:O6 O10:O18 O8">
    <cfRule type="cellIs" dxfId="90" priority="37" stopIfTrue="1" operator="lessThan">
      <formula>0</formula>
    </cfRule>
    <cfRule type="cellIs" dxfId="89" priority="38" operator="greaterThan">
      <formula>0</formula>
    </cfRule>
  </conditionalFormatting>
  <hyperlinks>
    <hyperlink ref="D30" location="权重!A1" display="权重!A1"/>
    <hyperlink ref="D31" location="目录!A1" display="目录!A1"/>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sheetPr>
  <dimension ref="A1:U162"/>
  <sheetViews>
    <sheetView workbookViewId="0">
      <pane xSplit="8" ySplit="3" topLeftCell="I4" activePane="bottomRight" state="frozenSplit"/>
      <selection activeCell="C1" sqref="C1"/>
      <selection pane="topRight" activeCell="F1" sqref="F1"/>
      <selection pane="bottomLeft" activeCell="C17" sqref="C17"/>
      <selection pane="bottomRight" activeCell="J29" sqref="J29"/>
    </sheetView>
  </sheetViews>
  <sheetFormatPr defaultColWidth="8.875" defaultRowHeight="15" outlineLevelRow="1" outlineLevelCol="2"/>
  <cols>
    <col min="1" max="1" width="20.75" style="581" hidden="1" customWidth="1" outlineLevel="1"/>
    <col min="2" max="2" width="38.25" style="581" hidden="1" customWidth="1" outlineLevel="1"/>
    <col min="3" max="3" width="6.875" style="627" customWidth="1" collapsed="1"/>
    <col min="4" max="4" width="28.375" style="581" customWidth="1"/>
    <col min="5" max="5" width="12.75" style="581" hidden="1" customWidth="1" outlineLevel="1"/>
    <col min="6" max="6" width="11.5" style="582" hidden="1" customWidth="1" outlineLevel="2"/>
    <col min="7" max="7" width="9" style="581" hidden="1" customWidth="1" outlineLevel="1" collapsed="1"/>
    <col min="8" max="8" width="8.875" style="582" customWidth="1" collapsed="1"/>
    <col min="9" max="9" width="17.5" style="581" customWidth="1" collapsed="1"/>
    <col min="10" max="10" width="17.5" style="581" customWidth="1"/>
    <col min="11" max="11" width="8.625" style="581" hidden="1" customWidth="1"/>
    <col min="12" max="12" width="31.875" style="581" hidden="1" customWidth="1"/>
    <col min="13" max="13" width="33.625" style="581" hidden="1" customWidth="1"/>
    <col min="14" max="14" width="8.875" style="628" customWidth="1"/>
    <col min="15" max="19" width="8.875" style="581" customWidth="1"/>
    <col min="20" max="21" width="11.25" style="581" bestFit="1" customWidth="1"/>
    <col min="22" max="16384" width="8.875" style="581"/>
  </cols>
  <sheetData>
    <row r="1" spans="1:21">
      <c r="A1" s="579"/>
      <c r="B1" s="579"/>
      <c r="C1" s="579" t="s">
        <v>195</v>
      </c>
      <c r="D1" s="579"/>
      <c r="E1" s="580"/>
      <c r="F1" s="580"/>
      <c r="I1" s="580"/>
      <c r="J1" s="580"/>
    </row>
    <row r="2" spans="1:21">
      <c r="A2" s="583"/>
      <c r="B2" s="583"/>
      <c r="C2" s="583"/>
      <c r="D2" s="583"/>
      <c r="E2" s="583"/>
      <c r="F2" s="583"/>
      <c r="I2" s="583"/>
      <c r="J2" s="583"/>
      <c r="K2" s="580"/>
      <c r="P2" s="584" t="s">
        <v>1637</v>
      </c>
    </row>
    <row r="3" spans="1:21">
      <c r="A3" s="585" t="s">
        <v>1555</v>
      </c>
      <c r="B3" s="585" t="s">
        <v>1556</v>
      </c>
      <c r="C3" s="585" t="s">
        <v>183</v>
      </c>
      <c r="D3" s="586" t="s">
        <v>196</v>
      </c>
      <c r="E3" s="586" t="s">
        <v>1467</v>
      </c>
      <c r="F3" s="586" t="s">
        <v>391</v>
      </c>
      <c r="G3" s="586" t="s">
        <v>1468</v>
      </c>
      <c r="H3" s="586" t="s">
        <v>1537</v>
      </c>
      <c r="I3" s="586" t="s">
        <v>2177</v>
      </c>
      <c r="J3" s="587" t="s">
        <v>2428</v>
      </c>
      <c r="K3" s="586" t="s">
        <v>1506</v>
      </c>
      <c r="L3" s="586"/>
      <c r="M3" s="586"/>
      <c r="N3" s="559" t="s">
        <v>1554</v>
      </c>
      <c r="O3" s="587" t="s">
        <v>2430</v>
      </c>
      <c r="P3" s="586" t="s">
        <v>2429</v>
      </c>
      <c r="Q3" s="588" t="s">
        <v>1557</v>
      </c>
      <c r="R3" s="588" t="s">
        <v>462</v>
      </c>
      <c r="S3" s="588" t="s">
        <v>1587</v>
      </c>
      <c r="T3" s="588" t="s">
        <v>1588</v>
      </c>
      <c r="U3" s="588" t="s">
        <v>2383</v>
      </c>
    </row>
    <row r="4" spans="1:21" s="599" customFormat="1" ht="15.6" customHeight="1">
      <c r="A4" s="589" t="s">
        <v>387</v>
      </c>
      <c r="B4" s="589" t="s">
        <v>371</v>
      </c>
      <c r="C4" s="590">
        <v>1</v>
      </c>
      <c r="D4" s="591" t="s">
        <v>164</v>
      </c>
      <c r="E4" s="592" t="s">
        <v>203</v>
      </c>
      <c r="F4" s="593" t="s">
        <v>405</v>
      </c>
      <c r="G4" s="594" t="s">
        <v>231</v>
      </c>
      <c r="H4" s="595">
        <v>5</v>
      </c>
      <c r="I4" s="596" t="s">
        <v>165</v>
      </c>
      <c r="J4" s="596" t="s">
        <v>165</v>
      </c>
      <c r="K4" s="597"/>
      <c r="L4" s="594" t="s">
        <v>165</v>
      </c>
      <c r="M4" s="594" t="s">
        <v>166</v>
      </c>
      <c r="N4" s="629">
        <f t="shared" ref="N4:N22" si="0">IF((J4=I4)=TRUE,0,1)</f>
        <v>0</v>
      </c>
      <c r="O4" s="182">
        <v>5</v>
      </c>
      <c r="P4" s="182">
        <v>5</v>
      </c>
      <c r="Q4" s="598">
        <f>O4-P4</f>
        <v>0</v>
      </c>
      <c r="R4" s="182">
        <f t="shared" ref="R4:R21" si="1">H4-O4</f>
        <v>0</v>
      </c>
      <c r="S4" s="182">
        <f>R4*100%</f>
        <v>0</v>
      </c>
      <c r="T4" s="182">
        <f>S4/9</f>
        <v>0</v>
      </c>
      <c r="U4" s="182">
        <f>T4/2</f>
        <v>0</v>
      </c>
    </row>
    <row r="5" spans="1:21" s="599" customFormat="1" ht="15.6" customHeight="1">
      <c r="A5" s="1762" t="s">
        <v>388</v>
      </c>
      <c r="B5" s="1763" t="s">
        <v>372</v>
      </c>
      <c r="C5" s="590">
        <v>2</v>
      </c>
      <c r="D5" s="591" t="s">
        <v>167</v>
      </c>
      <c r="E5" s="592" t="s">
        <v>203</v>
      </c>
      <c r="F5" s="600" t="s">
        <v>401</v>
      </c>
      <c r="G5" s="594" t="s">
        <v>231</v>
      </c>
      <c r="H5" s="595">
        <v>10</v>
      </c>
      <c r="I5" s="596" t="s">
        <v>168</v>
      </c>
      <c r="J5" s="596" t="s">
        <v>168</v>
      </c>
      <c r="K5" s="597"/>
      <c r="L5" s="594" t="s">
        <v>168</v>
      </c>
      <c r="M5" s="594" t="s">
        <v>169</v>
      </c>
      <c r="N5" s="629">
        <f t="shared" si="0"/>
        <v>0</v>
      </c>
      <c r="O5" s="182">
        <v>10</v>
      </c>
      <c r="P5" s="182">
        <v>10</v>
      </c>
      <c r="Q5" s="598">
        <f t="shared" ref="Q5:Q21" si="2">O5-P5</f>
        <v>0</v>
      </c>
      <c r="R5" s="182">
        <f t="shared" si="1"/>
        <v>0</v>
      </c>
      <c r="S5" s="182">
        <f t="shared" ref="S5:S26" si="3">R5*100%</f>
        <v>0</v>
      </c>
      <c r="T5" s="182">
        <f t="shared" ref="T5:T26" si="4">S5/9</f>
        <v>0</v>
      </c>
      <c r="U5" s="182">
        <f t="shared" ref="U5:U26" si="5">T5/2</f>
        <v>0</v>
      </c>
    </row>
    <row r="6" spans="1:21" s="599" customFormat="1" ht="15.6" customHeight="1">
      <c r="A6" s="1762"/>
      <c r="B6" s="1763"/>
      <c r="C6" s="590">
        <v>3</v>
      </c>
      <c r="D6" s="591" t="s">
        <v>170</v>
      </c>
      <c r="E6" s="592" t="s">
        <v>203</v>
      </c>
      <c r="F6" s="600" t="s">
        <v>401</v>
      </c>
      <c r="G6" s="594" t="s">
        <v>231</v>
      </c>
      <c r="H6" s="595">
        <v>5</v>
      </c>
      <c r="I6" s="596" t="s">
        <v>171</v>
      </c>
      <c r="J6" s="596" t="s">
        <v>171</v>
      </c>
      <c r="K6" s="597"/>
      <c r="L6" s="594" t="s">
        <v>171</v>
      </c>
      <c r="M6" s="594" t="s">
        <v>172</v>
      </c>
      <c r="N6" s="629">
        <f t="shared" si="0"/>
        <v>0</v>
      </c>
      <c r="O6" s="182">
        <v>5</v>
      </c>
      <c r="P6" s="182">
        <v>5</v>
      </c>
      <c r="Q6" s="598">
        <f t="shared" si="2"/>
        <v>0</v>
      </c>
      <c r="R6" s="182">
        <f t="shared" si="1"/>
        <v>0</v>
      </c>
      <c r="S6" s="182">
        <f t="shared" si="3"/>
        <v>0</v>
      </c>
      <c r="T6" s="182">
        <f t="shared" si="4"/>
        <v>0</v>
      </c>
      <c r="U6" s="182">
        <f t="shared" si="5"/>
        <v>0</v>
      </c>
    </row>
    <row r="7" spans="1:21" s="599" customFormat="1" ht="15.6" customHeight="1">
      <c r="A7" s="1762"/>
      <c r="B7" s="1763"/>
      <c r="C7" s="590">
        <v>4</v>
      </c>
      <c r="D7" s="591" t="s">
        <v>173</v>
      </c>
      <c r="E7" s="592" t="s">
        <v>203</v>
      </c>
      <c r="F7" s="600" t="s">
        <v>401</v>
      </c>
      <c r="G7" s="594" t="s">
        <v>231</v>
      </c>
      <c r="H7" s="595">
        <v>5</v>
      </c>
      <c r="I7" s="596" t="s">
        <v>174</v>
      </c>
      <c r="J7" s="596" t="s">
        <v>174</v>
      </c>
      <c r="K7" s="597"/>
      <c r="L7" s="594" t="s">
        <v>174</v>
      </c>
      <c r="M7" s="594" t="s">
        <v>175</v>
      </c>
      <c r="N7" s="629">
        <f t="shared" si="0"/>
        <v>0</v>
      </c>
      <c r="O7" s="182">
        <v>5</v>
      </c>
      <c r="P7" s="182">
        <v>5</v>
      </c>
      <c r="Q7" s="598">
        <f t="shared" si="2"/>
        <v>0</v>
      </c>
      <c r="R7" s="182">
        <f t="shared" si="1"/>
        <v>0</v>
      </c>
      <c r="S7" s="182">
        <f t="shared" si="3"/>
        <v>0</v>
      </c>
      <c r="T7" s="182">
        <f t="shared" si="4"/>
        <v>0</v>
      </c>
      <c r="U7" s="182">
        <f t="shared" si="5"/>
        <v>0</v>
      </c>
    </row>
    <row r="8" spans="1:21" s="599" customFormat="1" ht="15.6" customHeight="1">
      <c r="A8" s="1762"/>
      <c r="B8" s="1763"/>
      <c r="C8" s="590">
        <v>5</v>
      </c>
      <c r="D8" s="591" t="s">
        <v>176</v>
      </c>
      <c r="E8" s="592" t="s">
        <v>203</v>
      </c>
      <c r="F8" s="600" t="s">
        <v>401</v>
      </c>
      <c r="G8" s="594" t="s">
        <v>231</v>
      </c>
      <c r="H8" s="595">
        <v>5</v>
      </c>
      <c r="I8" s="596" t="s">
        <v>177</v>
      </c>
      <c r="J8" s="596" t="s">
        <v>177</v>
      </c>
      <c r="K8" s="597"/>
      <c r="L8" s="594" t="s">
        <v>177</v>
      </c>
      <c r="M8" s="594" t="s">
        <v>178</v>
      </c>
      <c r="N8" s="629">
        <f t="shared" si="0"/>
        <v>0</v>
      </c>
      <c r="O8" s="182">
        <v>5</v>
      </c>
      <c r="P8" s="182">
        <v>5</v>
      </c>
      <c r="Q8" s="598">
        <f t="shared" si="2"/>
        <v>0</v>
      </c>
      <c r="R8" s="182">
        <f t="shared" si="1"/>
        <v>0</v>
      </c>
      <c r="S8" s="182">
        <f t="shared" si="3"/>
        <v>0</v>
      </c>
      <c r="T8" s="182">
        <f t="shared" si="4"/>
        <v>0</v>
      </c>
      <c r="U8" s="182">
        <f t="shared" si="5"/>
        <v>0</v>
      </c>
    </row>
    <row r="9" spans="1:21" s="599" customFormat="1" ht="15.6" customHeight="1">
      <c r="A9" s="1762"/>
      <c r="B9" s="1763"/>
      <c r="C9" s="590">
        <v>6</v>
      </c>
      <c r="D9" s="591" t="s">
        <v>179</v>
      </c>
      <c r="E9" s="592" t="s">
        <v>203</v>
      </c>
      <c r="F9" s="600" t="s">
        <v>401</v>
      </c>
      <c r="G9" s="594" t="s">
        <v>231</v>
      </c>
      <c r="H9" s="595">
        <v>5</v>
      </c>
      <c r="I9" s="596" t="s">
        <v>180</v>
      </c>
      <c r="J9" s="596" t="s">
        <v>180</v>
      </c>
      <c r="K9" s="594"/>
      <c r="L9" s="594" t="s">
        <v>180</v>
      </c>
      <c r="M9" s="594" t="s">
        <v>181</v>
      </c>
      <c r="N9" s="629">
        <f t="shared" si="0"/>
        <v>0</v>
      </c>
      <c r="O9" s="182">
        <v>5</v>
      </c>
      <c r="P9" s="182">
        <v>5</v>
      </c>
      <c r="Q9" s="598">
        <f t="shared" si="2"/>
        <v>0</v>
      </c>
      <c r="R9" s="182">
        <f t="shared" si="1"/>
        <v>0</v>
      </c>
      <c r="S9" s="182">
        <f t="shared" si="3"/>
        <v>0</v>
      </c>
      <c r="T9" s="182">
        <f t="shared" si="4"/>
        <v>0</v>
      </c>
      <c r="U9" s="182">
        <f t="shared" si="5"/>
        <v>0</v>
      </c>
    </row>
    <row r="10" spans="1:21" s="599" customFormat="1" ht="15.6" customHeight="1">
      <c r="A10" s="1677" t="s">
        <v>382</v>
      </c>
      <c r="B10" s="1680" t="s">
        <v>2096</v>
      </c>
      <c r="C10" s="590">
        <v>7</v>
      </c>
      <c r="D10" s="591" t="s">
        <v>380</v>
      </c>
      <c r="E10" s="592"/>
      <c r="F10" s="600" t="s">
        <v>406</v>
      </c>
      <c r="G10" s="601" t="s">
        <v>231</v>
      </c>
      <c r="H10" s="595">
        <v>20</v>
      </c>
      <c r="I10" s="596"/>
      <c r="J10" s="596"/>
      <c r="K10" s="596"/>
      <c r="L10" s="594"/>
      <c r="M10" s="594"/>
      <c r="N10" s="629">
        <f t="shared" si="0"/>
        <v>0</v>
      </c>
      <c r="O10" s="182">
        <v>20</v>
      </c>
      <c r="P10" s="182">
        <v>20</v>
      </c>
      <c r="Q10" s="598">
        <f t="shared" si="2"/>
        <v>0</v>
      </c>
      <c r="R10" s="182">
        <f t="shared" si="1"/>
        <v>0</v>
      </c>
      <c r="S10" s="182">
        <f t="shared" si="3"/>
        <v>0</v>
      </c>
      <c r="T10" s="182">
        <f t="shared" si="4"/>
        <v>0</v>
      </c>
      <c r="U10" s="182">
        <f t="shared" si="5"/>
        <v>0</v>
      </c>
    </row>
    <row r="11" spans="1:21" s="599" customFormat="1" ht="15.6" customHeight="1" outlineLevel="1">
      <c r="A11" s="1678"/>
      <c r="B11" s="1681"/>
      <c r="C11" s="602">
        <v>7.1</v>
      </c>
      <c r="D11" s="594" t="s">
        <v>373</v>
      </c>
      <c r="E11" s="592" t="s">
        <v>203</v>
      </c>
      <c r="F11" s="600"/>
      <c r="G11" s="594"/>
      <c r="H11" s="603"/>
      <c r="I11" s="594">
        <v>0</v>
      </c>
      <c r="J11" s="594">
        <v>0</v>
      </c>
      <c r="K11" s="597"/>
      <c r="L11" s="594"/>
      <c r="M11" s="594"/>
      <c r="N11" s="629">
        <f t="shared" si="0"/>
        <v>0</v>
      </c>
      <c r="O11" s="594"/>
      <c r="P11" s="594"/>
      <c r="Q11" s="598">
        <f t="shared" si="2"/>
        <v>0</v>
      </c>
      <c r="R11" s="182">
        <f t="shared" si="1"/>
        <v>0</v>
      </c>
      <c r="S11" s="182">
        <f t="shared" si="3"/>
        <v>0</v>
      </c>
      <c r="T11" s="182">
        <f t="shared" si="4"/>
        <v>0</v>
      </c>
      <c r="U11" s="182">
        <f t="shared" si="5"/>
        <v>0</v>
      </c>
    </row>
    <row r="12" spans="1:21" s="599" customFormat="1" ht="15.6" customHeight="1" outlineLevel="1">
      <c r="A12" s="1678"/>
      <c r="B12" s="1681"/>
      <c r="C12" s="602">
        <v>7.2</v>
      </c>
      <c r="D12" s="594" t="s">
        <v>374</v>
      </c>
      <c r="E12" s="592" t="s">
        <v>203</v>
      </c>
      <c r="F12" s="600"/>
      <c r="G12" s="594"/>
      <c r="H12" s="603"/>
      <c r="I12" s="594">
        <v>0</v>
      </c>
      <c r="J12" s="594">
        <v>0</v>
      </c>
      <c r="K12" s="597"/>
      <c r="L12" s="594"/>
      <c r="M12" s="594"/>
      <c r="N12" s="629">
        <f t="shared" si="0"/>
        <v>0</v>
      </c>
      <c r="O12" s="594"/>
      <c r="P12" s="594"/>
      <c r="Q12" s="598">
        <f t="shared" si="2"/>
        <v>0</v>
      </c>
      <c r="R12" s="182">
        <f t="shared" si="1"/>
        <v>0</v>
      </c>
      <c r="S12" s="182">
        <f t="shared" si="3"/>
        <v>0</v>
      </c>
      <c r="T12" s="182">
        <f t="shared" si="4"/>
        <v>0</v>
      </c>
      <c r="U12" s="182">
        <f t="shared" si="5"/>
        <v>0</v>
      </c>
    </row>
    <row r="13" spans="1:21" s="599" customFormat="1" ht="15.6" customHeight="1" outlineLevel="1">
      <c r="A13" s="1678"/>
      <c r="B13" s="1681"/>
      <c r="C13" s="602">
        <v>7.3</v>
      </c>
      <c r="D13" s="596" t="s">
        <v>375</v>
      </c>
      <c r="E13" s="592" t="s">
        <v>203</v>
      </c>
      <c r="F13" s="600"/>
      <c r="G13" s="594"/>
      <c r="H13" s="603"/>
      <c r="I13" s="594">
        <v>0</v>
      </c>
      <c r="J13" s="594">
        <v>0</v>
      </c>
      <c r="K13" s="597"/>
      <c r="L13" s="594"/>
      <c r="M13" s="594"/>
      <c r="N13" s="629">
        <f t="shared" si="0"/>
        <v>0</v>
      </c>
      <c r="O13" s="594"/>
      <c r="P13" s="594"/>
      <c r="Q13" s="598">
        <f t="shared" si="2"/>
        <v>0</v>
      </c>
      <c r="R13" s="182">
        <f t="shared" si="1"/>
        <v>0</v>
      </c>
      <c r="S13" s="182">
        <f t="shared" si="3"/>
        <v>0</v>
      </c>
      <c r="T13" s="182">
        <f t="shared" si="4"/>
        <v>0</v>
      </c>
      <c r="U13" s="182">
        <f t="shared" si="5"/>
        <v>0</v>
      </c>
    </row>
    <row r="14" spans="1:21" s="599" customFormat="1" ht="15.6" customHeight="1" outlineLevel="1">
      <c r="A14" s="1678"/>
      <c r="B14" s="1681"/>
      <c r="C14" s="602">
        <v>7.4</v>
      </c>
      <c r="D14" s="594" t="s">
        <v>376</v>
      </c>
      <c r="E14" s="592" t="s">
        <v>203</v>
      </c>
      <c r="F14" s="600"/>
      <c r="G14" s="594"/>
      <c r="H14" s="603"/>
      <c r="I14" s="594">
        <v>0</v>
      </c>
      <c r="J14" s="594">
        <v>0</v>
      </c>
      <c r="K14" s="597"/>
      <c r="L14" s="594"/>
      <c r="M14" s="594"/>
      <c r="N14" s="629">
        <f t="shared" si="0"/>
        <v>0</v>
      </c>
      <c r="O14" s="594"/>
      <c r="P14" s="594"/>
      <c r="Q14" s="598">
        <f t="shared" si="2"/>
        <v>0</v>
      </c>
      <c r="R14" s="182">
        <f t="shared" si="1"/>
        <v>0</v>
      </c>
      <c r="S14" s="182">
        <f t="shared" si="3"/>
        <v>0</v>
      </c>
      <c r="T14" s="182">
        <f t="shared" si="4"/>
        <v>0</v>
      </c>
      <c r="U14" s="182">
        <f t="shared" si="5"/>
        <v>0</v>
      </c>
    </row>
    <row r="15" spans="1:21" s="599" customFormat="1" ht="15" customHeight="1" outlineLevel="1">
      <c r="A15" s="1679"/>
      <c r="B15" s="1682"/>
      <c r="C15" s="602">
        <v>7.5</v>
      </c>
      <c r="D15" s="604" t="s">
        <v>377</v>
      </c>
      <c r="E15" s="592" t="s">
        <v>203</v>
      </c>
      <c r="F15" s="600"/>
      <c r="G15" s="594"/>
      <c r="H15" s="603"/>
      <c r="I15" s="594">
        <v>0</v>
      </c>
      <c r="J15" s="594">
        <v>0</v>
      </c>
      <c r="K15" s="597"/>
      <c r="L15" s="594"/>
      <c r="M15" s="594"/>
      <c r="N15" s="629">
        <f t="shared" si="0"/>
        <v>0</v>
      </c>
      <c r="O15" s="594"/>
      <c r="P15" s="594"/>
      <c r="Q15" s="598">
        <f t="shared" si="2"/>
        <v>0</v>
      </c>
      <c r="R15" s="182">
        <f t="shared" si="1"/>
        <v>0</v>
      </c>
      <c r="S15" s="182">
        <f t="shared" si="3"/>
        <v>0</v>
      </c>
      <c r="T15" s="182">
        <f t="shared" si="4"/>
        <v>0</v>
      </c>
      <c r="U15" s="182">
        <f t="shared" si="5"/>
        <v>0</v>
      </c>
    </row>
    <row r="16" spans="1:21" s="599" customFormat="1" ht="21.75" customHeight="1">
      <c r="A16" s="605" t="s">
        <v>437</v>
      </c>
      <c r="B16" s="606" t="s">
        <v>383</v>
      </c>
      <c r="C16" s="590">
        <v>8</v>
      </c>
      <c r="D16" s="607" t="s">
        <v>384</v>
      </c>
      <c r="E16" s="592" t="s">
        <v>203</v>
      </c>
      <c r="F16" s="600" t="s">
        <v>407</v>
      </c>
      <c r="G16" s="594" t="s">
        <v>231</v>
      </c>
      <c r="H16" s="595">
        <v>5</v>
      </c>
      <c r="I16" s="604" t="s">
        <v>165</v>
      </c>
      <c r="J16" s="604" t="s">
        <v>165</v>
      </c>
      <c r="K16" s="597"/>
      <c r="L16" s="594" t="s">
        <v>165</v>
      </c>
      <c r="M16" s="594" t="s">
        <v>166</v>
      </c>
      <c r="N16" s="629">
        <f t="shared" si="0"/>
        <v>0</v>
      </c>
      <c r="O16" s="603">
        <v>5</v>
      </c>
      <c r="P16" s="603">
        <v>5</v>
      </c>
      <c r="Q16" s="598">
        <f t="shared" si="2"/>
        <v>0</v>
      </c>
      <c r="R16" s="182">
        <f t="shared" si="1"/>
        <v>0</v>
      </c>
      <c r="S16" s="182">
        <f t="shared" si="3"/>
        <v>0</v>
      </c>
      <c r="T16" s="182">
        <f t="shared" si="4"/>
        <v>0</v>
      </c>
      <c r="U16" s="182">
        <f t="shared" si="5"/>
        <v>0</v>
      </c>
    </row>
    <row r="17" spans="1:21" s="599" customFormat="1" ht="18" customHeight="1">
      <c r="A17" s="1677" t="s">
        <v>2065</v>
      </c>
      <c r="B17" s="1680" t="s">
        <v>2064</v>
      </c>
      <c r="C17" s="644">
        <v>9</v>
      </c>
      <c r="D17" s="591" t="s">
        <v>378</v>
      </c>
      <c r="E17" s="592"/>
      <c r="F17" s="1374" t="s">
        <v>406</v>
      </c>
      <c r="G17" s="594" t="s">
        <v>231</v>
      </c>
      <c r="H17" s="1363">
        <v>15</v>
      </c>
      <c r="I17" s="594">
        <v>0</v>
      </c>
      <c r="J17" s="594">
        <v>0</v>
      </c>
      <c r="K17" s="608">
        <f>IF((J17=I17)=TRUE,0,1)</f>
        <v>0</v>
      </c>
      <c r="L17" s="609" t="s">
        <v>2062</v>
      </c>
      <c r="M17" s="594"/>
      <c r="N17" s="629">
        <f t="shared" si="0"/>
        <v>0</v>
      </c>
      <c r="O17" s="182">
        <v>15</v>
      </c>
      <c r="P17" s="1172">
        <v>15</v>
      </c>
      <c r="Q17" s="598">
        <f t="shared" si="2"/>
        <v>0</v>
      </c>
      <c r="R17" s="182">
        <f t="shared" si="1"/>
        <v>0</v>
      </c>
      <c r="S17" s="182">
        <f t="shared" si="3"/>
        <v>0</v>
      </c>
      <c r="T17" s="182">
        <f t="shared" si="4"/>
        <v>0</v>
      </c>
      <c r="U17" s="182">
        <f t="shared" si="5"/>
        <v>0</v>
      </c>
    </row>
    <row r="18" spans="1:21" s="599" customFormat="1" ht="18.75" outlineLevel="1">
      <c r="A18" s="1678"/>
      <c r="B18" s="1681"/>
      <c r="C18" s="613">
        <v>9.1</v>
      </c>
      <c r="D18" s="594" t="s">
        <v>379</v>
      </c>
      <c r="E18" s="592" t="s">
        <v>203</v>
      </c>
      <c r="F18" s="1374"/>
      <c r="G18" s="594"/>
      <c r="H18" s="1367"/>
      <c r="I18" s="594">
        <v>0</v>
      </c>
      <c r="J18" s="594">
        <v>0</v>
      </c>
      <c r="K18" s="608">
        <f>IF((J18=I18)=TRUE,0,1)</f>
        <v>0</v>
      </c>
      <c r="L18" s="610" t="s">
        <v>2063</v>
      </c>
      <c r="M18" s="594"/>
      <c r="N18" s="629">
        <f t="shared" si="0"/>
        <v>0</v>
      </c>
      <c r="O18" s="594"/>
      <c r="P18" s="594"/>
      <c r="Q18" s="598">
        <f t="shared" si="2"/>
        <v>0</v>
      </c>
      <c r="R18" s="182">
        <f t="shared" si="1"/>
        <v>0</v>
      </c>
      <c r="S18" s="182">
        <f t="shared" si="3"/>
        <v>0</v>
      </c>
      <c r="T18" s="182">
        <f t="shared" si="4"/>
        <v>0</v>
      </c>
      <c r="U18" s="182">
        <f t="shared" si="5"/>
        <v>0</v>
      </c>
    </row>
    <row r="19" spans="1:21" s="599" customFormat="1" ht="18.75" outlineLevel="1">
      <c r="A19" s="1679"/>
      <c r="B19" s="1682"/>
      <c r="C19" s="613">
        <v>9.1999999999999993</v>
      </c>
      <c r="D19" s="594" t="s">
        <v>381</v>
      </c>
      <c r="E19" s="592" t="s">
        <v>203</v>
      </c>
      <c r="F19" s="1374"/>
      <c r="G19" s="594"/>
      <c r="H19" s="1367"/>
      <c r="I19" s="594">
        <v>0</v>
      </c>
      <c r="J19" s="594">
        <v>0</v>
      </c>
      <c r="K19" s="608">
        <f>IF((J19=I19)=TRUE,0,1)</f>
        <v>0</v>
      </c>
      <c r="L19" s="610" t="s">
        <v>2063</v>
      </c>
      <c r="M19" s="594"/>
      <c r="N19" s="629">
        <f t="shared" si="0"/>
        <v>0</v>
      </c>
      <c r="O19" s="594"/>
      <c r="P19" s="594"/>
      <c r="Q19" s="598">
        <f t="shared" si="2"/>
        <v>0</v>
      </c>
      <c r="R19" s="182">
        <f t="shared" si="1"/>
        <v>0</v>
      </c>
      <c r="S19" s="182">
        <f t="shared" si="3"/>
        <v>0</v>
      </c>
      <c r="T19" s="182">
        <f t="shared" si="4"/>
        <v>0</v>
      </c>
      <c r="U19" s="182">
        <f t="shared" si="5"/>
        <v>0</v>
      </c>
    </row>
    <row r="20" spans="1:21" s="599" customFormat="1" ht="15.6" customHeight="1">
      <c r="A20" s="1677" t="s">
        <v>1985</v>
      </c>
      <c r="B20" s="1680" t="s">
        <v>1984</v>
      </c>
      <c r="C20" s="644">
        <v>10</v>
      </c>
      <c r="D20" s="591" t="s">
        <v>1982</v>
      </c>
      <c r="E20" s="592"/>
      <c r="F20" s="1374" t="s">
        <v>406</v>
      </c>
      <c r="G20" s="594" t="s">
        <v>231</v>
      </c>
      <c r="H20" s="1363">
        <v>15</v>
      </c>
      <c r="I20" s="594">
        <v>0</v>
      </c>
      <c r="J20" s="594">
        <v>0</v>
      </c>
      <c r="K20" s="597"/>
      <c r="L20" s="594"/>
      <c r="M20" s="594"/>
      <c r="N20" s="1372">
        <f t="shared" si="0"/>
        <v>0</v>
      </c>
      <c r="O20" s="1367">
        <v>15</v>
      </c>
      <c r="P20" s="1367">
        <v>15</v>
      </c>
      <c r="Q20" s="598">
        <f t="shared" si="2"/>
        <v>0</v>
      </c>
      <c r="R20" s="1364">
        <f t="shared" si="1"/>
        <v>0</v>
      </c>
      <c r="S20" s="1364">
        <f t="shared" si="3"/>
        <v>0</v>
      </c>
      <c r="T20" s="1364">
        <f t="shared" si="4"/>
        <v>0</v>
      </c>
      <c r="U20" s="1364">
        <f t="shared" si="5"/>
        <v>0</v>
      </c>
    </row>
    <row r="21" spans="1:21" s="599" customFormat="1" ht="15.6" customHeight="1" outlineLevel="1">
      <c r="A21" s="1679"/>
      <c r="B21" s="1682"/>
      <c r="C21" s="613">
        <v>10.1</v>
      </c>
      <c r="D21" s="594" t="s">
        <v>1983</v>
      </c>
      <c r="E21" s="592" t="s">
        <v>203</v>
      </c>
      <c r="F21" s="1374"/>
      <c r="G21" s="594"/>
      <c r="H21" s="1367"/>
      <c r="I21" s="594">
        <v>0</v>
      </c>
      <c r="J21" s="594">
        <v>0</v>
      </c>
      <c r="K21" s="597"/>
      <c r="L21" s="594"/>
      <c r="M21" s="594"/>
      <c r="N21" s="560">
        <f t="shared" si="0"/>
        <v>0</v>
      </c>
      <c r="O21" s="594"/>
      <c r="P21" s="594"/>
      <c r="Q21" s="1383">
        <f t="shared" si="2"/>
        <v>0</v>
      </c>
      <c r="R21" s="475">
        <f t="shared" si="1"/>
        <v>0</v>
      </c>
      <c r="S21" s="1364">
        <f t="shared" si="3"/>
        <v>0</v>
      </c>
      <c r="T21" s="1364">
        <f t="shared" si="4"/>
        <v>0</v>
      </c>
      <c r="U21" s="1364">
        <f t="shared" si="5"/>
        <v>0</v>
      </c>
    </row>
    <row r="22" spans="1:21" s="599" customFormat="1" ht="15.6" customHeight="1">
      <c r="A22" s="611" t="s">
        <v>389</v>
      </c>
      <c r="B22" s="612" t="s">
        <v>390</v>
      </c>
      <c r="C22" s="644">
        <v>11</v>
      </c>
      <c r="D22" s="591" t="s">
        <v>385</v>
      </c>
      <c r="E22" s="592" t="s">
        <v>203</v>
      </c>
      <c r="F22" s="1374" t="s">
        <v>406</v>
      </c>
      <c r="G22" s="594" t="s">
        <v>462</v>
      </c>
      <c r="H22" s="1363" t="s">
        <v>386</v>
      </c>
      <c r="I22" s="594">
        <v>0</v>
      </c>
      <c r="J22" s="594">
        <v>0</v>
      </c>
      <c r="K22" s="597"/>
      <c r="L22" s="594"/>
      <c r="M22" s="594"/>
      <c r="N22" s="560">
        <f t="shared" si="0"/>
        <v>0</v>
      </c>
      <c r="O22" s="1367" t="s">
        <v>1074</v>
      </c>
      <c r="P22" s="1367" t="s">
        <v>1074</v>
      </c>
      <c r="Q22" s="1383">
        <f>0</f>
        <v>0</v>
      </c>
      <c r="R22" s="475">
        <f>0</f>
        <v>0</v>
      </c>
      <c r="S22" s="1364">
        <f t="shared" si="3"/>
        <v>0</v>
      </c>
      <c r="T22" s="1364">
        <f t="shared" si="4"/>
        <v>0</v>
      </c>
      <c r="U22" s="1364">
        <f t="shared" si="5"/>
        <v>0</v>
      </c>
    </row>
    <row r="23" spans="1:21" s="599" customFormat="1" ht="16.5">
      <c r="A23" s="594"/>
      <c r="B23" s="613"/>
      <c r="C23" s="613"/>
      <c r="D23" s="591" t="s">
        <v>224</v>
      </c>
      <c r="E23" s="1388"/>
      <c r="F23" s="1367"/>
      <c r="G23" s="594"/>
      <c r="H23" s="1363">
        <f>SUM(H4:H22)</f>
        <v>90</v>
      </c>
      <c r="I23" s="615"/>
      <c r="J23" s="615"/>
      <c r="K23" s="564"/>
      <c r="L23" s="615"/>
      <c r="M23" s="615"/>
      <c r="N23" s="630"/>
      <c r="O23" s="620">
        <f>SUM(O4:O22)</f>
        <v>90</v>
      </c>
      <c r="P23" s="620">
        <f>SUM(P4:P22)</f>
        <v>90</v>
      </c>
      <c r="Q23" s="598">
        <f>SUM(Q4:Q22)</f>
        <v>0</v>
      </c>
      <c r="R23" s="456">
        <f>SUM(R4:R22)</f>
        <v>0</v>
      </c>
      <c r="S23" s="620">
        <f t="shared" si="3"/>
        <v>0</v>
      </c>
      <c r="T23" s="620">
        <f t="shared" si="4"/>
        <v>0</v>
      </c>
      <c r="U23" s="620">
        <f t="shared" si="5"/>
        <v>0</v>
      </c>
    </row>
    <row r="24" spans="1:21" s="599" customFormat="1" ht="14.25">
      <c r="C24" s="614"/>
      <c r="D24" s="361" t="s">
        <v>228</v>
      </c>
      <c r="E24" s="594"/>
      <c r="F24" s="1367"/>
      <c r="G24" s="594"/>
      <c r="H24" s="617">
        <v>90</v>
      </c>
      <c r="I24" s="615"/>
      <c r="J24" s="615"/>
      <c r="K24" s="615"/>
      <c r="L24" s="615"/>
      <c r="M24" s="615"/>
      <c r="N24" s="630"/>
      <c r="O24" s="618">
        <f>O23</f>
        <v>90</v>
      </c>
      <c r="P24" s="618">
        <f>P23</f>
        <v>90</v>
      </c>
      <c r="Q24" s="619"/>
      <c r="R24" s="619"/>
      <c r="S24" s="620">
        <f t="shared" si="3"/>
        <v>0</v>
      </c>
      <c r="T24" s="620">
        <f t="shared" si="4"/>
        <v>0</v>
      </c>
      <c r="U24" s="620">
        <f t="shared" si="5"/>
        <v>0</v>
      </c>
    </row>
    <row r="25" spans="1:21" s="599" customFormat="1" ht="14.25">
      <c r="C25" s="614"/>
      <c r="D25" s="361" t="s">
        <v>459</v>
      </c>
      <c r="E25" s="594"/>
      <c r="F25" s="1367"/>
      <c r="G25" s="594"/>
      <c r="H25" s="617">
        <v>10</v>
      </c>
      <c r="I25" s="615"/>
      <c r="J25" s="615"/>
      <c r="K25" s="615"/>
      <c r="L25" s="615"/>
      <c r="M25" s="615"/>
      <c r="N25" s="630"/>
      <c r="O25" s="618">
        <v>10</v>
      </c>
      <c r="P25" s="618">
        <v>10</v>
      </c>
      <c r="Q25" s="619"/>
      <c r="R25" s="619"/>
      <c r="S25" s="620">
        <f t="shared" si="3"/>
        <v>0</v>
      </c>
      <c r="T25" s="620">
        <f t="shared" si="4"/>
        <v>0</v>
      </c>
      <c r="U25" s="620">
        <f t="shared" si="5"/>
        <v>0</v>
      </c>
    </row>
    <row r="26" spans="1:21" s="599" customFormat="1" ht="14.25">
      <c r="C26" s="614"/>
      <c r="D26" s="361" t="s">
        <v>461</v>
      </c>
      <c r="E26" s="594"/>
      <c r="F26" s="1367"/>
      <c r="G26" s="594"/>
      <c r="H26" s="617">
        <f>100-SUM(H24:H25)</f>
        <v>0</v>
      </c>
      <c r="I26" s="615"/>
      <c r="J26" s="615"/>
      <c r="K26" s="615"/>
      <c r="L26" s="615"/>
      <c r="M26" s="615"/>
      <c r="N26" s="630"/>
      <c r="O26" s="618">
        <f>100-SUM(O24:O25)</f>
        <v>0</v>
      </c>
      <c r="P26" s="618">
        <f>100-SUM(P24:P25)</f>
        <v>0</v>
      </c>
      <c r="Q26" s="619"/>
      <c r="R26" s="619"/>
      <c r="S26" s="620">
        <f t="shared" si="3"/>
        <v>0</v>
      </c>
      <c r="T26" s="620">
        <f t="shared" si="4"/>
        <v>0</v>
      </c>
      <c r="U26" s="620">
        <f t="shared" si="5"/>
        <v>0</v>
      </c>
    </row>
    <row r="27" spans="1:21" s="599" customFormat="1" ht="14.25">
      <c r="C27" s="614"/>
      <c r="F27" s="621"/>
      <c r="H27" s="621"/>
      <c r="N27" s="26"/>
    </row>
    <row r="28" spans="1:21" s="599" customFormat="1" ht="14.25">
      <c r="C28" s="614"/>
      <c r="F28" s="621"/>
      <c r="H28" s="621"/>
      <c r="N28" s="26"/>
    </row>
    <row r="29" spans="1:21" s="599" customFormat="1" ht="14.25">
      <c r="C29" s="614"/>
      <c r="F29" s="621"/>
      <c r="H29" s="621"/>
      <c r="N29" s="26"/>
    </row>
    <row r="30" spans="1:21" s="599" customFormat="1" ht="14.25">
      <c r="C30" s="614"/>
      <c r="D30" s="622" t="s">
        <v>1592</v>
      </c>
      <c r="F30" s="621"/>
      <c r="H30" s="621"/>
      <c r="N30" s="26"/>
    </row>
    <row r="31" spans="1:21" s="599" customFormat="1" ht="14.25">
      <c r="C31" s="614"/>
      <c r="D31" s="623" t="s">
        <v>1636</v>
      </c>
      <c r="F31" s="621"/>
      <c r="H31" s="621"/>
      <c r="N31" s="26"/>
    </row>
    <row r="32" spans="1:21" s="599" customFormat="1" ht="14.25">
      <c r="C32" s="614"/>
      <c r="F32" s="621"/>
      <c r="H32" s="621"/>
      <c r="N32" s="26"/>
    </row>
    <row r="33" spans="3:14" s="599" customFormat="1" ht="14.25">
      <c r="C33" s="614"/>
      <c r="F33" s="621"/>
      <c r="H33" s="621"/>
      <c r="N33" s="26"/>
    </row>
    <row r="34" spans="3:14" s="599" customFormat="1" ht="14.25">
      <c r="C34" s="614"/>
      <c r="F34" s="621"/>
      <c r="H34" s="621"/>
      <c r="N34" s="26"/>
    </row>
    <row r="35" spans="3:14" s="599" customFormat="1" ht="14.25">
      <c r="C35" s="614"/>
      <c r="F35" s="621"/>
      <c r="H35" s="621"/>
      <c r="N35" s="26"/>
    </row>
    <row r="36" spans="3:14" s="599" customFormat="1" ht="14.25">
      <c r="C36" s="614"/>
      <c r="F36" s="621"/>
      <c r="H36" s="621"/>
      <c r="N36" s="26"/>
    </row>
    <row r="37" spans="3:14" s="599" customFormat="1" ht="14.25">
      <c r="C37" s="614"/>
      <c r="F37" s="621"/>
      <c r="H37" s="621"/>
      <c r="N37" s="26"/>
    </row>
    <row r="38" spans="3:14" s="599" customFormat="1" ht="14.25">
      <c r="C38" s="614"/>
      <c r="F38" s="621"/>
      <c r="H38" s="621"/>
      <c r="N38" s="26"/>
    </row>
    <row r="39" spans="3:14" s="599" customFormat="1" ht="14.25">
      <c r="C39" s="614"/>
      <c r="F39" s="621"/>
      <c r="H39" s="621"/>
      <c r="N39" s="26"/>
    </row>
    <row r="40" spans="3:14" s="599" customFormat="1" ht="14.25">
      <c r="C40" s="614"/>
      <c r="F40" s="621"/>
      <c r="H40" s="621"/>
      <c r="N40" s="26"/>
    </row>
    <row r="41" spans="3:14" s="599" customFormat="1" ht="14.25">
      <c r="C41" s="614"/>
      <c r="F41" s="621"/>
      <c r="H41" s="621"/>
      <c r="N41" s="26"/>
    </row>
    <row r="42" spans="3:14" s="599" customFormat="1" ht="14.25">
      <c r="C42" s="614"/>
      <c r="F42" s="621"/>
      <c r="H42" s="621"/>
      <c r="N42" s="26"/>
    </row>
    <row r="43" spans="3:14" s="599" customFormat="1" ht="14.25">
      <c r="C43" s="614"/>
      <c r="F43" s="621"/>
      <c r="H43" s="621"/>
      <c r="N43" s="26"/>
    </row>
    <row r="44" spans="3:14" s="599" customFormat="1" ht="14.25">
      <c r="C44" s="614"/>
      <c r="F44" s="621"/>
      <c r="H44" s="621"/>
      <c r="N44" s="26"/>
    </row>
    <row r="45" spans="3:14" s="599" customFormat="1" ht="14.25">
      <c r="C45" s="614"/>
      <c r="F45" s="621"/>
      <c r="H45" s="621"/>
      <c r="N45" s="26"/>
    </row>
    <row r="46" spans="3:14" s="599" customFormat="1" ht="14.25">
      <c r="C46" s="614"/>
      <c r="F46" s="621"/>
      <c r="H46" s="621"/>
      <c r="N46" s="26"/>
    </row>
    <row r="47" spans="3:14" s="599" customFormat="1" ht="14.25">
      <c r="C47" s="614"/>
      <c r="F47" s="621"/>
      <c r="H47" s="621"/>
      <c r="N47" s="26"/>
    </row>
    <row r="48" spans="3:14" s="599" customFormat="1" ht="14.25">
      <c r="C48" s="614"/>
      <c r="F48" s="621"/>
      <c r="H48" s="621"/>
      <c r="N48" s="26"/>
    </row>
    <row r="49" spans="3:14" s="599" customFormat="1" ht="14.25">
      <c r="C49" s="614"/>
      <c r="F49" s="621"/>
      <c r="H49" s="621"/>
      <c r="N49" s="26"/>
    </row>
    <row r="50" spans="3:14" s="599" customFormat="1" ht="14.25">
      <c r="C50" s="614"/>
      <c r="F50" s="621"/>
      <c r="H50" s="621"/>
      <c r="N50" s="26"/>
    </row>
    <row r="51" spans="3:14" s="599" customFormat="1" ht="14.25">
      <c r="C51" s="614"/>
      <c r="F51" s="621"/>
      <c r="H51" s="621"/>
      <c r="N51" s="26"/>
    </row>
    <row r="52" spans="3:14" s="599" customFormat="1" ht="14.25">
      <c r="C52" s="614"/>
      <c r="F52" s="621"/>
      <c r="H52" s="621"/>
      <c r="N52" s="26"/>
    </row>
    <row r="53" spans="3:14" s="599" customFormat="1" ht="14.25">
      <c r="C53" s="614"/>
      <c r="F53" s="621"/>
      <c r="H53" s="621"/>
      <c r="N53" s="26"/>
    </row>
    <row r="54" spans="3:14" s="599" customFormat="1" ht="14.25">
      <c r="C54" s="614"/>
      <c r="F54" s="621"/>
      <c r="H54" s="621"/>
      <c r="N54" s="26"/>
    </row>
    <row r="55" spans="3:14" s="599" customFormat="1" ht="14.25">
      <c r="C55" s="614"/>
      <c r="F55" s="621"/>
      <c r="H55" s="621"/>
      <c r="N55" s="26"/>
    </row>
    <row r="56" spans="3:14" s="599" customFormat="1" ht="14.25">
      <c r="C56" s="614"/>
      <c r="F56" s="621"/>
      <c r="H56" s="621"/>
      <c r="N56" s="26"/>
    </row>
    <row r="57" spans="3:14" s="599" customFormat="1" ht="14.25">
      <c r="C57" s="614"/>
      <c r="F57" s="621"/>
      <c r="H57" s="621"/>
      <c r="N57" s="26"/>
    </row>
    <row r="58" spans="3:14" s="599" customFormat="1" ht="14.25">
      <c r="C58" s="614"/>
      <c r="F58" s="621"/>
      <c r="H58" s="621"/>
      <c r="N58" s="26"/>
    </row>
    <row r="59" spans="3:14" s="599" customFormat="1" ht="14.25">
      <c r="C59" s="614"/>
      <c r="F59" s="621"/>
      <c r="H59" s="621"/>
      <c r="N59" s="26"/>
    </row>
    <row r="60" spans="3:14" s="599" customFormat="1" ht="14.25">
      <c r="C60" s="614"/>
      <c r="F60" s="621"/>
      <c r="H60" s="621"/>
      <c r="N60" s="26"/>
    </row>
    <row r="61" spans="3:14" s="599" customFormat="1" ht="14.25">
      <c r="C61" s="614"/>
      <c r="F61" s="621"/>
      <c r="H61" s="621"/>
      <c r="N61" s="26"/>
    </row>
    <row r="62" spans="3:14" s="599" customFormat="1" ht="14.25">
      <c r="C62" s="614"/>
      <c r="F62" s="621"/>
      <c r="H62" s="621"/>
      <c r="N62" s="26"/>
    </row>
    <row r="63" spans="3:14" s="599" customFormat="1" ht="14.25">
      <c r="C63" s="614"/>
      <c r="F63" s="621"/>
      <c r="H63" s="621"/>
      <c r="N63" s="26"/>
    </row>
    <row r="64" spans="3:14" s="599" customFormat="1" ht="14.25">
      <c r="C64" s="614"/>
      <c r="F64" s="621"/>
      <c r="H64" s="621"/>
      <c r="N64" s="26"/>
    </row>
    <row r="65" spans="3:14" s="599" customFormat="1" ht="14.25">
      <c r="C65" s="614"/>
      <c r="F65" s="621"/>
      <c r="H65" s="621"/>
      <c r="N65" s="26"/>
    </row>
    <row r="66" spans="3:14" s="599" customFormat="1" ht="14.25">
      <c r="C66" s="614"/>
      <c r="F66" s="621"/>
      <c r="H66" s="621"/>
      <c r="N66" s="26"/>
    </row>
    <row r="67" spans="3:14" s="599" customFormat="1" ht="14.25">
      <c r="C67" s="614"/>
      <c r="F67" s="621"/>
      <c r="H67" s="621"/>
      <c r="N67" s="26"/>
    </row>
    <row r="68" spans="3:14" s="599" customFormat="1" ht="14.25">
      <c r="C68" s="614"/>
      <c r="F68" s="621"/>
      <c r="H68" s="621"/>
      <c r="N68" s="26"/>
    </row>
    <row r="69" spans="3:14" s="599" customFormat="1" ht="14.25">
      <c r="C69" s="614"/>
      <c r="F69" s="621"/>
      <c r="H69" s="621"/>
      <c r="N69" s="26"/>
    </row>
    <row r="70" spans="3:14" s="599" customFormat="1" ht="14.25">
      <c r="C70" s="614"/>
      <c r="F70" s="621"/>
      <c r="H70" s="621"/>
      <c r="N70" s="26"/>
    </row>
    <row r="71" spans="3:14" s="599" customFormat="1" ht="14.25">
      <c r="C71" s="614"/>
      <c r="F71" s="621"/>
      <c r="H71" s="621"/>
      <c r="N71" s="26"/>
    </row>
    <row r="72" spans="3:14" s="599" customFormat="1" ht="14.25">
      <c r="C72" s="614"/>
      <c r="F72" s="621"/>
      <c r="H72" s="621"/>
      <c r="N72" s="26"/>
    </row>
    <row r="73" spans="3:14" s="599" customFormat="1" ht="14.25">
      <c r="C73" s="614"/>
      <c r="F73" s="621"/>
      <c r="H73" s="621"/>
      <c r="N73" s="26"/>
    </row>
    <row r="74" spans="3:14" s="599" customFormat="1" ht="14.25">
      <c r="C74" s="614"/>
      <c r="F74" s="621"/>
      <c r="H74" s="621"/>
      <c r="N74" s="26"/>
    </row>
    <row r="75" spans="3:14" s="599" customFormat="1" ht="14.25">
      <c r="C75" s="614"/>
      <c r="F75" s="621"/>
      <c r="H75" s="621"/>
      <c r="N75" s="26"/>
    </row>
    <row r="76" spans="3:14" s="599" customFormat="1" ht="14.25">
      <c r="C76" s="614"/>
      <c r="F76" s="621"/>
      <c r="H76" s="621"/>
      <c r="N76" s="26"/>
    </row>
    <row r="77" spans="3:14" s="599" customFormat="1" ht="14.25">
      <c r="C77" s="614"/>
      <c r="F77" s="621"/>
      <c r="H77" s="621"/>
      <c r="N77" s="26"/>
    </row>
    <row r="78" spans="3:14" s="599" customFormat="1" ht="14.25">
      <c r="C78" s="614"/>
      <c r="F78" s="621"/>
      <c r="H78" s="621"/>
      <c r="N78" s="26"/>
    </row>
    <row r="79" spans="3:14" s="599" customFormat="1" ht="14.25">
      <c r="C79" s="614"/>
      <c r="F79" s="621"/>
      <c r="H79" s="621"/>
      <c r="N79" s="26"/>
    </row>
    <row r="80" spans="3:14" s="599" customFormat="1" ht="14.25">
      <c r="C80" s="614"/>
      <c r="F80" s="621"/>
      <c r="H80" s="621"/>
      <c r="N80" s="26"/>
    </row>
    <row r="81" spans="3:14" s="599" customFormat="1" ht="14.25">
      <c r="C81" s="614"/>
      <c r="F81" s="621"/>
      <c r="H81" s="621"/>
      <c r="N81" s="26"/>
    </row>
    <row r="82" spans="3:14" s="599" customFormat="1" ht="14.25">
      <c r="C82" s="614"/>
      <c r="F82" s="621"/>
      <c r="H82" s="621"/>
      <c r="N82" s="26"/>
    </row>
    <row r="83" spans="3:14" s="599" customFormat="1" ht="14.25">
      <c r="C83" s="614"/>
      <c r="F83" s="621"/>
      <c r="H83" s="621"/>
      <c r="N83" s="26"/>
    </row>
    <row r="84" spans="3:14" s="599" customFormat="1" ht="14.25">
      <c r="C84" s="614"/>
      <c r="F84" s="621"/>
      <c r="H84" s="621"/>
      <c r="N84" s="26"/>
    </row>
    <row r="85" spans="3:14" s="599" customFormat="1" ht="14.25">
      <c r="C85" s="614"/>
      <c r="F85" s="621"/>
      <c r="H85" s="621"/>
      <c r="N85" s="26"/>
    </row>
    <row r="86" spans="3:14" s="599" customFormat="1" ht="14.25">
      <c r="C86" s="614"/>
      <c r="F86" s="621"/>
      <c r="H86" s="621"/>
      <c r="N86" s="26"/>
    </row>
    <row r="87" spans="3:14" s="599" customFormat="1" ht="14.25">
      <c r="C87" s="614"/>
      <c r="F87" s="621"/>
      <c r="H87" s="621"/>
      <c r="N87" s="26"/>
    </row>
    <row r="88" spans="3:14" s="599" customFormat="1" ht="14.25">
      <c r="C88" s="614"/>
      <c r="F88" s="621"/>
      <c r="H88" s="621"/>
      <c r="N88" s="26"/>
    </row>
    <row r="89" spans="3:14" s="599" customFormat="1" ht="14.25">
      <c r="C89" s="614"/>
      <c r="F89" s="621"/>
      <c r="H89" s="621"/>
      <c r="N89" s="26"/>
    </row>
    <row r="90" spans="3:14" s="599" customFormat="1" ht="14.25">
      <c r="C90" s="614"/>
      <c r="F90" s="621"/>
      <c r="H90" s="621"/>
      <c r="N90" s="26"/>
    </row>
    <row r="91" spans="3:14" s="599" customFormat="1" ht="14.25">
      <c r="C91" s="614"/>
      <c r="F91" s="621"/>
      <c r="H91" s="621"/>
      <c r="N91" s="26"/>
    </row>
    <row r="92" spans="3:14" s="599" customFormat="1" ht="14.25">
      <c r="C92" s="614"/>
      <c r="F92" s="621"/>
      <c r="H92" s="621"/>
      <c r="N92" s="26"/>
    </row>
    <row r="93" spans="3:14" s="599" customFormat="1" ht="14.25">
      <c r="C93" s="614"/>
      <c r="F93" s="621"/>
      <c r="H93" s="621"/>
      <c r="N93" s="26"/>
    </row>
    <row r="94" spans="3:14" s="599" customFormat="1" ht="14.25">
      <c r="C94" s="614"/>
      <c r="F94" s="621"/>
      <c r="H94" s="621"/>
      <c r="N94" s="26"/>
    </row>
    <row r="95" spans="3:14" s="599" customFormat="1" ht="14.25">
      <c r="C95" s="614"/>
      <c r="F95" s="621"/>
      <c r="H95" s="621"/>
      <c r="N95" s="26"/>
    </row>
    <row r="96" spans="3:14" s="599" customFormat="1" ht="14.25">
      <c r="C96" s="614"/>
      <c r="F96" s="621"/>
      <c r="H96" s="621"/>
      <c r="N96" s="26"/>
    </row>
    <row r="97" spans="3:14" s="599" customFormat="1" ht="14.25">
      <c r="C97" s="614"/>
      <c r="F97" s="621"/>
      <c r="H97" s="621"/>
      <c r="N97" s="26"/>
    </row>
    <row r="98" spans="3:14" s="599" customFormat="1" ht="14.25">
      <c r="C98" s="614"/>
      <c r="F98" s="621"/>
      <c r="H98" s="621"/>
      <c r="N98" s="26"/>
    </row>
    <row r="99" spans="3:14" s="599" customFormat="1" ht="14.25">
      <c r="C99" s="614"/>
      <c r="F99" s="621"/>
      <c r="H99" s="621"/>
      <c r="N99" s="26"/>
    </row>
    <row r="100" spans="3:14" s="599" customFormat="1" ht="14.25">
      <c r="C100" s="614"/>
      <c r="F100" s="621"/>
      <c r="H100" s="621"/>
      <c r="N100" s="26"/>
    </row>
    <row r="101" spans="3:14" s="599" customFormat="1" ht="14.25">
      <c r="C101" s="614"/>
      <c r="F101" s="621"/>
      <c r="H101" s="621"/>
      <c r="N101" s="26"/>
    </row>
    <row r="102" spans="3:14" s="599" customFormat="1" ht="14.25">
      <c r="C102" s="614"/>
      <c r="F102" s="621"/>
      <c r="H102" s="621"/>
      <c r="N102" s="26"/>
    </row>
    <row r="103" spans="3:14" s="599" customFormat="1" ht="14.25">
      <c r="C103" s="614"/>
      <c r="F103" s="621"/>
      <c r="H103" s="621"/>
      <c r="N103" s="26"/>
    </row>
    <row r="104" spans="3:14" s="599" customFormat="1" ht="14.25">
      <c r="C104" s="614"/>
      <c r="F104" s="621"/>
      <c r="H104" s="621"/>
      <c r="N104" s="26"/>
    </row>
    <row r="105" spans="3:14" s="599" customFormat="1" ht="14.25">
      <c r="C105" s="614"/>
      <c r="F105" s="621"/>
      <c r="H105" s="621"/>
      <c r="N105" s="26"/>
    </row>
    <row r="106" spans="3:14" s="599" customFormat="1" ht="14.25">
      <c r="C106" s="614"/>
      <c r="F106" s="621"/>
      <c r="H106" s="621"/>
      <c r="N106" s="26"/>
    </row>
    <row r="107" spans="3:14" s="599" customFormat="1" ht="14.25">
      <c r="C107" s="614"/>
      <c r="F107" s="621"/>
      <c r="H107" s="621"/>
      <c r="N107" s="26"/>
    </row>
    <row r="108" spans="3:14" s="599" customFormat="1" ht="14.25">
      <c r="C108" s="614"/>
      <c r="F108" s="621"/>
      <c r="H108" s="621"/>
      <c r="N108" s="26"/>
    </row>
    <row r="109" spans="3:14" s="599" customFormat="1" ht="14.25">
      <c r="C109" s="614"/>
      <c r="F109" s="621"/>
      <c r="H109" s="621"/>
      <c r="N109" s="26"/>
    </row>
    <row r="110" spans="3:14" s="599" customFormat="1" ht="14.25">
      <c r="C110" s="614"/>
      <c r="F110" s="621"/>
      <c r="H110" s="621"/>
      <c r="N110" s="26"/>
    </row>
    <row r="111" spans="3:14" s="599" customFormat="1" ht="14.25">
      <c r="C111" s="614"/>
      <c r="F111" s="621"/>
      <c r="H111" s="621"/>
      <c r="N111" s="26"/>
    </row>
    <row r="112" spans="3:14" s="599" customFormat="1" ht="14.25">
      <c r="C112" s="614"/>
      <c r="F112" s="621"/>
      <c r="H112" s="621"/>
      <c r="N112" s="26"/>
    </row>
    <row r="113" spans="3:14" s="625" customFormat="1" ht="14.25">
      <c r="C113" s="624"/>
      <c r="F113" s="626"/>
      <c r="H113" s="626"/>
      <c r="N113" s="631"/>
    </row>
    <row r="114" spans="3:14" s="625" customFormat="1" ht="14.25">
      <c r="C114" s="624"/>
      <c r="F114" s="626"/>
      <c r="H114" s="626"/>
      <c r="N114" s="631"/>
    </row>
    <row r="115" spans="3:14" s="625" customFormat="1" ht="14.25">
      <c r="C115" s="624"/>
      <c r="F115" s="626"/>
      <c r="H115" s="626"/>
      <c r="N115" s="631"/>
    </row>
    <row r="116" spans="3:14" s="625" customFormat="1" ht="14.25">
      <c r="C116" s="624"/>
      <c r="F116" s="626"/>
      <c r="H116" s="626"/>
      <c r="N116" s="631"/>
    </row>
    <row r="117" spans="3:14" s="625" customFormat="1" ht="14.25">
      <c r="C117" s="624"/>
      <c r="F117" s="626"/>
      <c r="H117" s="626"/>
      <c r="N117" s="631"/>
    </row>
    <row r="118" spans="3:14" s="625" customFormat="1" ht="14.25">
      <c r="C118" s="624"/>
      <c r="F118" s="626"/>
      <c r="H118" s="626"/>
      <c r="N118" s="631"/>
    </row>
    <row r="119" spans="3:14" s="625" customFormat="1" ht="14.25">
      <c r="C119" s="624"/>
      <c r="F119" s="626"/>
      <c r="H119" s="626"/>
      <c r="N119" s="631"/>
    </row>
    <row r="120" spans="3:14" s="625" customFormat="1" ht="14.25">
      <c r="C120" s="624"/>
      <c r="F120" s="626"/>
      <c r="H120" s="626"/>
      <c r="N120" s="631"/>
    </row>
    <row r="121" spans="3:14" s="625" customFormat="1" ht="14.25">
      <c r="C121" s="624"/>
      <c r="F121" s="626"/>
      <c r="H121" s="626"/>
      <c r="N121" s="631"/>
    </row>
    <row r="122" spans="3:14" s="625" customFormat="1" ht="14.25">
      <c r="C122" s="624"/>
      <c r="F122" s="626"/>
      <c r="H122" s="626"/>
      <c r="N122" s="631"/>
    </row>
    <row r="123" spans="3:14" s="625" customFormat="1" ht="14.25">
      <c r="C123" s="624"/>
      <c r="F123" s="626"/>
      <c r="H123" s="626"/>
      <c r="N123" s="631"/>
    </row>
    <row r="124" spans="3:14" s="625" customFormat="1" ht="14.25">
      <c r="C124" s="624"/>
      <c r="F124" s="626"/>
      <c r="H124" s="626"/>
      <c r="N124" s="631"/>
    </row>
    <row r="125" spans="3:14" s="625" customFormat="1" ht="14.25">
      <c r="C125" s="624"/>
      <c r="F125" s="626"/>
      <c r="H125" s="626"/>
      <c r="N125" s="631"/>
    </row>
    <row r="126" spans="3:14" s="625" customFormat="1" ht="14.25">
      <c r="C126" s="624"/>
      <c r="F126" s="626"/>
      <c r="H126" s="626"/>
      <c r="N126" s="631"/>
    </row>
    <row r="127" spans="3:14" s="625" customFormat="1" ht="14.25">
      <c r="C127" s="624"/>
      <c r="F127" s="626"/>
      <c r="H127" s="626"/>
      <c r="N127" s="631"/>
    </row>
    <row r="128" spans="3:14" s="625" customFormat="1" ht="14.25">
      <c r="C128" s="624"/>
      <c r="F128" s="626"/>
      <c r="H128" s="626"/>
      <c r="N128" s="631"/>
    </row>
    <row r="129" spans="3:14" s="625" customFormat="1" ht="14.25">
      <c r="C129" s="624"/>
      <c r="F129" s="626"/>
      <c r="H129" s="626"/>
      <c r="N129" s="631"/>
    </row>
    <row r="130" spans="3:14" s="625" customFormat="1" ht="14.25">
      <c r="C130" s="624"/>
      <c r="F130" s="626"/>
      <c r="H130" s="626"/>
      <c r="N130" s="631"/>
    </row>
    <row r="131" spans="3:14" s="625" customFormat="1" ht="14.25">
      <c r="C131" s="624"/>
      <c r="F131" s="626"/>
      <c r="H131" s="626"/>
      <c r="N131" s="631"/>
    </row>
    <row r="132" spans="3:14" s="625" customFormat="1" ht="14.25">
      <c r="C132" s="624"/>
      <c r="F132" s="626"/>
      <c r="H132" s="626"/>
      <c r="N132" s="631"/>
    </row>
    <row r="133" spans="3:14" s="625" customFormat="1" ht="14.25">
      <c r="C133" s="624"/>
      <c r="F133" s="626"/>
      <c r="H133" s="626"/>
      <c r="N133" s="631"/>
    </row>
    <row r="134" spans="3:14" s="625" customFormat="1" ht="14.25">
      <c r="C134" s="624"/>
      <c r="F134" s="626"/>
      <c r="H134" s="626"/>
      <c r="N134" s="631"/>
    </row>
    <row r="135" spans="3:14" s="625" customFormat="1" ht="14.25">
      <c r="C135" s="624"/>
      <c r="F135" s="626"/>
      <c r="H135" s="626"/>
      <c r="N135" s="631"/>
    </row>
    <row r="136" spans="3:14" s="625" customFormat="1" ht="14.25">
      <c r="C136" s="624"/>
      <c r="F136" s="626"/>
      <c r="H136" s="626"/>
      <c r="N136" s="631"/>
    </row>
    <row r="137" spans="3:14" s="625" customFormat="1" ht="14.25">
      <c r="C137" s="624"/>
      <c r="F137" s="626"/>
      <c r="H137" s="626"/>
      <c r="N137" s="631"/>
    </row>
    <row r="138" spans="3:14" s="625" customFormat="1" ht="14.25">
      <c r="C138" s="624"/>
      <c r="F138" s="626"/>
      <c r="H138" s="626"/>
      <c r="N138" s="631"/>
    </row>
    <row r="139" spans="3:14" s="625" customFormat="1" ht="14.25">
      <c r="C139" s="624"/>
      <c r="F139" s="626"/>
      <c r="H139" s="626"/>
      <c r="N139" s="631"/>
    </row>
    <row r="140" spans="3:14" s="625" customFormat="1" ht="14.25">
      <c r="C140" s="624"/>
      <c r="F140" s="626"/>
      <c r="H140" s="626"/>
      <c r="N140" s="631"/>
    </row>
    <row r="141" spans="3:14" s="625" customFormat="1" ht="14.25">
      <c r="C141" s="624"/>
      <c r="F141" s="626"/>
      <c r="H141" s="626"/>
      <c r="N141" s="631"/>
    </row>
    <row r="142" spans="3:14" s="625" customFormat="1" ht="14.25">
      <c r="C142" s="624"/>
      <c r="F142" s="626"/>
      <c r="H142" s="626"/>
      <c r="N142" s="631"/>
    </row>
    <row r="143" spans="3:14" s="625" customFormat="1" ht="14.25">
      <c r="C143" s="624"/>
      <c r="F143" s="626"/>
      <c r="H143" s="626"/>
      <c r="N143" s="631"/>
    </row>
    <row r="144" spans="3:14" s="625" customFormat="1" ht="14.25">
      <c r="C144" s="624"/>
      <c r="F144" s="626"/>
      <c r="H144" s="626"/>
      <c r="N144" s="631"/>
    </row>
    <row r="145" spans="3:14" s="625" customFormat="1" ht="14.25">
      <c r="C145" s="624"/>
      <c r="F145" s="626"/>
      <c r="H145" s="626"/>
      <c r="N145" s="631"/>
    </row>
    <row r="146" spans="3:14" s="625" customFormat="1" ht="14.25">
      <c r="C146" s="624"/>
      <c r="F146" s="626"/>
      <c r="H146" s="626"/>
      <c r="N146" s="631"/>
    </row>
    <row r="147" spans="3:14" s="625" customFormat="1" ht="14.25">
      <c r="C147" s="624"/>
      <c r="F147" s="626"/>
      <c r="H147" s="626"/>
      <c r="N147" s="631"/>
    </row>
    <row r="148" spans="3:14" s="625" customFormat="1" ht="14.25">
      <c r="C148" s="624"/>
      <c r="F148" s="626"/>
      <c r="H148" s="626"/>
      <c r="N148" s="631"/>
    </row>
    <row r="149" spans="3:14" s="625" customFormat="1" ht="14.25">
      <c r="C149" s="624"/>
      <c r="F149" s="626"/>
      <c r="H149" s="626"/>
      <c r="N149" s="631"/>
    </row>
    <row r="150" spans="3:14" s="625" customFormat="1" ht="14.25">
      <c r="C150" s="624"/>
      <c r="F150" s="626"/>
      <c r="H150" s="626"/>
      <c r="N150" s="631"/>
    </row>
    <row r="151" spans="3:14" s="625" customFormat="1" ht="14.25">
      <c r="C151" s="624"/>
      <c r="F151" s="626"/>
      <c r="H151" s="626"/>
      <c r="N151" s="631"/>
    </row>
    <row r="152" spans="3:14" s="625" customFormat="1" ht="14.25">
      <c r="C152" s="624"/>
      <c r="F152" s="626"/>
      <c r="H152" s="626"/>
      <c r="N152" s="631"/>
    </row>
    <row r="153" spans="3:14" s="625" customFormat="1" ht="14.25">
      <c r="C153" s="624"/>
      <c r="F153" s="626"/>
      <c r="H153" s="626"/>
      <c r="N153" s="631"/>
    </row>
    <row r="154" spans="3:14" s="625" customFormat="1" ht="14.25">
      <c r="C154" s="624"/>
      <c r="F154" s="626"/>
      <c r="H154" s="626"/>
      <c r="N154" s="631"/>
    </row>
    <row r="155" spans="3:14" s="625" customFormat="1" ht="14.25">
      <c r="C155" s="624"/>
      <c r="F155" s="626"/>
      <c r="H155" s="626"/>
      <c r="N155" s="631"/>
    </row>
    <row r="156" spans="3:14" s="625" customFormat="1" ht="14.25">
      <c r="C156" s="624"/>
      <c r="F156" s="626"/>
      <c r="H156" s="626"/>
      <c r="N156" s="631"/>
    </row>
    <row r="157" spans="3:14" s="625" customFormat="1" ht="14.25">
      <c r="C157" s="624"/>
      <c r="F157" s="626"/>
      <c r="H157" s="626"/>
      <c r="N157" s="631"/>
    </row>
    <row r="158" spans="3:14" s="625" customFormat="1" ht="14.25">
      <c r="C158" s="624"/>
      <c r="F158" s="626"/>
      <c r="H158" s="626"/>
      <c r="N158" s="631"/>
    </row>
    <row r="159" spans="3:14" s="625" customFormat="1" ht="14.25">
      <c r="C159" s="624"/>
      <c r="F159" s="626"/>
      <c r="H159" s="626"/>
      <c r="N159" s="631"/>
    </row>
    <row r="160" spans="3:14" s="625" customFormat="1" ht="14.25">
      <c r="C160" s="624"/>
      <c r="F160" s="626"/>
      <c r="H160" s="626"/>
      <c r="N160" s="631"/>
    </row>
    <row r="161" spans="3:14" s="625" customFormat="1" ht="14.25">
      <c r="C161" s="624"/>
      <c r="F161" s="626"/>
      <c r="H161" s="626"/>
      <c r="N161" s="631"/>
    </row>
    <row r="162" spans="3:14" s="625" customFormat="1" ht="14.25">
      <c r="C162" s="624"/>
      <c r="F162" s="626"/>
      <c r="H162" s="626"/>
      <c r="N162" s="631"/>
    </row>
  </sheetData>
  <mergeCells count="8">
    <mergeCell ref="A20:A21"/>
    <mergeCell ref="B20:B21"/>
    <mergeCell ref="A10:A15"/>
    <mergeCell ref="B10:B15"/>
    <mergeCell ref="B5:B9"/>
    <mergeCell ref="A5:A9"/>
    <mergeCell ref="A17:A19"/>
    <mergeCell ref="B17:B19"/>
  </mergeCells>
  <phoneticPr fontId="3" type="noConversion"/>
  <conditionalFormatting sqref="N4:N22">
    <cfRule type="cellIs" dxfId="88" priority="52" stopIfTrue="1" operator="lessThanOrEqual">
      <formula>-0.3</formula>
    </cfRule>
    <cfRule type="cellIs" dxfId="87" priority="53" stopIfTrue="1" operator="greaterThanOrEqual">
      <formula>0.3</formula>
    </cfRule>
  </conditionalFormatting>
  <conditionalFormatting sqref="Q4:Q23">
    <cfRule type="expression" dxfId="86" priority="33">
      <formula>Q4&lt;0</formula>
    </cfRule>
  </conditionalFormatting>
  <conditionalFormatting sqref="Q4:Q23">
    <cfRule type="cellIs" dxfId="85" priority="31" stopIfTrue="1" operator="lessThan">
      <formula>0</formula>
    </cfRule>
    <cfRule type="cellIs" dxfId="84" priority="32" operator="greaterThan">
      <formula>0</formula>
    </cfRule>
  </conditionalFormatting>
  <conditionalFormatting sqref="K17:K19">
    <cfRule type="cellIs" dxfId="83" priority="19" stopIfTrue="1" operator="lessThanOrEqual">
      <formula>-0.3</formula>
    </cfRule>
    <cfRule type="cellIs" dxfId="82" priority="20" stopIfTrue="1" operator="greaterThanOrEqual">
      <formula>0.3</formula>
    </cfRule>
  </conditionalFormatting>
  <conditionalFormatting sqref="K17:K19">
    <cfRule type="cellIs" dxfId="81" priority="17" stopIfTrue="1" operator="lessThanOrEqual">
      <formula>-0.3</formula>
    </cfRule>
    <cfRule type="cellIs" dxfId="80" priority="18" stopIfTrue="1" operator="greaterThanOrEqual">
      <formula>0.3</formula>
    </cfRule>
  </conditionalFormatting>
  <conditionalFormatting sqref="K17:K19">
    <cfRule type="cellIs" dxfId="79" priority="15" stopIfTrue="1" operator="lessThanOrEqual">
      <formula>-0.3</formula>
    </cfRule>
    <cfRule type="cellIs" dxfId="78" priority="16" stopIfTrue="1" operator="greaterThanOrEqual">
      <formula>0.3</formula>
    </cfRule>
  </conditionalFormatting>
  <conditionalFormatting sqref="K17:K19">
    <cfRule type="cellIs" dxfId="77" priority="13" stopIfTrue="1" operator="lessThanOrEqual">
      <formula>-0.3</formula>
    </cfRule>
    <cfRule type="cellIs" dxfId="76" priority="14" stopIfTrue="1" operator="greaterThanOrEqual">
      <formula>0.3</formula>
    </cfRule>
  </conditionalFormatting>
  <conditionalFormatting sqref="K17:K19">
    <cfRule type="cellIs" dxfId="75" priority="11" stopIfTrue="1" operator="lessThanOrEqual">
      <formula>-0.3</formula>
    </cfRule>
    <cfRule type="cellIs" dxfId="74" priority="12" stopIfTrue="1" operator="greaterThanOrEqual">
      <formula>0.3</formula>
    </cfRule>
  </conditionalFormatting>
  <conditionalFormatting sqref="K17:K19">
    <cfRule type="cellIs" dxfId="73" priority="9" stopIfTrue="1" operator="lessThanOrEqual">
      <formula>-0.3</formula>
    </cfRule>
    <cfRule type="cellIs" dxfId="72" priority="10" stopIfTrue="1" operator="greaterThanOrEqual">
      <formula>0.3</formula>
    </cfRule>
  </conditionalFormatting>
  <conditionalFormatting sqref="K17:K19">
    <cfRule type="cellIs" dxfId="71" priority="7" stopIfTrue="1" operator="lessThanOrEqual">
      <formula>-0.3</formula>
    </cfRule>
    <cfRule type="cellIs" dxfId="70" priority="8" stopIfTrue="1" operator="greaterThanOrEqual">
      <formula>0.3</formula>
    </cfRule>
  </conditionalFormatting>
  <conditionalFormatting sqref="K17:K19">
    <cfRule type="cellIs" dxfId="69" priority="5" stopIfTrue="1" operator="lessThanOrEqual">
      <formula>-0.3</formula>
    </cfRule>
    <cfRule type="cellIs" dxfId="68" priority="6" stopIfTrue="1" operator="greaterThanOrEqual">
      <formula>0.3</formula>
    </cfRule>
  </conditionalFormatting>
  <conditionalFormatting sqref="K17:K19">
    <cfRule type="cellIs" dxfId="67" priority="3" stopIfTrue="1" operator="lessThanOrEqual">
      <formula>-0.3</formula>
    </cfRule>
    <cfRule type="cellIs" dxfId="66" priority="4" stopIfTrue="1" operator="greaterThanOrEqual">
      <formula>0.3</formula>
    </cfRule>
  </conditionalFormatting>
  <conditionalFormatting sqref="K17:K19">
    <cfRule type="cellIs" dxfId="65" priority="1" stopIfTrue="1" operator="lessThanOrEqual">
      <formula>-0.3</formula>
    </cfRule>
    <cfRule type="cellIs" dxfId="64" priority="2" stopIfTrue="1" operator="greaterThanOrEqual">
      <formula>0.3</formula>
    </cfRule>
  </conditionalFormatting>
  <dataValidations count="7">
    <dataValidation type="list" allowBlank="1" showInputMessage="1" showErrorMessage="1" sqref="I4:J4 I10:J10">
      <formula1>$L$4:$M$4</formula1>
    </dataValidation>
    <dataValidation type="list" allowBlank="1" showInputMessage="1" showErrorMessage="1" sqref="I5:J5">
      <formula1>$L$5:$M$5</formula1>
    </dataValidation>
    <dataValidation type="list" allowBlank="1" showInputMessage="1" showErrorMessage="1" sqref="I6:J6">
      <formula1>$L$6:$M$6</formula1>
    </dataValidation>
    <dataValidation type="list" allowBlank="1" showInputMessage="1" showErrorMessage="1" sqref="I7:J7">
      <formula1>$L$7:$M$7</formula1>
    </dataValidation>
    <dataValidation type="list" allowBlank="1" showInputMessage="1" showErrorMessage="1" sqref="I8:J8">
      <formula1>$L$8:$M$8</formula1>
    </dataValidation>
    <dataValidation type="list" allowBlank="1" showInputMessage="1" showErrorMessage="1" sqref="I9:J9">
      <formula1>$L$9:$M$9</formula1>
    </dataValidation>
    <dataValidation type="list" allowBlank="1" showInputMessage="1" showErrorMessage="1" sqref="I16:J16">
      <formula1>$K$16:$L$16</formula1>
    </dataValidation>
  </dataValidations>
  <hyperlinks>
    <hyperlink ref="D30" location="权重!A1" display="权重!A1"/>
    <hyperlink ref="D31" location="目录!A1" display="目录!A1"/>
  </hyperlinks>
  <pageMargins left="0.70866141732283472" right="0.70866141732283472" top="0.74803149606299213" bottom="0.7480314960629921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P146"/>
  <sheetViews>
    <sheetView workbookViewId="0">
      <pane xSplit="2" ySplit="2" topLeftCell="C132" activePane="bottomRight" state="frozen"/>
      <selection activeCell="A3" sqref="A3:B3"/>
      <selection pane="topRight" activeCell="A3" sqref="A3:B3"/>
      <selection pane="bottomLeft" activeCell="A3" sqref="A3:B3"/>
      <selection pane="bottomRight" activeCell="A145" sqref="A145"/>
    </sheetView>
  </sheetViews>
  <sheetFormatPr defaultColWidth="8.875" defaultRowHeight="12"/>
  <cols>
    <col min="1" max="1" width="12.625" style="60" customWidth="1"/>
    <col min="2" max="2" width="13.5" style="75" customWidth="1"/>
    <col min="3" max="3" width="18.875" style="76" customWidth="1"/>
    <col min="4" max="4" width="39" style="77" customWidth="1"/>
    <col min="5" max="5" width="5.75" style="60" bestFit="1" customWidth="1"/>
    <col min="6" max="6" width="6.25" style="60" bestFit="1" customWidth="1"/>
    <col min="7" max="7" width="11.25" style="60" customWidth="1"/>
    <col min="8" max="8" width="6.5" style="60" customWidth="1"/>
    <col min="9" max="9" width="6.125" style="60" customWidth="1"/>
    <col min="10" max="10" width="10.125" style="60" customWidth="1"/>
    <col min="11" max="11" width="6.75" style="60" customWidth="1"/>
    <col min="12" max="13" width="8.5" style="116" bestFit="1" customWidth="1"/>
    <col min="14" max="14" width="8.125" style="60" customWidth="1"/>
    <col min="15" max="15" width="5.25" style="60" bestFit="1" customWidth="1"/>
    <col min="16" max="16" width="11.5" style="60" customWidth="1"/>
    <col min="17" max="17" width="9.625" style="60" customWidth="1"/>
    <col min="18" max="18" width="9.5" style="60" customWidth="1"/>
    <col min="19" max="16384" width="8.875" style="60"/>
  </cols>
  <sheetData>
    <row r="1" spans="1:16" ht="24.75" customHeight="1">
      <c r="A1" s="295" t="s">
        <v>643</v>
      </c>
      <c r="B1" s="296"/>
      <c r="C1" s="296"/>
      <c r="D1" s="296"/>
      <c r="E1" s="296"/>
      <c r="F1" s="296"/>
      <c r="G1" s="169"/>
    </row>
    <row r="2" spans="1:16" s="61" customFormat="1" ht="13.5">
      <c r="A2" s="112" t="s">
        <v>410</v>
      </c>
      <c r="B2" s="113" t="s">
        <v>644</v>
      </c>
      <c r="C2" s="114" t="s">
        <v>645</v>
      </c>
      <c r="D2" s="112" t="s">
        <v>646</v>
      </c>
      <c r="E2" s="114" t="s">
        <v>485</v>
      </c>
      <c r="F2" s="112" t="s">
        <v>2449</v>
      </c>
      <c r="G2" s="113" t="s">
        <v>2450</v>
      </c>
      <c r="H2" s="112"/>
      <c r="I2" s="321" t="s">
        <v>2430</v>
      </c>
      <c r="J2" s="113" t="s">
        <v>2448</v>
      </c>
      <c r="K2" s="112"/>
      <c r="L2" s="112" t="s">
        <v>1649</v>
      </c>
      <c r="M2" s="112" t="s">
        <v>1650</v>
      </c>
      <c r="N2" s="112" t="s">
        <v>1393</v>
      </c>
      <c r="O2" s="112" t="s">
        <v>1392</v>
      </c>
    </row>
    <row r="3" spans="1:16" s="61" customFormat="1" ht="16.5" customHeight="1">
      <c r="A3" s="1764" t="s">
        <v>647</v>
      </c>
      <c r="B3" s="1765" t="s">
        <v>648</v>
      </c>
      <c r="C3" s="62" t="s">
        <v>649</v>
      </c>
      <c r="D3" s="64" t="s">
        <v>650</v>
      </c>
      <c r="E3" s="63">
        <v>5</v>
      </c>
      <c r="F3" s="63">
        <v>5</v>
      </c>
      <c r="G3" s="63">
        <f t="shared" ref="G3:G25" si="0">F3*0.15</f>
        <v>0.75</v>
      </c>
      <c r="H3" s="63"/>
      <c r="I3" s="63">
        <v>5</v>
      </c>
      <c r="J3" s="63">
        <f t="shared" ref="J3:J25" si="1">I3*0.15</f>
        <v>0.75</v>
      </c>
      <c r="K3" s="63"/>
      <c r="L3" s="191">
        <f t="shared" ref="L3:L34" si="2">I3-F3</f>
        <v>0</v>
      </c>
      <c r="M3" s="191">
        <f t="shared" ref="M3:M34" si="3">E3-I3</f>
        <v>0</v>
      </c>
      <c r="N3" s="63">
        <v>0.75</v>
      </c>
      <c r="O3" s="163">
        <v>1</v>
      </c>
      <c r="P3" s="297"/>
    </row>
    <row r="4" spans="1:16" s="61" customFormat="1" ht="14.25">
      <c r="A4" s="1764"/>
      <c r="B4" s="1765"/>
      <c r="C4" s="62" t="s">
        <v>651</v>
      </c>
      <c r="D4" s="65" t="s">
        <v>652</v>
      </c>
      <c r="E4" s="63">
        <v>5</v>
      </c>
      <c r="F4" s="63">
        <v>5</v>
      </c>
      <c r="G4" s="63">
        <f t="shared" si="0"/>
        <v>0.75</v>
      </c>
      <c r="H4" s="63"/>
      <c r="I4" s="63">
        <v>5</v>
      </c>
      <c r="J4" s="63">
        <f t="shared" si="1"/>
        <v>0.75</v>
      </c>
      <c r="K4" s="63"/>
      <c r="L4" s="191">
        <f t="shared" si="2"/>
        <v>0</v>
      </c>
      <c r="M4" s="191">
        <f t="shared" si="3"/>
        <v>0</v>
      </c>
      <c r="N4" s="63">
        <v>0.75</v>
      </c>
      <c r="O4" s="163">
        <v>1</v>
      </c>
      <c r="P4" s="297"/>
    </row>
    <row r="5" spans="1:16" s="61" customFormat="1" ht="27">
      <c r="A5" s="1764"/>
      <c r="B5" s="1765" t="s">
        <v>653</v>
      </c>
      <c r="C5" s="294" t="s">
        <v>654</v>
      </c>
      <c r="D5" s="64" t="s">
        <v>655</v>
      </c>
      <c r="E5" s="63">
        <v>8</v>
      </c>
      <c r="F5" s="63">
        <v>8</v>
      </c>
      <c r="G5" s="63">
        <f t="shared" si="0"/>
        <v>1.2</v>
      </c>
      <c r="H5" s="63"/>
      <c r="I5" s="63">
        <v>8</v>
      </c>
      <c r="J5" s="63">
        <f t="shared" si="1"/>
        <v>1.2</v>
      </c>
      <c r="K5" s="63"/>
      <c r="L5" s="191">
        <f t="shared" si="2"/>
        <v>0</v>
      </c>
      <c r="M5" s="191">
        <f t="shared" si="3"/>
        <v>0</v>
      </c>
      <c r="N5" s="63">
        <v>1.2</v>
      </c>
      <c r="O5" s="163">
        <v>1</v>
      </c>
      <c r="P5" s="297"/>
    </row>
    <row r="6" spans="1:16" s="61" customFormat="1" ht="27">
      <c r="A6" s="1764"/>
      <c r="B6" s="1765"/>
      <c r="C6" s="294" t="s">
        <v>656</v>
      </c>
      <c r="D6" s="64" t="s">
        <v>657</v>
      </c>
      <c r="E6" s="63">
        <v>8</v>
      </c>
      <c r="F6" s="63">
        <v>8</v>
      </c>
      <c r="G6" s="63">
        <f t="shared" si="0"/>
        <v>1.2</v>
      </c>
      <c r="H6" s="63"/>
      <c r="I6" s="63">
        <v>8</v>
      </c>
      <c r="J6" s="63">
        <f t="shared" si="1"/>
        <v>1.2</v>
      </c>
      <c r="K6" s="63"/>
      <c r="L6" s="191">
        <f t="shared" si="2"/>
        <v>0</v>
      </c>
      <c r="M6" s="191">
        <f t="shared" si="3"/>
        <v>0</v>
      </c>
      <c r="N6" s="63">
        <v>1.2</v>
      </c>
      <c r="O6" s="163">
        <v>1</v>
      </c>
      <c r="P6" s="297"/>
    </row>
    <row r="7" spans="1:16" s="61" customFormat="1" ht="14.25">
      <c r="A7" s="1764"/>
      <c r="B7" s="1765"/>
      <c r="C7" s="294" t="s">
        <v>658</v>
      </c>
      <c r="D7" s="175" t="s">
        <v>659</v>
      </c>
      <c r="E7" s="63">
        <v>8</v>
      </c>
      <c r="F7" s="179">
        <v>0</v>
      </c>
      <c r="G7" s="63">
        <f t="shared" si="0"/>
        <v>0</v>
      </c>
      <c r="H7" s="63"/>
      <c r="I7" s="179">
        <v>0</v>
      </c>
      <c r="J7" s="63">
        <f t="shared" si="1"/>
        <v>0</v>
      </c>
      <c r="K7" s="63"/>
      <c r="L7" s="191">
        <f t="shared" si="2"/>
        <v>0</v>
      </c>
      <c r="M7" s="191">
        <f t="shared" si="3"/>
        <v>8</v>
      </c>
      <c r="N7" s="63">
        <v>1.2</v>
      </c>
      <c r="O7" s="164">
        <v>0</v>
      </c>
      <c r="P7" s="297"/>
    </row>
    <row r="8" spans="1:16" s="61" customFormat="1" ht="27">
      <c r="A8" s="1764"/>
      <c r="B8" s="1765"/>
      <c r="C8" s="294" t="s">
        <v>660</v>
      </c>
      <c r="D8" s="64" t="s">
        <v>661</v>
      </c>
      <c r="E8" s="63">
        <v>8</v>
      </c>
      <c r="F8" s="63">
        <v>8</v>
      </c>
      <c r="G8" s="63">
        <f t="shared" si="0"/>
        <v>1.2</v>
      </c>
      <c r="H8" s="63"/>
      <c r="I8" s="63">
        <v>8</v>
      </c>
      <c r="J8" s="63">
        <f t="shared" si="1"/>
        <v>1.2</v>
      </c>
      <c r="K8" s="63"/>
      <c r="L8" s="191">
        <f t="shared" si="2"/>
        <v>0</v>
      </c>
      <c r="M8" s="191">
        <f t="shared" si="3"/>
        <v>0</v>
      </c>
      <c r="N8" s="63">
        <v>1.2</v>
      </c>
      <c r="O8" s="163">
        <v>1</v>
      </c>
      <c r="P8" s="297"/>
    </row>
    <row r="9" spans="1:16" s="61" customFormat="1" ht="14.25">
      <c r="A9" s="1764"/>
      <c r="B9" s="1765"/>
      <c r="C9" s="294" t="s">
        <v>662</v>
      </c>
      <c r="D9" s="65" t="s">
        <v>663</v>
      </c>
      <c r="E9" s="63">
        <v>8</v>
      </c>
      <c r="F9" s="63">
        <v>8</v>
      </c>
      <c r="G9" s="63">
        <f t="shared" si="0"/>
        <v>1.2</v>
      </c>
      <c r="H9" s="63"/>
      <c r="I9" s="63">
        <v>8</v>
      </c>
      <c r="J9" s="63">
        <f t="shared" si="1"/>
        <v>1.2</v>
      </c>
      <c r="K9" s="63"/>
      <c r="L9" s="191">
        <f t="shared" si="2"/>
        <v>0</v>
      </c>
      <c r="M9" s="191">
        <f t="shared" si="3"/>
        <v>0</v>
      </c>
      <c r="N9" s="63">
        <v>1.2</v>
      </c>
      <c r="O9" s="163">
        <v>1</v>
      </c>
      <c r="P9" s="297"/>
    </row>
    <row r="10" spans="1:16" s="61" customFormat="1" ht="27">
      <c r="A10" s="1764"/>
      <c r="B10" s="1765" t="s">
        <v>664</v>
      </c>
      <c r="C10" s="294" t="s">
        <v>665</v>
      </c>
      <c r="D10" s="64" t="s">
        <v>666</v>
      </c>
      <c r="E10" s="63">
        <v>10</v>
      </c>
      <c r="F10" s="63">
        <v>10</v>
      </c>
      <c r="G10" s="63">
        <f t="shared" si="0"/>
        <v>1.5</v>
      </c>
      <c r="H10" s="63"/>
      <c r="I10" s="63">
        <v>10</v>
      </c>
      <c r="J10" s="63">
        <f t="shared" si="1"/>
        <v>1.5</v>
      </c>
      <c r="K10" s="63"/>
      <c r="L10" s="191">
        <f t="shared" si="2"/>
        <v>0</v>
      </c>
      <c r="M10" s="191">
        <f t="shared" si="3"/>
        <v>0</v>
      </c>
      <c r="N10" s="63">
        <v>1.5</v>
      </c>
      <c r="O10" s="163">
        <v>1</v>
      </c>
      <c r="P10" s="297"/>
    </row>
    <row r="11" spans="1:16" s="61" customFormat="1" ht="14.25">
      <c r="A11" s="1764"/>
      <c r="B11" s="1765"/>
      <c r="C11" s="294" t="s">
        <v>667</v>
      </c>
      <c r="D11" s="64" t="s">
        <v>668</v>
      </c>
      <c r="E11" s="63">
        <v>10</v>
      </c>
      <c r="F11" s="63">
        <v>10</v>
      </c>
      <c r="G11" s="63">
        <f t="shared" si="0"/>
        <v>1.5</v>
      </c>
      <c r="H11" s="63"/>
      <c r="I11" s="63">
        <v>10</v>
      </c>
      <c r="J11" s="63">
        <f t="shared" si="1"/>
        <v>1.5</v>
      </c>
      <c r="K11" s="63"/>
      <c r="L11" s="191">
        <f t="shared" si="2"/>
        <v>0</v>
      </c>
      <c r="M11" s="191">
        <f t="shared" si="3"/>
        <v>0</v>
      </c>
      <c r="N11" s="63">
        <v>1.5</v>
      </c>
      <c r="O11" s="163">
        <v>1</v>
      </c>
      <c r="P11" s="297"/>
    </row>
    <row r="12" spans="1:16" s="61" customFormat="1" ht="27">
      <c r="A12" s="1764"/>
      <c r="B12" s="1765"/>
      <c r="C12" s="294" t="s">
        <v>669</v>
      </c>
      <c r="D12" s="64" t="s">
        <v>670</v>
      </c>
      <c r="E12" s="63">
        <v>10</v>
      </c>
      <c r="F12" s="63">
        <v>10</v>
      </c>
      <c r="G12" s="63">
        <f t="shared" si="0"/>
        <v>1.5</v>
      </c>
      <c r="H12" s="63"/>
      <c r="I12" s="63">
        <v>10</v>
      </c>
      <c r="J12" s="63">
        <f t="shared" si="1"/>
        <v>1.5</v>
      </c>
      <c r="K12" s="63"/>
      <c r="L12" s="191">
        <f t="shared" si="2"/>
        <v>0</v>
      </c>
      <c r="M12" s="191">
        <f t="shared" si="3"/>
        <v>0</v>
      </c>
      <c r="N12" s="63">
        <v>1.5</v>
      </c>
      <c r="O12" s="163">
        <v>1</v>
      </c>
      <c r="P12" s="297"/>
    </row>
    <row r="13" spans="1:16" s="61" customFormat="1" ht="54">
      <c r="A13" s="1764"/>
      <c r="B13" s="1765"/>
      <c r="C13" s="294" t="s">
        <v>671</v>
      </c>
      <c r="D13" s="175" t="s">
        <v>672</v>
      </c>
      <c r="E13" s="63">
        <v>10</v>
      </c>
      <c r="F13" s="179">
        <v>0</v>
      </c>
      <c r="G13" s="63">
        <f t="shared" si="0"/>
        <v>0</v>
      </c>
      <c r="H13" s="63"/>
      <c r="I13" s="179">
        <v>0</v>
      </c>
      <c r="J13" s="63">
        <f t="shared" si="1"/>
        <v>0</v>
      </c>
      <c r="K13" s="63"/>
      <c r="L13" s="191">
        <f t="shared" si="2"/>
        <v>0</v>
      </c>
      <c r="M13" s="173">
        <f t="shared" si="3"/>
        <v>10</v>
      </c>
      <c r="N13" s="63">
        <v>1.5</v>
      </c>
      <c r="O13" s="164">
        <v>0.5</v>
      </c>
      <c r="P13" s="297"/>
    </row>
    <row r="14" spans="1:16" s="61" customFormat="1" ht="14.25">
      <c r="A14" s="1764"/>
      <c r="B14" s="1765"/>
      <c r="C14" s="66" t="s">
        <v>673</v>
      </c>
      <c r="D14" s="65" t="s">
        <v>674</v>
      </c>
      <c r="E14" s="67">
        <v>10</v>
      </c>
      <c r="F14" s="67">
        <v>10</v>
      </c>
      <c r="G14" s="67">
        <f t="shared" si="0"/>
        <v>1.5</v>
      </c>
      <c r="H14" s="67">
        <f>SUM(F3:F14)*0.15</f>
        <v>12.299999999999999</v>
      </c>
      <c r="I14" s="67">
        <v>10</v>
      </c>
      <c r="J14" s="67">
        <f t="shared" si="1"/>
        <v>1.5</v>
      </c>
      <c r="K14" s="67">
        <f>SUM(I3:I14)*0.15</f>
        <v>12.299999999999999</v>
      </c>
      <c r="L14" s="191">
        <f t="shared" si="2"/>
        <v>0</v>
      </c>
      <c r="M14" s="191">
        <f t="shared" si="3"/>
        <v>0</v>
      </c>
      <c r="N14" s="63">
        <v>1.5</v>
      </c>
      <c r="O14" s="163">
        <v>1</v>
      </c>
      <c r="P14" s="297"/>
    </row>
    <row r="15" spans="1:16" s="61" customFormat="1" ht="13.5" customHeight="1">
      <c r="A15" s="1764" t="s">
        <v>675</v>
      </c>
      <c r="B15" s="68" t="s">
        <v>676</v>
      </c>
      <c r="C15" s="69" t="s">
        <v>677</v>
      </c>
      <c r="D15" s="71" t="s">
        <v>678</v>
      </c>
      <c r="E15" s="70">
        <v>20</v>
      </c>
      <c r="F15" s="70">
        <v>20</v>
      </c>
      <c r="G15" s="70">
        <f t="shared" si="0"/>
        <v>3</v>
      </c>
      <c r="H15" s="70"/>
      <c r="I15" s="70">
        <v>20</v>
      </c>
      <c r="J15" s="70">
        <f t="shared" si="1"/>
        <v>3</v>
      </c>
      <c r="K15" s="70"/>
      <c r="L15" s="191">
        <f t="shared" si="2"/>
        <v>0</v>
      </c>
      <c r="M15" s="191">
        <f t="shared" si="3"/>
        <v>0</v>
      </c>
      <c r="N15" s="63">
        <v>3</v>
      </c>
      <c r="O15" s="163">
        <v>1</v>
      </c>
      <c r="P15" s="297"/>
    </row>
    <row r="16" spans="1:16" s="61" customFormat="1" ht="27">
      <c r="A16" s="1764"/>
      <c r="B16" s="1765" t="s">
        <v>679</v>
      </c>
      <c r="C16" s="294" t="s">
        <v>680</v>
      </c>
      <c r="D16" s="64" t="s">
        <v>1405</v>
      </c>
      <c r="E16" s="63">
        <v>8</v>
      </c>
      <c r="F16" s="63">
        <v>4</v>
      </c>
      <c r="G16" s="63">
        <f t="shared" si="0"/>
        <v>0.6</v>
      </c>
      <c r="H16" s="63"/>
      <c r="I16" s="63">
        <v>4</v>
      </c>
      <c r="J16" s="63">
        <f t="shared" si="1"/>
        <v>0.6</v>
      </c>
      <c r="K16" s="63"/>
      <c r="L16" s="191">
        <f t="shared" si="2"/>
        <v>0</v>
      </c>
      <c r="M16" s="191">
        <f t="shared" si="3"/>
        <v>4</v>
      </c>
      <c r="N16" s="63">
        <v>1.2</v>
      </c>
      <c r="O16" s="164">
        <v>1</v>
      </c>
      <c r="P16" s="297"/>
    </row>
    <row r="17" spans="1:16" s="61" customFormat="1" ht="14.25">
      <c r="A17" s="1764"/>
      <c r="B17" s="1765"/>
      <c r="C17" s="294" t="s">
        <v>681</v>
      </c>
      <c r="D17" s="64" t="s">
        <v>682</v>
      </c>
      <c r="E17" s="63">
        <v>8</v>
      </c>
      <c r="F17" s="63">
        <v>8</v>
      </c>
      <c r="G17" s="63">
        <f t="shared" si="0"/>
        <v>1.2</v>
      </c>
      <c r="H17" s="63"/>
      <c r="I17" s="63">
        <v>8</v>
      </c>
      <c r="J17" s="63">
        <f t="shared" si="1"/>
        <v>1.2</v>
      </c>
      <c r="K17" s="63"/>
      <c r="L17" s="191">
        <f t="shared" si="2"/>
        <v>0</v>
      </c>
      <c r="M17" s="191">
        <f t="shared" si="3"/>
        <v>0</v>
      </c>
      <c r="N17" s="63">
        <v>1.2</v>
      </c>
      <c r="O17" s="163">
        <v>1</v>
      </c>
      <c r="P17" s="297"/>
    </row>
    <row r="18" spans="1:16" s="61" customFormat="1" ht="27">
      <c r="A18" s="1764"/>
      <c r="B18" s="1765"/>
      <c r="C18" s="294" t="s">
        <v>683</v>
      </c>
      <c r="D18" s="64" t="s">
        <v>684</v>
      </c>
      <c r="E18" s="63">
        <v>8</v>
      </c>
      <c r="F18" s="63">
        <v>8</v>
      </c>
      <c r="G18" s="63">
        <f t="shared" si="0"/>
        <v>1.2</v>
      </c>
      <c r="H18" s="63"/>
      <c r="I18" s="63">
        <v>8</v>
      </c>
      <c r="J18" s="63">
        <f t="shared" si="1"/>
        <v>1.2</v>
      </c>
      <c r="K18" s="63"/>
      <c r="L18" s="191">
        <f t="shared" si="2"/>
        <v>0</v>
      </c>
      <c r="M18" s="191">
        <f t="shared" si="3"/>
        <v>0</v>
      </c>
      <c r="N18" s="63">
        <v>1.2</v>
      </c>
      <c r="O18" s="163">
        <v>1</v>
      </c>
      <c r="P18" s="297"/>
    </row>
    <row r="19" spans="1:16" s="61" customFormat="1" ht="27">
      <c r="A19" s="1764"/>
      <c r="B19" s="1765"/>
      <c r="C19" s="294" t="s">
        <v>685</v>
      </c>
      <c r="D19" s="64" t="s">
        <v>686</v>
      </c>
      <c r="E19" s="63">
        <v>8</v>
      </c>
      <c r="F19" s="63">
        <v>8</v>
      </c>
      <c r="G19" s="63">
        <f t="shared" si="0"/>
        <v>1.2</v>
      </c>
      <c r="H19" s="63"/>
      <c r="I19" s="63">
        <v>8</v>
      </c>
      <c r="J19" s="63">
        <f t="shared" si="1"/>
        <v>1.2</v>
      </c>
      <c r="K19" s="63"/>
      <c r="L19" s="191">
        <f t="shared" si="2"/>
        <v>0</v>
      </c>
      <c r="M19" s="191">
        <f t="shared" si="3"/>
        <v>0</v>
      </c>
      <c r="N19" s="63">
        <v>1.2</v>
      </c>
      <c r="O19" s="163">
        <v>1</v>
      </c>
      <c r="P19" s="297"/>
    </row>
    <row r="20" spans="1:16" s="61" customFormat="1" ht="40.5">
      <c r="A20" s="1764"/>
      <c r="B20" s="1765"/>
      <c r="C20" s="294" t="s">
        <v>687</v>
      </c>
      <c r="D20" s="64" t="s">
        <v>688</v>
      </c>
      <c r="E20" s="63">
        <v>8</v>
      </c>
      <c r="F20" s="63">
        <v>8</v>
      </c>
      <c r="G20" s="63">
        <f t="shared" si="0"/>
        <v>1.2</v>
      </c>
      <c r="H20" s="63"/>
      <c r="I20" s="63">
        <v>8</v>
      </c>
      <c r="J20" s="63">
        <f t="shared" si="1"/>
        <v>1.2</v>
      </c>
      <c r="K20" s="63"/>
      <c r="L20" s="191">
        <f t="shared" si="2"/>
        <v>0</v>
      </c>
      <c r="M20" s="191">
        <f t="shared" si="3"/>
        <v>0</v>
      </c>
      <c r="N20" s="63">
        <v>1.2</v>
      </c>
      <c r="O20" s="163">
        <v>1</v>
      </c>
      <c r="P20" s="297"/>
    </row>
    <row r="21" spans="1:16" s="61" customFormat="1" ht="27">
      <c r="A21" s="1764"/>
      <c r="B21" s="1765" t="s">
        <v>689</v>
      </c>
      <c r="C21" s="294" t="s">
        <v>690</v>
      </c>
      <c r="D21" s="64" t="s">
        <v>691</v>
      </c>
      <c r="E21" s="63">
        <v>8</v>
      </c>
      <c r="F21" s="63">
        <v>8</v>
      </c>
      <c r="G21" s="63">
        <f t="shared" si="0"/>
        <v>1.2</v>
      </c>
      <c r="H21" s="63"/>
      <c r="I21" s="63">
        <v>8</v>
      </c>
      <c r="J21" s="63">
        <f t="shared" si="1"/>
        <v>1.2</v>
      </c>
      <c r="K21" s="63"/>
      <c r="L21" s="191">
        <f t="shared" si="2"/>
        <v>0</v>
      </c>
      <c r="M21" s="191">
        <f t="shared" si="3"/>
        <v>0</v>
      </c>
      <c r="N21" s="63">
        <v>1.2</v>
      </c>
      <c r="O21" s="163">
        <v>1</v>
      </c>
      <c r="P21" s="297"/>
    </row>
    <row r="22" spans="1:16" s="61" customFormat="1" ht="27">
      <c r="A22" s="1764"/>
      <c r="B22" s="1765"/>
      <c r="C22" s="62" t="s">
        <v>692</v>
      </c>
      <c r="D22" s="64" t="s">
        <v>693</v>
      </c>
      <c r="E22" s="63">
        <v>8</v>
      </c>
      <c r="F22" s="63">
        <v>8</v>
      </c>
      <c r="G22" s="63">
        <f t="shared" si="0"/>
        <v>1.2</v>
      </c>
      <c r="H22" s="63"/>
      <c r="I22" s="63">
        <v>8</v>
      </c>
      <c r="J22" s="63">
        <f t="shared" si="1"/>
        <v>1.2</v>
      </c>
      <c r="K22" s="63"/>
      <c r="L22" s="191">
        <f t="shared" si="2"/>
        <v>0</v>
      </c>
      <c r="M22" s="191">
        <f t="shared" si="3"/>
        <v>0</v>
      </c>
      <c r="N22" s="63">
        <v>1.2</v>
      </c>
      <c r="O22" s="163">
        <v>1</v>
      </c>
      <c r="P22" s="297"/>
    </row>
    <row r="23" spans="1:16" s="61" customFormat="1" ht="27">
      <c r="A23" s="1764"/>
      <c r="B23" s="1765"/>
      <c r="C23" s="72" t="s">
        <v>694</v>
      </c>
      <c r="D23" s="71" t="s">
        <v>695</v>
      </c>
      <c r="E23" s="63">
        <v>8</v>
      </c>
      <c r="F23" s="63">
        <v>8</v>
      </c>
      <c r="G23" s="63">
        <f t="shared" si="0"/>
        <v>1.2</v>
      </c>
      <c r="H23" s="63"/>
      <c r="I23" s="63">
        <v>8</v>
      </c>
      <c r="J23" s="63">
        <f t="shared" si="1"/>
        <v>1.2</v>
      </c>
      <c r="K23" s="63"/>
      <c r="L23" s="191">
        <f t="shared" si="2"/>
        <v>0</v>
      </c>
      <c r="M23" s="191">
        <f t="shared" si="3"/>
        <v>0</v>
      </c>
      <c r="N23" s="63">
        <v>1.2</v>
      </c>
      <c r="O23" s="163">
        <v>1</v>
      </c>
      <c r="P23" s="297"/>
    </row>
    <row r="24" spans="1:16" s="61" customFormat="1" ht="27">
      <c r="A24" s="1764"/>
      <c r="B24" s="1765"/>
      <c r="C24" s="62" t="s">
        <v>696</v>
      </c>
      <c r="D24" s="64" t="s">
        <v>697</v>
      </c>
      <c r="E24" s="63">
        <v>8</v>
      </c>
      <c r="F24" s="63">
        <v>8</v>
      </c>
      <c r="G24" s="63">
        <f t="shared" si="0"/>
        <v>1.2</v>
      </c>
      <c r="H24" s="63"/>
      <c r="I24" s="63">
        <v>8</v>
      </c>
      <c r="J24" s="63">
        <f t="shared" si="1"/>
        <v>1.2</v>
      </c>
      <c r="K24" s="63"/>
      <c r="L24" s="191">
        <f t="shared" si="2"/>
        <v>0</v>
      </c>
      <c r="M24" s="191">
        <f t="shared" si="3"/>
        <v>0</v>
      </c>
      <c r="N24" s="63">
        <v>1.2</v>
      </c>
      <c r="O24" s="163">
        <v>1</v>
      </c>
      <c r="P24" s="297"/>
    </row>
    <row r="25" spans="1:16" s="61" customFormat="1" ht="27">
      <c r="A25" s="1764"/>
      <c r="B25" s="1765"/>
      <c r="C25" s="62" t="s">
        <v>698</v>
      </c>
      <c r="D25" s="175" t="s">
        <v>699</v>
      </c>
      <c r="E25" s="63">
        <v>8</v>
      </c>
      <c r="F25" s="179">
        <v>0</v>
      </c>
      <c r="G25" s="63">
        <f t="shared" si="0"/>
        <v>0</v>
      </c>
      <c r="H25" s="63">
        <f>SUM(F15:F25)*0.15</f>
        <v>13.2</v>
      </c>
      <c r="I25" s="179">
        <v>0</v>
      </c>
      <c r="J25" s="63">
        <f t="shared" si="1"/>
        <v>0</v>
      </c>
      <c r="K25" s="63">
        <f>SUM(I15:I25)*0.15</f>
        <v>13.2</v>
      </c>
      <c r="L25" s="191">
        <f t="shared" si="2"/>
        <v>0</v>
      </c>
      <c r="M25" s="191">
        <f t="shared" si="3"/>
        <v>8</v>
      </c>
      <c r="N25" s="63">
        <v>1.2</v>
      </c>
      <c r="O25" s="163">
        <v>1</v>
      </c>
      <c r="P25" s="297"/>
    </row>
    <row r="26" spans="1:16" s="61" customFormat="1" ht="14.25">
      <c r="A26" s="1764" t="s">
        <v>700</v>
      </c>
      <c r="B26" s="1765" t="s">
        <v>701</v>
      </c>
      <c r="C26" s="62" t="s">
        <v>702</v>
      </c>
      <c r="D26" s="64" t="s">
        <v>703</v>
      </c>
      <c r="E26" s="63">
        <v>5</v>
      </c>
      <c r="F26" s="63">
        <v>5</v>
      </c>
      <c r="G26" s="63">
        <f t="shared" ref="G26:G43" si="4">F26*0.2</f>
        <v>1</v>
      </c>
      <c r="H26" s="63"/>
      <c r="I26" s="63">
        <v>5</v>
      </c>
      <c r="J26" s="63">
        <f t="shared" ref="J26:J43" si="5">I26*0.2</f>
        <v>1</v>
      </c>
      <c r="K26" s="63"/>
      <c r="L26" s="191">
        <f t="shared" si="2"/>
        <v>0</v>
      </c>
      <c r="M26" s="191">
        <f t="shared" si="3"/>
        <v>0</v>
      </c>
      <c r="N26" s="63">
        <v>1</v>
      </c>
      <c r="O26" s="163">
        <v>1</v>
      </c>
      <c r="P26" s="297"/>
    </row>
    <row r="27" spans="1:16" s="61" customFormat="1" ht="14.25">
      <c r="A27" s="1764"/>
      <c r="B27" s="1765"/>
      <c r="C27" s="62" t="s">
        <v>704</v>
      </c>
      <c r="D27" s="64" t="s">
        <v>705</v>
      </c>
      <c r="E27" s="63">
        <v>5</v>
      </c>
      <c r="F27" s="63">
        <v>5</v>
      </c>
      <c r="G27" s="63">
        <f t="shared" si="4"/>
        <v>1</v>
      </c>
      <c r="H27" s="63"/>
      <c r="I27" s="63">
        <v>5</v>
      </c>
      <c r="J27" s="63">
        <f t="shared" si="5"/>
        <v>1</v>
      </c>
      <c r="K27" s="63"/>
      <c r="L27" s="191">
        <f t="shared" si="2"/>
        <v>0</v>
      </c>
      <c r="M27" s="191">
        <f t="shared" si="3"/>
        <v>0</v>
      </c>
      <c r="N27" s="63">
        <v>1</v>
      </c>
      <c r="O27" s="163">
        <v>1</v>
      </c>
      <c r="P27" s="297"/>
    </row>
    <row r="28" spans="1:16" s="61" customFormat="1" ht="40.5">
      <c r="A28" s="1764"/>
      <c r="B28" s="1765" t="s">
        <v>706</v>
      </c>
      <c r="C28" s="62" t="s">
        <v>707</v>
      </c>
      <c r="D28" s="64" t="s">
        <v>708</v>
      </c>
      <c r="E28" s="63">
        <v>5</v>
      </c>
      <c r="F28" s="63">
        <v>5</v>
      </c>
      <c r="G28" s="63">
        <f t="shared" si="4"/>
        <v>1</v>
      </c>
      <c r="H28" s="63"/>
      <c r="I28" s="63">
        <v>5</v>
      </c>
      <c r="J28" s="63">
        <f t="shared" si="5"/>
        <v>1</v>
      </c>
      <c r="K28" s="63"/>
      <c r="L28" s="191">
        <f t="shared" si="2"/>
        <v>0</v>
      </c>
      <c r="M28" s="191">
        <f t="shared" si="3"/>
        <v>0</v>
      </c>
      <c r="N28" s="63">
        <v>1</v>
      </c>
      <c r="O28" s="163">
        <v>1</v>
      </c>
      <c r="P28" s="297"/>
    </row>
    <row r="29" spans="1:16" s="61" customFormat="1" ht="27">
      <c r="A29" s="1764"/>
      <c r="B29" s="1765"/>
      <c r="C29" s="62" t="s">
        <v>709</v>
      </c>
      <c r="D29" s="64" t="s">
        <v>710</v>
      </c>
      <c r="E29" s="63">
        <v>5</v>
      </c>
      <c r="F29" s="63">
        <v>5</v>
      </c>
      <c r="G29" s="63">
        <f t="shared" si="4"/>
        <v>1</v>
      </c>
      <c r="H29" s="63"/>
      <c r="I29" s="63">
        <v>5</v>
      </c>
      <c r="J29" s="63">
        <f t="shared" si="5"/>
        <v>1</v>
      </c>
      <c r="K29" s="63"/>
      <c r="L29" s="191">
        <f t="shared" si="2"/>
        <v>0</v>
      </c>
      <c r="M29" s="191">
        <f t="shared" si="3"/>
        <v>0</v>
      </c>
      <c r="N29" s="63">
        <v>1</v>
      </c>
      <c r="O29" s="163">
        <v>1</v>
      </c>
      <c r="P29" s="297"/>
    </row>
    <row r="30" spans="1:16" s="61" customFormat="1" ht="27">
      <c r="A30" s="1764"/>
      <c r="B30" s="1765" t="s">
        <v>711</v>
      </c>
      <c r="C30" s="62" t="s">
        <v>712</v>
      </c>
      <c r="D30" s="64" t="s">
        <v>713</v>
      </c>
      <c r="E30" s="63">
        <v>5</v>
      </c>
      <c r="F30" s="63">
        <v>5</v>
      </c>
      <c r="G30" s="63">
        <f t="shared" si="4"/>
        <v>1</v>
      </c>
      <c r="H30" s="63"/>
      <c r="I30" s="63">
        <v>5</v>
      </c>
      <c r="J30" s="63">
        <f t="shared" si="5"/>
        <v>1</v>
      </c>
      <c r="K30" s="63"/>
      <c r="L30" s="191">
        <f t="shared" si="2"/>
        <v>0</v>
      </c>
      <c r="M30" s="191">
        <f t="shared" si="3"/>
        <v>0</v>
      </c>
      <c r="N30" s="63">
        <v>1</v>
      </c>
      <c r="O30" s="163">
        <v>1</v>
      </c>
      <c r="P30" s="297"/>
    </row>
    <row r="31" spans="1:16" s="61" customFormat="1" ht="27">
      <c r="A31" s="1764"/>
      <c r="B31" s="1765"/>
      <c r="C31" s="62" t="s">
        <v>714</v>
      </c>
      <c r="D31" s="64" t="s">
        <v>715</v>
      </c>
      <c r="E31" s="63">
        <v>5</v>
      </c>
      <c r="F31" s="179">
        <v>2</v>
      </c>
      <c r="G31" s="63">
        <f t="shared" si="4"/>
        <v>0.4</v>
      </c>
      <c r="H31" s="63"/>
      <c r="I31" s="179">
        <v>2</v>
      </c>
      <c r="J31" s="63">
        <f t="shared" si="5"/>
        <v>0.4</v>
      </c>
      <c r="K31" s="63"/>
      <c r="L31" s="191">
        <f t="shared" si="2"/>
        <v>0</v>
      </c>
      <c r="M31" s="191">
        <f t="shared" si="3"/>
        <v>3</v>
      </c>
      <c r="N31" s="63">
        <v>1</v>
      </c>
      <c r="O31" s="165">
        <v>1</v>
      </c>
      <c r="P31" s="297"/>
    </row>
    <row r="32" spans="1:16" s="61" customFormat="1" ht="14.25">
      <c r="A32" s="1764"/>
      <c r="B32" s="1765"/>
      <c r="C32" s="62" t="s">
        <v>716</v>
      </c>
      <c r="D32" s="175" t="s">
        <v>717</v>
      </c>
      <c r="E32" s="63">
        <v>5</v>
      </c>
      <c r="F32" s="63">
        <v>2</v>
      </c>
      <c r="G32" s="63">
        <f t="shared" si="4"/>
        <v>0.4</v>
      </c>
      <c r="H32" s="63"/>
      <c r="I32" s="63">
        <v>2</v>
      </c>
      <c r="J32" s="63">
        <f t="shared" si="5"/>
        <v>0.4</v>
      </c>
      <c r="K32" s="63"/>
      <c r="L32" s="191">
        <f t="shared" si="2"/>
        <v>0</v>
      </c>
      <c r="M32" s="191">
        <f t="shared" si="3"/>
        <v>3</v>
      </c>
      <c r="N32" s="63">
        <v>1</v>
      </c>
      <c r="O32" s="166">
        <v>1</v>
      </c>
      <c r="P32" s="297"/>
    </row>
    <row r="33" spans="1:16" s="61" customFormat="1" ht="40.5">
      <c r="A33" s="1764"/>
      <c r="B33" s="1765" t="s">
        <v>718</v>
      </c>
      <c r="C33" s="62" t="s">
        <v>719</v>
      </c>
      <c r="D33" s="64" t="s">
        <v>720</v>
      </c>
      <c r="E33" s="63">
        <v>10</v>
      </c>
      <c r="F33" s="63">
        <v>10</v>
      </c>
      <c r="G33" s="63">
        <f t="shared" si="4"/>
        <v>2</v>
      </c>
      <c r="H33" s="63"/>
      <c r="I33" s="63">
        <v>10</v>
      </c>
      <c r="J33" s="63">
        <f t="shared" si="5"/>
        <v>2</v>
      </c>
      <c r="K33" s="63"/>
      <c r="L33" s="191">
        <f t="shared" si="2"/>
        <v>0</v>
      </c>
      <c r="M33" s="191">
        <f t="shared" si="3"/>
        <v>0</v>
      </c>
      <c r="N33" s="63">
        <v>2</v>
      </c>
      <c r="O33" s="167">
        <v>1</v>
      </c>
      <c r="P33" s="297"/>
    </row>
    <row r="34" spans="1:16" s="61" customFormat="1" ht="14.25">
      <c r="A34" s="1764"/>
      <c r="B34" s="1765"/>
      <c r="C34" s="62" t="s">
        <v>721</v>
      </c>
      <c r="D34" s="64" t="s">
        <v>722</v>
      </c>
      <c r="E34" s="63">
        <v>5</v>
      </c>
      <c r="F34" s="63">
        <v>5</v>
      </c>
      <c r="G34" s="63">
        <f t="shared" si="4"/>
        <v>1</v>
      </c>
      <c r="H34" s="63"/>
      <c r="I34" s="63">
        <v>5</v>
      </c>
      <c r="J34" s="63">
        <f t="shared" si="5"/>
        <v>1</v>
      </c>
      <c r="K34" s="63"/>
      <c r="L34" s="191">
        <f t="shared" si="2"/>
        <v>0</v>
      </c>
      <c r="M34" s="191">
        <f t="shared" si="3"/>
        <v>0</v>
      </c>
      <c r="N34" s="63">
        <v>1</v>
      </c>
      <c r="O34" s="167">
        <v>1</v>
      </c>
      <c r="P34" s="297"/>
    </row>
    <row r="35" spans="1:16" s="61" customFormat="1" ht="14.25">
      <c r="A35" s="1764"/>
      <c r="B35" s="1765" t="s">
        <v>723</v>
      </c>
      <c r="C35" s="62" t="s">
        <v>724</v>
      </c>
      <c r="D35" s="64" t="s">
        <v>725</v>
      </c>
      <c r="E35" s="63">
        <v>5</v>
      </c>
      <c r="F35" s="63">
        <v>5</v>
      </c>
      <c r="G35" s="63">
        <f t="shared" si="4"/>
        <v>1</v>
      </c>
      <c r="H35" s="63"/>
      <c r="I35" s="63">
        <v>5</v>
      </c>
      <c r="J35" s="63">
        <f t="shared" si="5"/>
        <v>1</v>
      </c>
      <c r="K35" s="63"/>
      <c r="L35" s="191">
        <f t="shared" ref="L35:L66" si="6">I35-F35</f>
        <v>0</v>
      </c>
      <c r="M35" s="191">
        <f t="shared" ref="M35:M66" si="7">E35-I35</f>
        <v>0</v>
      </c>
      <c r="N35" s="63">
        <v>1</v>
      </c>
      <c r="O35" s="167">
        <v>1</v>
      </c>
      <c r="P35" s="297"/>
    </row>
    <row r="36" spans="1:16" s="61" customFormat="1" ht="14.25">
      <c r="A36" s="1764"/>
      <c r="B36" s="1765"/>
      <c r="C36" s="62" t="s">
        <v>726</v>
      </c>
      <c r="D36" s="64" t="s">
        <v>1407</v>
      </c>
      <c r="E36" s="63">
        <v>5</v>
      </c>
      <c r="F36" s="179">
        <v>2</v>
      </c>
      <c r="G36" s="63">
        <f t="shared" si="4"/>
        <v>0.4</v>
      </c>
      <c r="H36" s="63"/>
      <c r="I36" s="179">
        <v>2</v>
      </c>
      <c r="J36" s="63">
        <f t="shared" si="5"/>
        <v>0.4</v>
      </c>
      <c r="K36" s="63"/>
      <c r="L36" s="191">
        <f t="shared" si="6"/>
        <v>0</v>
      </c>
      <c r="M36" s="191">
        <f t="shared" si="7"/>
        <v>3</v>
      </c>
      <c r="N36" s="63">
        <v>1</v>
      </c>
      <c r="O36" s="168">
        <v>1</v>
      </c>
      <c r="P36" s="297"/>
    </row>
    <row r="37" spans="1:16" s="61" customFormat="1" ht="54">
      <c r="A37" s="1764"/>
      <c r="B37" s="1765" t="s">
        <v>727</v>
      </c>
      <c r="C37" s="62" t="s">
        <v>728</v>
      </c>
      <c r="D37" s="64" t="s">
        <v>1408</v>
      </c>
      <c r="E37" s="63">
        <v>10</v>
      </c>
      <c r="F37" s="179">
        <v>7</v>
      </c>
      <c r="G37" s="63">
        <f t="shared" si="4"/>
        <v>1.4000000000000001</v>
      </c>
      <c r="H37" s="63"/>
      <c r="I37" s="179">
        <v>7</v>
      </c>
      <c r="J37" s="63">
        <f t="shared" si="5"/>
        <v>1.4000000000000001</v>
      </c>
      <c r="K37" s="63"/>
      <c r="L37" s="191">
        <f t="shared" si="6"/>
        <v>0</v>
      </c>
      <c r="M37" s="191">
        <f t="shared" si="7"/>
        <v>3</v>
      </c>
      <c r="N37" s="63">
        <v>2</v>
      </c>
      <c r="O37" s="167">
        <v>1</v>
      </c>
      <c r="P37" s="297"/>
    </row>
    <row r="38" spans="1:16" s="61" customFormat="1" ht="14.25">
      <c r="A38" s="1764"/>
      <c r="B38" s="1765"/>
      <c r="C38" s="62" t="s">
        <v>729</v>
      </c>
      <c r="D38" s="64" t="s">
        <v>730</v>
      </c>
      <c r="E38" s="63">
        <v>3</v>
      </c>
      <c r="F38" s="63">
        <v>3</v>
      </c>
      <c r="G38" s="63">
        <f t="shared" si="4"/>
        <v>0.60000000000000009</v>
      </c>
      <c r="H38" s="63"/>
      <c r="I38" s="63">
        <v>3</v>
      </c>
      <c r="J38" s="63">
        <f t="shared" si="5"/>
        <v>0.60000000000000009</v>
      </c>
      <c r="K38" s="63"/>
      <c r="L38" s="191">
        <f t="shared" si="6"/>
        <v>0</v>
      </c>
      <c r="M38" s="191">
        <f t="shared" si="7"/>
        <v>0</v>
      </c>
      <c r="N38" s="63">
        <v>0.60000000000000009</v>
      </c>
      <c r="O38" s="167">
        <v>1</v>
      </c>
      <c r="P38" s="297"/>
    </row>
    <row r="39" spans="1:16" s="61" customFormat="1" ht="27">
      <c r="A39" s="1764"/>
      <c r="B39" s="1765"/>
      <c r="C39" s="62" t="s">
        <v>731</v>
      </c>
      <c r="D39" s="175" t="s">
        <v>732</v>
      </c>
      <c r="E39" s="63">
        <v>2</v>
      </c>
      <c r="F39" s="179">
        <v>0</v>
      </c>
      <c r="G39" s="63">
        <f t="shared" si="4"/>
        <v>0</v>
      </c>
      <c r="H39" s="63"/>
      <c r="I39" s="179">
        <v>0</v>
      </c>
      <c r="J39" s="63">
        <f t="shared" si="5"/>
        <v>0</v>
      </c>
      <c r="K39" s="63"/>
      <c r="L39" s="191">
        <f t="shared" si="6"/>
        <v>0</v>
      </c>
      <c r="M39" s="191">
        <f t="shared" si="7"/>
        <v>2</v>
      </c>
      <c r="N39" s="63">
        <v>0.4</v>
      </c>
      <c r="O39" s="168">
        <v>1</v>
      </c>
      <c r="P39" s="297"/>
    </row>
    <row r="40" spans="1:16" s="61" customFormat="1" ht="40.5">
      <c r="A40" s="1764"/>
      <c r="B40" s="73" t="s">
        <v>733</v>
      </c>
      <c r="C40" s="62" t="s">
        <v>734</v>
      </c>
      <c r="D40" s="64" t="s">
        <v>735</v>
      </c>
      <c r="E40" s="63">
        <v>10</v>
      </c>
      <c r="F40" s="63">
        <v>10</v>
      </c>
      <c r="G40" s="63">
        <f t="shared" si="4"/>
        <v>2</v>
      </c>
      <c r="H40" s="63"/>
      <c r="I40" s="63">
        <v>10</v>
      </c>
      <c r="J40" s="63">
        <f t="shared" si="5"/>
        <v>2</v>
      </c>
      <c r="K40" s="63"/>
      <c r="L40" s="191">
        <f t="shared" si="6"/>
        <v>0</v>
      </c>
      <c r="M40" s="191">
        <f t="shared" si="7"/>
        <v>0</v>
      </c>
      <c r="N40" s="63">
        <v>2</v>
      </c>
      <c r="O40" s="167">
        <v>1</v>
      </c>
      <c r="P40" s="297"/>
    </row>
    <row r="41" spans="1:16" s="61" customFormat="1" ht="27">
      <c r="A41" s="1764"/>
      <c r="B41" s="1765" t="s">
        <v>736</v>
      </c>
      <c r="C41" s="62" t="s">
        <v>737</v>
      </c>
      <c r="D41" s="64" t="s">
        <v>738</v>
      </c>
      <c r="E41" s="63">
        <v>4</v>
      </c>
      <c r="F41" s="63">
        <v>4</v>
      </c>
      <c r="G41" s="63">
        <f t="shared" si="4"/>
        <v>0.8</v>
      </c>
      <c r="H41" s="63"/>
      <c r="I41" s="63">
        <v>4</v>
      </c>
      <c r="J41" s="63">
        <f t="shared" si="5"/>
        <v>0.8</v>
      </c>
      <c r="K41" s="63"/>
      <c r="L41" s="191">
        <f t="shared" si="6"/>
        <v>0</v>
      </c>
      <c r="M41" s="191">
        <f t="shared" si="7"/>
        <v>0</v>
      </c>
      <c r="N41" s="63">
        <v>0.8</v>
      </c>
      <c r="O41" s="167">
        <v>1</v>
      </c>
      <c r="P41" s="297"/>
    </row>
    <row r="42" spans="1:16" s="61" customFormat="1" ht="27">
      <c r="A42" s="1764"/>
      <c r="B42" s="1765"/>
      <c r="C42" s="62" t="s">
        <v>739</v>
      </c>
      <c r="D42" s="64" t="s">
        <v>740</v>
      </c>
      <c r="E42" s="63">
        <v>6</v>
      </c>
      <c r="F42" s="63">
        <v>6</v>
      </c>
      <c r="G42" s="63">
        <f t="shared" si="4"/>
        <v>1.2000000000000002</v>
      </c>
      <c r="H42" s="63"/>
      <c r="I42" s="63">
        <v>6</v>
      </c>
      <c r="J42" s="63">
        <f t="shared" si="5"/>
        <v>1.2000000000000002</v>
      </c>
      <c r="K42" s="63"/>
      <c r="L42" s="191">
        <f t="shared" si="6"/>
        <v>0</v>
      </c>
      <c r="M42" s="191">
        <f t="shared" si="7"/>
        <v>0</v>
      </c>
      <c r="N42" s="63">
        <v>1.2000000000000002</v>
      </c>
      <c r="O42" s="167">
        <v>1</v>
      </c>
      <c r="P42" s="297"/>
    </row>
    <row r="43" spans="1:16" s="61" customFormat="1" ht="27">
      <c r="A43" s="1764"/>
      <c r="B43" s="73" t="s">
        <v>741</v>
      </c>
      <c r="C43" s="62" t="s">
        <v>742</v>
      </c>
      <c r="D43" s="64" t="s">
        <v>743</v>
      </c>
      <c r="E43" s="63">
        <v>5</v>
      </c>
      <c r="F43" s="63">
        <v>5</v>
      </c>
      <c r="G43" s="63">
        <f t="shared" si="4"/>
        <v>1</v>
      </c>
      <c r="H43" s="63">
        <f>SUM(F26:F43)*0.2</f>
        <v>17.2</v>
      </c>
      <c r="I43" s="63">
        <v>5</v>
      </c>
      <c r="J43" s="63">
        <f t="shared" si="5"/>
        <v>1</v>
      </c>
      <c r="K43" s="63">
        <f>SUM(I26:I43)*0.2</f>
        <v>17.2</v>
      </c>
      <c r="L43" s="191">
        <f t="shared" si="6"/>
        <v>0</v>
      </c>
      <c r="M43" s="191">
        <f t="shared" si="7"/>
        <v>0</v>
      </c>
      <c r="N43" s="63">
        <v>1</v>
      </c>
      <c r="O43" s="168">
        <v>1</v>
      </c>
      <c r="P43" s="297"/>
    </row>
    <row r="44" spans="1:16" s="61" customFormat="1" ht="14.25">
      <c r="A44" s="1764" t="s">
        <v>744</v>
      </c>
      <c r="B44" s="1765" t="s">
        <v>745</v>
      </c>
      <c r="C44" s="62" t="s">
        <v>746</v>
      </c>
      <c r="D44" s="64" t="s">
        <v>747</v>
      </c>
      <c r="E44" s="63">
        <v>10</v>
      </c>
      <c r="F44" s="63">
        <v>10</v>
      </c>
      <c r="G44" s="63">
        <f t="shared" ref="G44:G60" si="8">F44*0.1</f>
        <v>1</v>
      </c>
      <c r="H44" s="63"/>
      <c r="I44" s="63">
        <v>10</v>
      </c>
      <c r="J44" s="63">
        <f t="shared" ref="J44:J60" si="9">I44*0.1</f>
        <v>1</v>
      </c>
      <c r="K44" s="63"/>
      <c r="L44" s="191">
        <f t="shared" si="6"/>
        <v>0</v>
      </c>
      <c r="M44" s="191">
        <f t="shared" si="7"/>
        <v>0</v>
      </c>
      <c r="N44" s="63">
        <v>1</v>
      </c>
      <c r="O44" s="167">
        <v>1</v>
      </c>
      <c r="P44" s="297"/>
    </row>
    <row r="45" spans="1:16" s="61" customFormat="1" ht="67.5">
      <c r="A45" s="1764"/>
      <c r="B45" s="1765"/>
      <c r="C45" s="62" t="s">
        <v>748</v>
      </c>
      <c r="D45" s="64" t="s">
        <v>1419</v>
      </c>
      <c r="E45" s="63">
        <v>20</v>
      </c>
      <c r="F45" s="63">
        <v>20</v>
      </c>
      <c r="G45" s="63">
        <f t="shared" si="8"/>
        <v>2</v>
      </c>
      <c r="H45" s="63"/>
      <c r="I45" s="63">
        <v>20</v>
      </c>
      <c r="J45" s="63">
        <f t="shared" si="9"/>
        <v>2</v>
      </c>
      <c r="K45" s="63"/>
      <c r="L45" s="191">
        <f t="shared" si="6"/>
        <v>0</v>
      </c>
      <c r="M45" s="191">
        <f t="shared" si="7"/>
        <v>0</v>
      </c>
      <c r="N45" s="63">
        <v>2</v>
      </c>
      <c r="O45" s="168">
        <v>1</v>
      </c>
      <c r="P45" s="297"/>
    </row>
    <row r="46" spans="1:16" s="61" customFormat="1" ht="27">
      <c r="A46" s="1764"/>
      <c r="B46" s="1765"/>
      <c r="C46" s="62" t="s">
        <v>749</v>
      </c>
      <c r="D46" s="64" t="s">
        <v>1418</v>
      </c>
      <c r="E46" s="63">
        <v>15</v>
      </c>
      <c r="F46" s="63">
        <v>15</v>
      </c>
      <c r="G46" s="63">
        <f t="shared" si="8"/>
        <v>1.5</v>
      </c>
      <c r="H46" s="63"/>
      <c r="I46" s="63">
        <v>15</v>
      </c>
      <c r="J46" s="63">
        <f t="shared" si="9"/>
        <v>1.5</v>
      </c>
      <c r="K46" s="63"/>
      <c r="L46" s="191">
        <f t="shared" si="6"/>
        <v>0</v>
      </c>
      <c r="M46" s="191">
        <f t="shared" si="7"/>
        <v>0</v>
      </c>
      <c r="N46" s="63">
        <v>1.5</v>
      </c>
      <c r="O46" s="166">
        <v>1</v>
      </c>
      <c r="P46" s="297"/>
    </row>
    <row r="47" spans="1:16" s="61" customFormat="1" ht="40.5">
      <c r="A47" s="1764"/>
      <c r="B47" s="1765"/>
      <c r="C47" s="62" t="s">
        <v>750</v>
      </c>
      <c r="D47" s="64" t="s">
        <v>751</v>
      </c>
      <c r="E47" s="63">
        <v>5</v>
      </c>
      <c r="F47" s="63">
        <v>5</v>
      </c>
      <c r="G47" s="63">
        <f t="shared" si="8"/>
        <v>0.5</v>
      </c>
      <c r="H47" s="63"/>
      <c r="I47" s="63">
        <v>5</v>
      </c>
      <c r="J47" s="63">
        <f t="shared" si="9"/>
        <v>0.5</v>
      </c>
      <c r="K47" s="63"/>
      <c r="L47" s="191">
        <f t="shared" si="6"/>
        <v>0</v>
      </c>
      <c r="M47" s="191">
        <f t="shared" si="7"/>
        <v>0</v>
      </c>
      <c r="N47" s="63">
        <v>0.5</v>
      </c>
      <c r="O47" s="166">
        <v>1</v>
      </c>
      <c r="P47" s="297"/>
    </row>
    <row r="48" spans="1:16" s="61" customFormat="1" ht="27">
      <c r="A48" s="1764"/>
      <c r="B48" s="1765" t="s">
        <v>752</v>
      </c>
      <c r="C48" s="62" t="s">
        <v>753</v>
      </c>
      <c r="D48" s="64" t="s">
        <v>754</v>
      </c>
      <c r="E48" s="63">
        <v>4</v>
      </c>
      <c r="F48" s="63">
        <v>4</v>
      </c>
      <c r="G48" s="63">
        <f t="shared" si="8"/>
        <v>0.4</v>
      </c>
      <c r="H48" s="63"/>
      <c r="I48" s="63">
        <v>4</v>
      </c>
      <c r="J48" s="63">
        <f t="shared" si="9"/>
        <v>0.4</v>
      </c>
      <c r="K48" s="63"/>
      <c r="L48" s="191">
        <f t="shared" si="6"/>
        <v>0</v>
      </c>
      <c r="M48" s="191">
        <f t="shared" si="7"/>
        <v>0</v>
      </c>
      <c r="N48" s="63">
        <v>0.4</v>
      </c>
      <c r="O48" s="167">
        <v>1</v>
      </c>
      <c r="P48" s="297"/>
    </row>
    <row r="49" spans="1:16" s="61" customFormat="1" ht="14.25">
      <c r="A49" s="1764"/>
      <c r="B49" s="1765"/>
      <c r="C49" s="62" t="s">
        <v>755</v>
      </c>
      <c r="D49" s="175" t="s">
        <v>1409</v>
      </c>
      <c r="E49" s="63">
        <v>3</v>
      </c>
      <c r="F49" s="179">
        <v>0</v>
      </c>
      <c r="G49" s="63">
        <f t="shared" si="8"/>
        <v>0</v>
      </c>
      <c r="H49" s="63"/>
      <c r="I49" s="179">
        <v>0</v>
      </c>
      <c r="J49" s="63">
        <f t="shared" si="9"/>
        <v>0</v>
      </c>
      <c r="K49" s="63"/>
      <c r="L49" s="191">
        <f t="shared" si="6"/>
        <v>0</v>
      </c>
      <c r="M49" s="191">
        <f t="shared" si="7"/>
        <v>3</v>
      </c>
      <c r="N49" s="63">
        <v>0.30000000000000004</v>
      </c>
      <c r="O49" s="168">
        <v>1</v>
      </c>
      <c r="P49" s="297"/>
    </row>
    <row r="50" spans="1:16" s="61" customFormat="1" ht="27">
      <c r="A50" s="1764"/>
      <c r="B50" s="1765"/>
      <c r="C50" s="62" t="s">
        <v>756</v>
      </c>
      <c r="D50" s="64" t="s">
        <v>1410</v>
      </c>
      <c r="E50" s="63">
        <v>5</v>
      </c>
      <c r="F50" s="179">
        <v>3</v>
      </c>
      <c r="G50" s="63">
        <f t="shared" si="8"/>
        <v>0.30000000000000004</v>
      </c>
      <c r="H50" s="63"/>
      <c r="I50" s="179">
        <v>3</v>
      </c>
      <c r="J50" s="63">
        <f t="shared" si="9"/>
        <v>0.30000000000000004</v>
      </c>
      <c r="K50" s="63"/>
      <c r="L50" s="191">
        <f t="shared" si="6"/>
        <v>0</v>
      </c>
      <c r="M50" s="191">
        <f t="shared" si="7"/>
        <v>2</v>
      </c>
      <c r="N50" s="63">
        <v>0.5</v>
      </c>
      <c r="O50" s="166">
        <v>1</v>
      </c>
      <c r="P50" s="297"/>
    </row>
    <row r="51" spans="1:16" s="61" customFormat="1" ht="40.5">
      <c r="A51" s="1764"/>
      <c r="B51" s="1765"/>
      <c r="C51" s="62" t="s">
        <v>757</v>
      </c>
      <c r="D51" s="64" t="s">
        <v>758</v>
      </c>
      <c r="E51" s="63">
        <v>8</v>
      </c>
      <c r="F51" s="63">
        <v>8</v>
      </c>
      <c r="G51" s="63">
        <f t="shared" si="8"/>
        <v>0.8</v>
      </c>
      <c r="H51" s="63"/>
      <c r="I51" s="63">
        <v>8</v>
      </c>
      <c r="J51" s="63">
        <f t="shared" si="9"/>
        <v>0.8</v>
      </c>
      <c r="K51" s="63"/>
      <c r="L51" s="191">
        <f t="shared" si="6"/>
        <v>0</v>
      </c>
      <c r="M51" s="191">
        <f t="shared" si="7"/>
        <v>0</v>
      </c>
      <c r="N51" s="63">
        <v>0.8</v>
      </c>
      <c r="O51" s="166">
        <v>1</v>
      </c>
      <c r="P51" s="297"/>
    </row>
    <row r="52" spans="1:16" s="61" customFormat="1" ht="27">
      <c r="A52" s="1764"/>
      <c r="B52" s="1765" t="s">
        <v>759</v>
      </c>
      <c r="C52" s="62" t="s">
        <v>760</v>
      </c>
      <c r="D52" s="64" t="s">
        <v>761</v>
      </c>
      <c r="E52" s="63">
        <v>4</v>
      </c>
      <c r="F52" s="63">
        <v>4</v>
      </c>
      <c r="G52" s="63">
        <f t="shared" si="8"/>
        <v>0.4</v>
      </c>
      <c r="H52" s="63"/>
      <c r="I52" s="63">
        <v>4</v>
      </c>
      <c r="J52" s="63">
        <f t="shared" si="9"/>
        <v>0.4</v>
      </c>
      <c r="K52" s="63"/>
      <c r="L52" s="191">
        <f t="shared" si="6"/>
        <v>0</v>
      </c>
      <c r="M52" s="191">
        <f t="shared" si="7"/>
        <v>0</v>
      </c>
      <c r="N52" s="63">
        <v>0.4</v>
      </c>
      <c r="O52" s="167">
        <v>1</v>
      </c>
      <c r="P52" s="297"/>
    </row>
    <row r="53" spans="1:16" s="61" customFormat="1" ht="40.5">
      <c r="A53" s="1764"/>
      <c r="B53" s="1765"/>
      <c r="C53" s="62" t="s">
        <v>762</v>
      </c>
      <c r="D53" s="64" t="s">
        <v>763</v>
      </c>
      <c r="E53" s="63">
        <v>4</v>
      </c>
      <c r="F53" s="63">
        <v>4</v>
      </c>
      <c r="G53" s="63">
        <f t="shared" si="8"/>
        <v>0.4</v>
      </c>
      <c r="H53" s="63"/>
      <c r="I53" s="63">
        <v>4</v>
      </c>
      <c r="J53" s="63">
        <f t="shared" si="9"/>
        <v>0.4</v>
      </c>
      <c r="K53" s="63"/>
      <c r="L53" s="191">
        <f t="shared" si="6"/>
        <v>0</v>
      </c>
      <c r="M53" s="191">
        <f t="shared" si="7"/>
        <v>0</v>
      </c>
      <c r="N53" s="63">
        <v>0.4</v>
      </c>
      <c r="O53" s="167">
        <v>1</v>
      </c>
      <c r="P53" s="297"/>
    </row>
    <row r="54" spans="1:16" s="61" customFormat="1" ht="40.5">
      <c r="A54" s="1764"/>
      <c r="B54" s="1765"/>
      <c r="C54" s="62" t="s">
        <v>764</v>
      </c>
      <c r="D54" s="175" t="s">
        <v>1411</v>
      </c>
      <c r="E54" s="63">
        <v>4</v>
      </c>
      <c r="F54" s="179">
        <v>2</v>
      </c>
      <c r="G54" s="63">
        <f t="shared" si="8"/>
        <v>0.2</v>
      </c>
      <c r="H54" s="63"/>
      <c r="I54" s="179">
        <v>2</v>
      </c>
      <c r="J54" s="63">
        <f t="shared" si="9"/>
        <v>0.2</v>
      </c>
      <c r="K54" s="63"/>
      <c r="L54" s="191">
        <f t="shared" si="6"/>
        <v>0</v>
      </c>
      <c r="M54" s="191">
        <f t="shared" si="7"/>
        <v>2</v>
      </c>
      <c r="N54" s="63">
        <v>0.4</v>
      </c>
      <c r="O54" s="168">
        <v>1</v>
      </c>
      <c r="P54" s="297"/>
    </row>
    <row r="55" spans="1:16" s="61" customFormat="1" ht="54">
      <c r="A55" s="1764"/>
      <c r="B55" s="1765"/>
      <c r="C55" s="62" t="s">
        <v>765</v>
      </c>
      <c r="D55" s="64" t="s">
        <v>766</v>
      </c>
      <c r="E55" s="63">
        <v>4</v>
      </c>
      <c r="F55" s="63">
        <v>4</v>
      </c>
      <c r="G55" s="63">
        <f t="shared" si="8"/>
        <v>0.4</v>
      </c>
      <c r="H55" s="63"/>
      <c r="I55" s="63">
        <v>4</v>
      </c>
      <c r="J55" s="63">
        <f t="shared" si="9"/>
        <v>0.4</v>
      </c>
      <c r="K55" s="63"/>
      <c r="L55" s="191">
        <f t="shared" si="6"/>
        <v>0</v>
      </c>
      <c r="M55" s="191">
        <f t="shared" si="7"/>
        <v>0</v>
      </c>
      <c r="N55" s="63">
        <v>0.4</v>
      </c>
      <c r="O55" s="166">
        <v>1</v>
      </c>
      <c r="P55" s="297"/>
    </row>
    <row r="56" spans="1:16" s="61" customFormat="1" ht="14.25">
      <c r="A56" s="1764"/>
      <c r="B56" s="1765"/>
      <c r="C56" s="62" t="s">
        <v>767</v>
      </c>
      <c r="D56" s="175" t="s">
        <v>768</v>
      </c>
      <c r="E56" s="63">
        <v>4</v>
      </c>
      <c r="F56" s="179">
        <v>0</v>
      </c>
      <c r="G56" s="63">
        <f t="shared" si="8"/>
        <v>0</v>
      </c>
      <c r="H56" s="63"/>
      <c r="I56" s="179">
        <v>2</v>
      </c>
      <c r="J56" s="63">
        <f t="shared" si="9"/>
        <v>0.2</v>
      </c>
      <c r="K56" s="63"/>
      <c r="L56" s="191">
        <f t="shared" si="6"/>
        <v>2</v>
      </c>
      <c r="M56" s="191">
        <f t="shared" si="7"/>
        <v>2</v>
      </c>
      <c r="N56" s="63">
        <v>0.4</v>
      </c>
      <c r="O56" s="167">
        <v>1</v>
      </c>
      <c r="P56" s="297"/>
    </row>
    <row r="57" spans="1:16" s="61" customFormat="1" ht="27">
      <c r="A57" s="1764"/>
      <c r="B57" s="1765" t="s">
        <v>769</v>
      </c>
      <c r="C57" s="62" t="s">
        <v>770</v>
      </c>
      <c r="D57" s="64" t="s">
        <v>771</v>
      </c>
      <c r="E57" s="63">
        <v>2</v>
      </c>
      <c r="F57" s="63">
        <v>2</v>
      </c>
      <c r="G57" s="63">
        <f t="shared" si="8"/>
        <v>0.2</v>
      </c>
      <c r="H57" s="63"/>
      <c r="I57" s="63">
        <v>2</v>
      </c>
      <c r="J57" s="63">
        <f t="shared" si="9"/>
        <v>0.2</v>
      </c>
      <c r="K57" s="63"/>
      <c r="L57" s="191">
        <f t="shared" si="6"/>
        <v>0</v>
      </c>
      <c r="M57" s="191">
        <f t="shared" si="7"/>
        <v>0</v>
      </c>
      <c r="N57" s="63">
        <v>0.2</v>
      </c>
      <c r="O57" s="167">
        <v>1</v>
      </c>
      <c r="P57" s="297"/>
    </row>
    <row r="58" spans="1:16" s="61" customFormat="1" ht="40.5">
      <c r="A58" s="1764"/>
      <c r="B58" s="1765"/>
      <c r="C58" s="62" t="s">
        <v>772</v>
      </c>
      <c r="D58" s="64" t="s">
        <v>773</v>
      </c>
      <c r="E58" s="63">
        <v>2</v>
      </c>
      <c r="F58" s="63">
        <v>2</v>
      </c>
      <c r="G58" s="63">
        <f t="shared" si="8"/>
        <v>0.2</v>
      </c>
      <c r="H58" s="63"/>
      <c r="I58" s="63">
        <v>2</v>
      </c>
      <c r="J58" s="63">
        <f t="shared" si="9"/>
        <v>0.2</v>
      </c>
      <c r="K58" s="63"/>
      <c r="L58" s="191">
        <f t="shared" si="6"/>
        <v>0</v>
      </c>
      <c r="M58" s="191">
        <f t="shared" si="7"/>
        <v>0</v>
      </c>
      <c r="N58" s="63">
        <v>0.2</v>
      </c>
      <c r="O58" s="167">
        <v>1</v>
      </c>
      <c r="P58" s="297"/>
    </row>
    <row r="59" spans="1:16" s="61" customFormat="1" ht="14.25">
      <c r="A59" s="1764"/>
      <c r="B59" s="1765"/>
      <c r="C59" s="62" t="s">
        <v>774</v>
      </c>
      <c r="D59" s="175" t="s">
        <v>1412</v>
      </c>
      <c r="E59" s="63">
        <v>3</v>
      </c>
      <c r="F59" s="179">
        <v>2</v>
      </c>
      <c r="G59" s="63">
        <f t="shared" si="8"/>
        <v>0.2</v>
      </c>
      <c r="H59" s="63"/>
      <c r="I59" s="179">
        <v>2</v>
      </c>
      <c r="J59" s="63">
        <f t="shared" si="9"/>
        <v>0.2</v>
      </c>
      <c r="K59" s="63"/>
      <c r="L59" s="191">
        <f t="shared" si="6"/>
        <v>0</v>
      </c>
      <c r="M59" s="191">
        <f t="shared" si="7"/>
        <v>1</v>
      </c>
      <c r="N59" s="63">
        <v>0.30000000000000004</v>
      </c>
      <c r="O59" s="168">
        <v>1</v>
      </c>
      <c r="P59" s="297"/>
    </row>
    <row r="60" spans="1:16" s="61" customFormat="1" ht="40.5">
      <c r="A60" s="1764"/>
      <c r="B60" s="1765"/>
      <c r="C60" s="62" t="s">
        <v>775</v>
      </c>
      <c r="D60" s="64" t="s">
        <v>776</v>
      </c>
      <c r="E60" s="63">
        <v>3</v>
      </c>
      <c r="F60" s="63">
        <v>3</v>
      </c>
      <c r="G60" s="63">
        <f t="shared" si="8"/>
        <v>0.30000000000000004</v>
      </c>
      <c r="H60" s="63">
        <f>SUM(F44:F60)*0.1</f>
        <v>8.8000000000000007</v>
      </c>
      <c r="I60" s="63">
        <v>3</v>
      </c>
      <c r="J60" s="63">
        <f t="shared" si="9"/>
        <v>0.30000000000000004</v>
      </c>
      <c r="K60" s="63">
        <f>SUM(I44:I60)*0.1</f>
        <v>9</v>
      </c>
      <c r="L60" s="191">
        <f t="shared" si="6"/>
        <v>0</v>
      </c>
      <c r="M60" s="191">
        <f t="shared" si="7"/>
        <v>0</v>
      </c>
      <c r="N60" s="63">
        <v>0.30000000000000004</v>
      </c>
      <c r="O60" s="167">
        <v>1</v>
      </c>
      <c r="P60" s="297"/>
    </row>
    <row r="61" spans="1:16" s="61" customFormat="1" ht="40.5">
      <c r="A61" s="1764" t="s">
        <v>777</v>
      </c>
      <c r="B61" s="1765" t="s">
        <v>778</v>
      </c>
      <c r="C61" s="62" t="s">
        <v>779</v>
      </c>
      <c r="D61" s="64" t="s">
        <v>1417</v>
      </c>
      <c r="E61" s="63">
        <v>5</v>
      </c>
      <c r="F61" s="63">
        <v>5</v>
      </c>
      <c r="G61" s="63">
        <f t="shared" ref="G61:G75" si="10">F61*0.18</f>
        <v>0.89999999999999991</v>
      </c>
      <c r="H61" s="63"/>
      <c r="I61" s="63">
        <v>5</v>
      </c>
      <c r="J61" s="63">
        <f t="shared" ref="J61:J75" si="11">I61*0.18</f>
        <v>0.89999999999999991</v>
      </c>
      <c r="K61" s="63"/>
      <c r="L61" s="191">
        <f t="shared" si="6"/>
        <v>0</v>
      </c>
      <c r="M61" s="191">
        <f t="shared" si="7"/>
        <v>0</v>
      </c>
      <c r="N61" s="63">
        <v>0.89999999999999991</v>
      </c>
      <c r="O61" s="168">
        <v>1</v>
      </c>
      <c r="P61" s="297"/>
    </row>
    <row r="62" spans="1:16" s="61" customFormat="1" ht="54">
      <c r="A62" s="1764"/>
      <c r="B62" s="1765"/>
      <c r="C62" s="62" t="s">
        <v>780</v>
      </c>
      <c r="D62" s="64" t="s">
        <v>781</v>
      </c>
      <c r="E62" s="63">
        <v>5</v>
      </c>
      <c r="F62" s="63">
        <v>5</v>
      </c>
      <c r="G62" s="63">
        <f t="shared" si="10"/>
        <v>0.89999999999999991</v>
      </c>
      <c r="H62" s="63"/>
      <c r="I62" s="63">
        <v>5</v>
      </c>
      <c r="J62" s="63">
        <f t="shared" si="11"/>
        <v>0.89999999999999991</v>
      </c>
      <c r="K62" s="63"/>
      <c r="L62" s="191">
        <f t="shared" si="6"/>
        <v>0</v>
      </c>
      <c r="M62" s="191">
        <f t="shared" si="7"/>
        <v>0</v>
      </c>
      <c r="N62" s="63">
        <v>0.89999999999999991</v>
      </c>
      <c r="O62" s="167">
        <v>1</v>
      </c>
      <c r="P62" s="297"/>
    </row>
    <row r="63" spans="1:16" s="61" customFormat="1" ht="14.25">
      <c r="A63" s="1764"/>
      <c r="B63" s="1765"/>
      <c r="C63" s="62" t="s">
        <v>782</v>
      </c>
      <c r="D63" s="64" t="s">
        <v>783</v>
      </c>
      <c r="E63" s="63">
        <v>5</v>
      </c>
      <c r="F63" s="63">
        <v>5</v>
      </c>
      <c r="G63" s="63">
        <f t="shared" si="10"/>
        <v>0.89999999999999991</v>
      </c>
      <c r="H63" s="63"/>
      <c r="I63" s="63">
        <v>5</v>
      </c>
      <c r="J63" s="63">
        <f t="shared" si="11"/>
        <v>0.89999999999999991</v>
      </c>
      <c r="K63" s="63"/>
      <c r="L63" s="191">
        <f t="shared" si="6"/>
        <v>0</v>
      </c>
      <c r="M63" s="191">
        <f t="shared" si="7"/>
        <v>0</v>
      </c>
      <c r="N63" s="63">
        <v>0.89999999999999991</v>
      </c>
      <c r="O63" s="168">
        <v>1</v>
      </c>
      <c r="P63" s="297"/>
    </row>
    <row r="64" spans="1:16" s="61" customFormat="1" ht="27">
      <c r="A64" s="1764"/>
      <c r="B64" s="1765"/>
      <c r="C64" s="72" t="s">
        <v>784</v>
      </c>
      <c r="D64" s="71" t="s">
        <v>785</v>
      </c>
      <c r="E64" s="63">
        <v>5</v>
      </c>
      <c r="F64" s="63">
        <v>5</v>
      </c>
      <c r="G64" s="63">
        <f t="shared" si="10"/>
        <v>0.89999999999999991</v>
      </c>
      <c r="H64" s="63"/>
      <c r="I64" s="63">
        <v>5</v>
      </c>
      <c r="J64" s="63">
        <f t="shared" si="11"/>
        <v>0.89999999999999991</v>
      </c>
      <c r="K64" s="63"/>
      <c r="L64" s="191">
        <f t="shared" si="6"/>
        <v>0</v>
      </c>
      <c r="M64" s="191">
        <f t="shared" si="7"/>
        <v>0</v>
      </c>
      <c r="N64" s="63">
        <v>0.89999999999999991</v>
      </c>
      <c r="O64" s="166">
        <v>1</v>
      </c>
      <c r="P64" s="297"/>
    </row>
    <row r="65" spans="1:16" s="61" customFormat="1" ht="27">
      <c r="A65" s="1764"/>
      <c r="B65" s="1765" t="s">
        <v>786</v>
      </c>
      <c r="C65" s="62" t="s">
        <v>787</v>
      </c>
      <c r="D65" s="64" t="s">
        <v>1416</v>
      </c>
      <c r="E65" s="63">
        <v>10</v>
      </c>
      <c r="F65" s="63">
        <v>10</v>
      </c>
      <c r="G65" s="63">
        <f t="shared" si="10"/>
        <v>1.7999999999999998</v>
      </c>
      <c r="H65" s="63"/>
      <c r="I65" s="63">
        <v>10</v>
      </c>
      <c r="J65" s="63">
        <f t="shared" si="11"/>
        <v>1.7999999999999998</v>
      </c>
      <c r="K65" s="63"/>
      <c r="L65" s="191">
        <f t="shared" si="6"/>
        <v>0</v>
      </c>
      <c r="M65" s="191">
        <f t="shared" si="7"/>
        <v>0</v>
      </c>
      <c r="N65" s="63">
        <v>1.7999999999999998</v>
      </c>
      <c r="O65" s="166">
        <v>1</v>
      </c>
      <c r="P65" s="297"/>
    </row>
    <row r="66" spans="1:16" s="61" customFormat="1" ht="27">
      <c r="A66" s="1764"/>
      <c r="B66" s="1765"/>
      <c r="C66" s="62" t="s">
        <v>788</v>
      </c>
      <c r="D66" s="64" t="s">
        <v>789</v>
      </c>
      <c r="E66" s="63">
        <v>10</v>
      </c>
      <c r="F66" s="63">
        <v>10</v>
      </c>
      <c r="G66" s="63">
        <f t="shared" si="10"/>
        <v>1.7999999999999998</v>
      </c>
      <c r="H66" s="63"/>
      <c r="I66" s="63">
        <v>10</v>
      </c>
      <c r="J66" s="63">
        <f t="shared" si="11"/>
        <v>1.7999999999999998</v>
      </c>
      <c r="K66" s="63"/>
      <c r="L66" s="191">
        <f t="shared" si="6"/>
        <v>0</v>
      </c>
      <c r="M66" s="191">
        <f t="shared" si="7"/>
        <v>0</v>
      </c>
      <c r="N66" s="63">
        <v>1.7999999999999998</v>
      </c>
      <c r="O66" s="167">
        <v>1</v>
      </c>
      <c r="P66" s="297"/>
    </row>
    <row r="67" spans="1:16" s="61" customFormat="1" ht="27">
      <c r="A67" s="1764"/>
      <c r="B67" s="1765" t="s">
        <v>790</v>
      </c>
      <c r="C67" s="62" t="s">
        <v>791</v>
      </c>
      <c r="D67" s="64" t="s">
        <v>792</v>
      </c>
      <c r="E67" s="63">
        <v>5</v>
      </c>
      <c r="F67" s="63">
        <v>5</v>
      </c>
      <c r="G67" s="63">
        <f t="shared" si="10"/>
        <v>0.89999999999999991</v>
      </c>
      <c r="H67" s="63"/>
      <c r="I67" s="63">
        <v>5</v>
      </c>
      <c r="J67" s="63">
        <f t="shared" si="11"/>
        <v>0.89999999999999991</v>
      </c>
      <c r="K67" s="63"/>
      <c r="L67" s="191">
        <f t="shared" ref="L67:L98" si="12">I67-F67</f>
        <v>0</v>
      </c>
      <c r="M67" s="191">
        <f t="shared" ref="M67:M98" si="13">E67-I67</f>
        <v>0</v>
      </c>
      <c r="N67" s="63">
        <v>0.89999999999999991</v>
      </c>
      <c r="O67" s="167">
        <v>1</v>
      </c>
      <c r="P67" s="297"/>
    </row>
    <row r="68" spans="1:16" s="61" customFormat="1" ht="27">
      <c r="A68" s="1764"/>
      <c r="B68" s="1765"/>
      <c r="C68" s="62" t="s">
        <v>793</v>
      </c>
      <c r="D68" s="64" t="s">
        <v>794</v>
      </c>
      <c r="E68" s="63">
        <v>10</v>
      </c>
      <c r="F68" s="63">
        <v>10</v>
      </c>
      <c r="G68" s="63">
        <f t="shared" si="10"/>
        <v>1.7999999999999998</v>
      </c>
      <c r="H68" s="63"/>
      <c r="I68" s="63">
        <v>10</v>
      </c>
      <c r="J68" s="63">
        <f t="shared" si="11"/>
        <v>1.7999999999999998</v>
      </c>
      <c r="K68" s="63"/>
      <c r="L68" s="191">
        <f t="shared" si="12"/>
        <v>0</v>
      </c>
      <c r="M68" s="191">
        <f t="shared" si="13"/>
        <v>0</v>
      </c>
      <c r="N68" s="63">
        <v>1.7999999999999998</v>
      </c>
      <c r="O68" s="168">
        <v>1</v>
      </c>
      <c r="P68" s="297"/>
    </row>
    <row r="69" spans="1:16" s="61" customFormat="1" ht="14.25">
      <c r="A69" s="1764"/>
      <c r="B69" s="1765" t="s">
        <v>795</v>
      </c>
      <c r="C69" s="62" t="s">
        <v>796</v>
      </c>
      <c r="D69" s="64" t="s">
        <v>797</v>
      </c>
      <c r="E69" s="63">
        <v>5</v>
      </c>
      <c r="F69" s="63">
        <v>5</v>
      </c>
      <c r="G69" s="63">
        <f t="shared" si="10"/>
        <v>0.89999999999999991</v>
      </c>
      <c r="H69" s="63"/>
      <c r="I69" s="63">
        <v>5</v>
      </c>
      <c r="J69" s="63">
        <f t="shared" si="11"/>
        <v>0.89999999999999991</v>
      </c>
      <c r="K69" s="63"/>
      <c r="L69" s="191">
        <f t="shared" si="12"/>
        <v>0</v>
      </c>
      <c r="M69" s="191">
        <f t="shared" si="13"/>
        <v>0</v>
      </c>
      <c r="N69" s="63">
        <v>0.89999999999999991</v>
      </c>
      <c r="O69" s="167">
        <v>1</v>
      </c>
      <c r="P69" s="297"/>
    </row>
    <row r="70" spans="1:16" s="61" customFormat="1" ht="27">
      <c r="A70" s="1764"/>
      <c r="B70" s="1765"/>
      <c r="C70" s="62" t="s">
        <v>798</v>
      </c>
      <c r="D70" s="64" t="s">
        <v>799</v>
      </c>
      <c r="E70" s="63">
        <v>5</v>
      </c>
      <c r="F70" s="63">
        <v>5</v>
      </c>
      <c r="G70" s="63">
        <f t="shared" si="10"/>
        <v>0.89999999999999991</v>
      </c>
      <c r="H70" s="63"/>
      <c r="I70" s="63">
        <v>5</v>
      </c>
      <c r="J70" s="63">
        <f t="shared" si="11"/>
        <v>0.89999999999999991</v>
      </c>
      <c r="K70" s="63"/>
      <c r="L70" s="191">
        <f t="shared" si="12"/>
        <v>0</v>
      </c>
      <c r="M70" s="191">
        <f t="shared" si="13"/>
        <v>0</v>
      </c>
      <c r="N70" s="63">
        <v>0.89999999999999991</v>
      </c>
      <c r="O70" s="167">
        <v>1</v>
      </c>
      <c r="P70" s="297"/>
    </row>
    <row r="71" spans="1:16" s="61" customFormat="1" ht="27">
      <c r="A71" s="1764"/>
      <c r="B71" s="1765"/>
      <c r="C71" s="62" t="s">
        <v>800</v>
      </c>
      <c r="D71" s="175" t="s">
        <v>1413</v>
      </c>
      <c r="E71" s="63">
        <v>5</v>
      </c>
      <c r="F71" s="179">
        <v>0</v>
      </c>
      <c r="G71" s="63">
        <f t="shared" si="10"/>
        <v>0</v>
      </c>
      <c r="H71" s="63"/>
      <c r="I71" s="179">
        <v>0</v>
      </c>
      <c r="J71" s="63">
        <f t="shared" si="11"/>
        <v>0</v>
      </c>
      <c r="K71" s="63"/>
      <c r="L71" s="191">
        <f t="shared" si="12"/>
        <v>0</v>
      </c>
      <c r="M71" s="191">
        <f t="shared" si="13"/>
        <v>5</v>
      </c>
      <c r="N71" s="63">
        <v>0.89999999999999991</v>
      </c>
      <c r="O71" s="168">
        <v>1</v>
      </c>
      <c r="P71" s="297"/>
    </row>
    <row r="72" spans="1:16" s="61" customFormat="1" ht="14.25">
      <c r="A72" s="1764"/>
      <c r="B72" s="1765" t="s">
        <v>801</v>
      </c>
      <c r="C72" s="62" t="s">
        <v>802</v>
      </c>
      <c r="D72" s="64" t="s">
        <v>803</v>
      </c>
      <c r="E72" s="63">
        <v>5</v>
      </c>
      <c r="F72" s="63">
        <v>5</v>
      </c>
      <c r="G72" s="63">
        <f t="shared" si="10"/>
        <v>0.89999999999999991</v>
      </c>
      <c r="H72" s="63"/>
      <c r="I72" s="63">
        <v>5</v>
      </c>
      <c r="J72" s="63">
        <f t="shared" si="11"/>
        <v>0.89999999999999991</v>
      </c>
      <c r="K72" s="63"/>
      <c r="L72" s="191">
        <f t="shared" si="12"/>
        <v>0</v>
      </c>
      <c r="M72" s="191">
        <f t="shared" si="13"/>
        <v>0</v>
      </c>
      <c r="N72" s="63">
        <v>0.89999999999999991</v>
      </c>
      <c r="O72" s="167">
        <v>1</v>
      </c>
      <c r="P72" s="297"/>
    </row>
    <row r="73" spans="1:16" s="61" customFormat="1" ht="27">
      <c r="A73" s="1764"/>
      <c r="B73" s="1765"/>
      <c r="C73" s="62" t="s">
        <v>804</v>
      </c>
      <c r="D73" s="64" t="s">
        <v>805</v>
      </c>
      <c r="E73" s="63">
        <v>5</v>
      </c>
      <c r="F73" s="63">
        <v>5</v>
      </c>
      <c r="G73" s="63">
        <f t="shared" si="10"/>
        <v>0.89999999999999991</v>
      </c>
      <c r="H73" s="63"/>
      <c r="I73" s="63">
        <v>5</v>
      </c>
      <c r="J73" s="63">
        <f t="shared" si="11"/>
        <v>0.89999999999999991</v>
      </c>
      <c r="K73" s="63"/>
      <c r="L73" s="191">
        <f t="shared" si="12"/>
        <v>0</v>
      </c>
      <c r="M73" s="191">
        <f t="shared" si="13"/>
        <v>0</v>
      </c>
      <c r="N73" s="63">
        <v>0.89999999999999991</v>
      </c>
      <c r="O73" s="167">
        <v>1</v>
      </c>
      <c r="P73" s="297"/>
    </row>
    <row r="74" spans="1:16" s="61" customFormat="1" ht="14.25">
      <c r="A74" s="1764"/>
      <c r="B74" s="1765"/>
      <c r="C74" s="62" t="s">
        <v>806</v>
      </c>
      <c r="D74" s="64" t="s">
        <v>1415</v>
      </c>
      <c r="E74" s="63">
        <v>5</v>
      </c>
      <c r="F74" s="63">
        <v>5</v>
      </c>
      <c r="G74" s="63">
        <f t="shared" si="10"/>
        <v>0.89999999999999991</v>
      </c>
      <c r="H74" s="63"/>
      <c r="I74" s="63">
        <v>5</v>
      </c>
      <c r="J74" s="63">
        <f t="shared" si="11"/>
        <v>0.89999999999999991</v>
      </c>
      <c r="K74" s="63"/>
      <c r="L74" s="191">
        <f t="shared" si="12"/>
        <v>0</v>
      </c>
      <c r="M74" s="191">
        <f t="shared" si="13"/>
        <v>0</v>
      </c>
      <c r="N74" s="63">
        <v>0.89999999999999991</v>
      </c>
      <c r="O74" s="168">
        <v>1</v>
      </c>
      <c r="P74" s="297"/>
    </row>
    <row r="75" spans="1:16" s="61" customFormat="1" ht="13.5" customHeight="1">
      <c r="A75" s="1764"/>
      <c r="B75" s="68" t="s">
        <v>807</v>
      </c>
      <c r="C75" s="72" t="s">
        <v>808</v>
      </c>
      <c r="D75" s="71" t="s">
        <v>809</v>
      </c>
      <c r="E75" s="63">
        <v>15</v>
      </c>
      <c r="F75" s="63">
        <v>15</v>
      </c>
      <c r="G75" s="63">
        <f t="shared" si="10"/>
        <v>2.6999999999999997</v>
      </c>
      <c r="H75" s="63">
        <f>SUM(F61:F75)*0.18</f>
        <v>17.099999999999998</v>
      </c>
      <c r="I75" s="63">
        <v>15</v>
      </c>
      <c r="J75" s="63">
        <f t="shared" si="11"/>
        <v>2.6999999999999997</v>
      </c>
      <c r="K75" s="63">
        <f>SUM(I61:I75)*0.18</f>
        <v>17.099999999999998</v>
      </c>
      <c r="L75" s="191">
        <f t="shared" si="12"/>
        <v>0</v>
      </c>
      <c r="M75" s="191">
        <f t="shared" si="13"/>
        <v>0</v>
      </c>
      <c r="N75" s="63">
        <v>2.6999999999999997</v>
      </c>
      <c r="O75" s="167">
        <v>1</v>
      </c>
      <c r="P75" s="297"/>
    </row>
    <row r="76" spans="1:16" s="61" customFormat="1" ht="27">
      <c r="A76" s="1764" t="s">
        <v>810</v>
      </c>
      <c r="B76" s="1765" t="s">
        <v>811</v>
      </c>
      <c r="C76" s="62" t="s">
        <v>812</v>
      </c>
      <c r="D76" s="64" t="s">
        <v>813</v>
      </c>
      <c r="E76" s="63">
        <v>5</v>
      </c>
      <c r="F76" s="63">
        <v>5</v>
      </c>
      <c r="G76" s="63">
        <f t="shared" ref="G76:G95" si="14">F76*0.07</f>
        <v>0.35000000000000003</v>
      </c>
      <c r="H76" s="63"/>
      <c r="I76" s="63">
        <v>5</v>
      </c>
      <c r="J76" s="63">
        <f t="shared" ref="J76:J95" si="15">I76*0.07</f>
        <v>0.35000000000000003</v>
      </c>
      <c r="K76" s="63"/>
      <c r="L76" s="191">
        <f t="shared" si="12"/>
        <v>0</v>
      </c>
      <c r="M76" s="191">
        <f t="shared" si="13"/>
        <v>0</v>
      </c>
      <c r="N76" s="63">
        <v>0.35000000000000003</v>
      </c>
      <c r="O76" s="167">
        <v>1</v>
      </c>
      <c r="P76" s="297"/>
    </row>
    <row r="77" spans="1:16" s="61" customFormat="1" ht="14.25">
      <c r="A77" s="1764"/>
      <c r="B77" s="1765"/>
      <c r="C77" s="62" t="s">
        <v>814</v>
      </c>
      <c r="D77" s="64" t="s">
        <v>815</v>
      </c>
      <c r="E77" s="63">
        <v>5</v>
      </c>
      <c r="F77" s="63">
        <v>5</v>
      </c>
      <c r="G77" s="63">
        <f t="shared" si="14"/>
        <v>0.35000000000000003</v>
      </c>
      <c r="H77" s="63"/>
      <c r="I77" s="63">
        <v>5</v>
      </c>
      <c r="J77" s="63">
        <f t="shared" si="15"/>
        <v>0.35000000000000003</v>
      </c>
      <c r="K77" s="63"/>
      <c r="L77" s="191">
        <f t="shared" si="12"/>
        <v>0</v>
      </c>
      <c r="M77" s="191">
        <f t="shared" si="13"/>
        <v>0</v>
      </c>
      <c r="N77" s="63">
        <v>0.35000000000000003</v>
      </c>
      <c r="O77" s="167">
        <v>1</v>
      </c>
      <c r="P77" s="297"/>
    </row>
    <row r="78" spans="1:16" s="61" customFormat="1" ht="27">
      <c r="A78" s="1764"/>
      <c r="B78" s="1765"/>
      <c r="C78" s="62" t="s">
        <v>816</v>
      </c>
      <c r="D78" s="64" t="s">
        <v>817</v>
      </c>
      <c r="E78" s="63">
        <v>5</v>
      </c>
      <c r="F78" s="63">
        <v>5</v>
      </c>
      <c r="G78" s="63">
        <f t="shared" si="14"/>
        <v>0.35000000000000003</v>
      </c>
      <c r="H78" s="63"/>
      <c r="I78" s="63">
        <v>5</v>
      </c>
      <c r="J78" s="63">
        <f t="shared" si="15"/>
        <v>0.35000000000000003</v>
      </c>
      <c r="K78" s="63"/>
      <c r="L78" s="191">
        <f t="shared" si="12"/>
        <v>0</v>
      </c>
      <c r="M78" s="191">
        <f t="shared" si="13"/>
        <v>0</v>
      </c>
      <c r="N78" s="63">
        <v>0.35000000000000003</v>
      </c>
      <c r="O78" s="167">
        <v>1</v>
      </c>
      <c r="P78" s="297"/>
    </row>
    <row r="79" spans="1:16" s="61" customFormat="1" ht="27">
      <c r="A79" s="1764"/>
      <c r="B79" s="1765"/>
      <c r="C79" s="62" t="s">
        <v>818</v>
      </c>
      <c r="D79" s="64" t="s">
        <v>819</v>
      </c>
      <c r="E79" s="63">
        <v>5</v>
      </c>
      <c r="F79" s="63">
        <v>5</v>
      </c>
      <c r="G79" s="63">
        <f t="shared" si="14"/>
        <v>0.35000000000000003</v>
      </c>
      <c r="H79" s="63"/>
      <c r="I79" s="63">
        <v>5</v>
      </c>
      <c r="J79" s="63">
        <f t="shared" si="15"/>
        <v>0.35000000000000003</v>
      </c>
      <c r="K79" s="63"/>
      <c r="L79" s="191">
        <f t="shared" si="12"/>
        <v>0</v>
      </c>
      <c r="M79" s="191">
        <f t="shared" si="13"/>
        <v>0</v>
      </c>
      <c r="N79" s="63">
        <v>0.35000000000000003</v>
      </c>
      <c r="O79" s="167">
        <v>1</v>
      </c>
      <c r="P79" s="297"/>
    </row>
    <row r="80" spans="1:16" s="61" customFormat="1" ht="40.5">
      <c r="A80" s="1764"/>
      <c r="B80" s="1765" t="s">
        <v>820</v>
      </c>
      <c r="C80" s="72" t="s">
        <v>821</v>
      </c>
      <c r="D80" s="64" t="s">
        <v>822</v>
      </c>
      <c r="E80" s="63">
        <v>5</v>
      </c>
      <c r="F80" s="63">
        <v>5</v>
      </c>
      <c r="G80" s="63">
        <f t="shared" si="14"/>
        <v>0.35000000000000003</v>
      </c>
      <c r="H80" s="63"/>
      <c r="I80" s="63">
        <v>5</v>
      </c>
      <c r="J80" s="63">
        <f t="shared" si="15"/>
        <v>0.35000000000000003</v>
      </c>
      <c r="K80" s="63"/>
      <c r="L80" s="191">
        <f t="shared" si="12"/>
        <v>0</v>
      </c>
      <c r="M80" s="191">
        <f t="shared" si="13"/>
        <v>0</v>
      </c>
      <c r="N80" s="63">
        <v>0.35000000000000003</v>
      </c>
      <c r="O80" s="167">
        <v>1</v>
      </c>
      <c r="P80" s="297"/>
    </row>
    <row r="81" spans="1:16" s="61" customFormat="1" ht="14.25">
      <c r="A81" s="1764"/>
      <c r="B81" s="1765"/>
      <c r="C81" s="62" t="s">
        <v>823</v>
      </c>
      <c r="D81" s="64" t="s">
        <v>824</v>
      </c>
      <c r="E81" s="63">
        <v>5</v>
      </c>
      <c r="F81" s="63">
        <v>5</v>
      </c>
      <c r="G81" s="63">
        <f t="shared" si="14"/>
        <v>0.35000000000000003</v>
      </c>
      <c r="H81" s="63"/>
      <c r="I81" s="63">
        <v>5</v>
      </c>
      <c r="J81" s="63">
        <f t="shared" si="15"/>
        <v>0.35000000000000003</v>
      </c>
      <c r="K81" s="63"/>
      <c r="L81" s="191">
        <f t="shared" si="12"/>
        <v>0</v>
      </c>
      <c r="M81" s="191">
        <f t="shared" si="13"/>
        <v>0</v>
      </c>
      <c r="N81" s="63">
        <v>0.35000000000000003</v>
      </c>
      <c r="O81" s="167">
        <v>1</v>
      </c>
      <c r="P81" s="297"/>
    </row>
    <row r="82" spans="1:16" s="61" customFormat="1" ht="14.25">
      <c r="A82" s="1764"/>
      <c r="B82" s="1765" t="s">
        <v>825</v>
      </c>
      <c r="C82" s="62" t="s">
        <v>826</v>
      </c>
      <c r="D82" s="64" t="s">
        <v>827</v>
      </c>
      <c r="E82" s="63">
        <v>5</v>
      </c>
      <c r="F82" s="63">
        <v>5</v>
      </c>
      <c r="G82" s="63">
        <f t="shared" si="14"/>
        <v>0.35000000000000003</v>
      </c>
      <c r="H82" s="63"/>
      <c r="I82" s="63">
        <v>5</v>
      </c>
      <c r="J82" s="63">
        <f t="shared" si="15"/>
        <v>0.35000000000000003</v>
      </c>
      <c r="K82" s="63"/>
      <c r="L82" s="191">
        <f t="shared" si="12"/>
        <v>0</v>
      </c>
      <c r="M82" s="191">
        <f t="shared" si="13"/>
        <v>0</v>
      </c>
      <c r="N82" s="63">
        <v>0.35000000000000003</v>
      </c>
      <c r="O82" s="167">
        <v>1</v>
      </c>
      <c r="P82" s="297"/>
    </row>
    <row r="83" spans="1:16" s="61" customFormat="1" ht="14.25">
      <c r="A83" s="1764"/>
      <c r="B83" s="1765"/>
      <c r="C83" s="62" t="s">
        <v>828</v>
      </c>
      <c r="D83" s="64" t="s">
        <v>829</v>
      </c>
      <c r="E83" s="63">
        <v>5</v>
      </c>
      <c r="F83" s="63">
        <v>5</v>
      </c>
      <c r="G83" s="63">
        <f t="shared" si="14"/>
        <v>0.35000000000000003</v>
      </c>
      <c r="H83" s="63"/>
      <c r="I83" s="63">
        <v>5</v>
      </c>
      <c r="J83" s="63">
        <f t="shared" si="15"/>
        <v>0.35000000000000003</v>
      </c>
      <c r="K83" s="63"/>
      <c r="L83" s="191">
        <f t="shared" si="12"/>
        <v>0</v>
      </c>
      <c r="M83" s="191">
        <f t="shared" si="13"/>
        <v>0</v>
      </c>
      <c r="N83" s="63">
        <v>0.35000000000000003</v>
      </c>
      <c r="O83" s="167">
        <v>1</v>
      </c>
      <c r="P83" s="297"/>
    </row>
    <row r="84" spans="1:16" s="61" customFormat="1" ht="27">
      <c r="A84" s="1764"/>
      <c r="B84" s="1765"/>
      <c r="C84" s="62" t="s">
        <v>830</v>
      </c>
      <c r="D84" s="64" t="s">
        <v>831</v>
      </c>
      <c r="E84" s="63">
        <v>10</v>
      </c>
      <c r="F84" s="63">
        <v>10</v>
      </c>
      <c r="G84" s="63">
        <f t="shared" si="14"/>
        <v>0.70000000000000007</v>
      </c>
      <c r="H84" s="63"/>
      <c r="I84" s="63">
        <v>10</v>
      </c>
      <c r="J84" s="63">
        <f t="shared" si="15"/>
        <v>0.70000000000000007</v>
      </c>
      <c r="K84" s="63"/>
      <c r="L84" s="191">
        <f t="shared" si="12"/>
        <v>0</v>
      </c>
      <c r="M84" s="191">
        <f t="shared" si="13"/>
        <v>0</v>
      </c>
      <c r="N84" s="63">
        <v>0.70000000000000007</v>
      </c>
      <c r="O84" s="168">
        <v>1</v>
      </c>
      <c r="P84" s="297"/>
    </row>
    <row r="85" spans="1:16" s="61" customFormat="1" ht="14.25">
      <c r="A85" s="1764"/>
      <c r="B85" s="1765" t="s">
        <v>832</v>
      </c>
      <c r="C85" s="62" t="s">
        <v>833</v>
      </c>
      <c r="D85" s="64" t="s">
        <v>834</v>
      </c>
      <c r="E85" s="63">
        <v>5</v>
      </c>
      <c r="F85" s="63">
        <v>5</v>
      </c>
      <c r="G85" s="63">
        <f t="shared" si="14"/>
        <v>0.35000000000000003</v>
      </c>
      <c r="H85" s="63"/>
      <c r="I85" s="63">
        <v>5</v>
      </c>
      <c r="J85" s="63">
        <f t="shared" si="15"/>
        <v>0.35000000000000003</v>
      </c>
      <c r="K85" s="63"/>
      <c r="L85" s="191">
        <f t="shared" si="12"/>
        <v>0</v>
      </c>
      <c r="M85" s="191">
        <f t="shared" si="13"/>
        <v>0</v>
      </c>
      <c r="N85" s="63">
        <v>0.35000000000000003</v>
      </c>
      <c r="O85" s="167">
        <v>1</v>
      </c>
      <c r="P85" s="297"/>
    </row>
    <row r="86" spans="1:16" s="61" customFormat="1" ht="14.25">
      <c r="A86" s="1764"/>
      <c r="B86" s="1765"/>
      <c r="C86" s="62" t="s">
        <v>835</v>
      </c>
      <c r="D86" s="64" t="s">
        <v>836</v>
      </c>
      <c r="E86" s="63">
        <v>5</v>
      </c>
      <c r="F86" s="63">
        <v>5</v>
      </c>
      <c r="G86" s="63">
        <f t="shared" si="14"/>
        <v>0.35000000000000003</v>
      </c>
      <c r="H86" s="63"/>
      <c r="I86" s="63">
        <v>5</v>
      </c>
      <c r="J86" s="63">
        <f t="shared" si="15"/>
        <v>0.35000000000000003</v>
      </c>
      <c r="K86" s="63"/>
      <c r="L86" s="191">
        <f t="shared" si="12"/>
        <v>0</v>
      </c>
      <c r="M86" s="191">
        <f t="shared" si="13"/>
        <v>0</v>
      </c>
      <c r="N86" s="63">
        <v>0.35000000000000003</v>
      </c>
      <c r="O86" s="167">
        <v>1</v>
      </c>
      <c r="P86" s="297"/>
    </row>
    <row r="87" spans="1:16" s="61" customFormat="1" ht="14.25">
      <c r="A87" s="1764"/>
      <c r="B87" s="1765"/>
      <c r="C87" s="62" t="s">
        <v>837</v>
      </c>
      <c r="D87" s="64" t="s">
        <v>838</v>
      </c>
      <c r="E87" s="63">
        <v>5</v>
      </c>
      <c r="F87" s="63">
        <v>5</v>
      </c>
      <c r="G87" s="63">
        <f t="shared" si="14"/>
        <v>0.35000000000000003</v>
      </c>
      <c r="H87" s="63"/>
      <c r="I87" s="63">
        <v>5</v>
      </c>
      <c r="J87" s="63">
        <f t="shared" si="15"/>
        <v>0.35000000000000003</v>
      </c>
      <c r="K87" s="63"/>
      <c r="L87" s="191">
        <f t="shared" si="12"/>
        <v>0</v>
      </c>
      <c r="M87" s="191">
        <f t="shared" si="13"/>
        <v>0</v>
      </c>
      <c r="N87" s="63">
        <v>0.35000000000000003</v>
      </c>
      <c r="O87" s="167">
        <v>1</v>
      </c>
      <c r="P87" s="297"/>
    </row>
    <row r="88" spans="1:16" s="61" customFormat="1" ht="14.25">
      <c r="A88" s="1764"/>
      <c r="B88" s="1765"/>
      <c r="C88" s="62" t="s">
        <v>839</v>
      </c>
      <c r="D88" s="64" t="s">
        <v>840</v>
      </c>
      <c r="E88" s="63">
        <v>5</v>
      </c>
      <c r="F88" s="63">
        <v>5</v>
      </c>
      <c r="G88" s="63">
        <f t="shared" si="14"/>
        <v>0.35000000000000003</v>
      </c>
      <c r="H88" s="63"/>
      <c r="I88" s="63">
        <v>5</v>
      </c>
      <c r="J88" s="63">
        <f t="shared" si="15"/>
        <v>0.35000000000000003</v>
      </c>
      <c r="K88" s="63"/>
      <c r="L88" s="191">
        <f t="shared" si="12"/>
        <v>0</v>
      </c>
      <c r="M88" s="191">
        <f t="shared" si="13"/>
        <v>0</v>
      </c>
      <c r="N88" s="63">
        <v>0.35000000000000003</v>
      </c>
      <c r="O88" s="167">
        <v>1</v>
      </c>
      <c r="P88" s="297"/>
    </row>
    <row r="89" spans="1:16" s="61" customFormat="1" ht="27">
      <c r="A89" s="1764"/>
      <c r="B89" s="1765" t="s">
        <v>841</v>
      </c>
      <c r="C89" s="62" t="s">
        <v>842</v>
      </c>
      <c r="D89" s="64" t="s">
        <v>843</v>
      </c>
      <c r="E89" s="63">
        <v>6</v>
      </c>
      <c r="F89" s="63">
        <v>6</v>
      </c>
      <c r="G89" s="63">
        <f t="shared" si="14"/>
        <v>0.42000000000000004</v>
      </c>
      <c r="H89" s="63"/>
      <c r="I89" s="63">
        <v>6</v>
      </c>
      <c r="J89" s="63">
        <f t="shared" si="15"/>
        <v>0.42000000000000004</v>
      </c>
      <c r="K89" s="63"/>
      <c r="L89" s="191">
        <f t="shared" si="12"/>
        <v>0</v>
      </c>
      <c r="M89" s="191">
        <f t="shared" si="13"/>
        <v>0</v>
      </c>
      <c r="N89" s="63">
        <v>0.42000000000000004</v>
      </c>
      <c r="O89" s="167">
        <v>1</v>
      </c>
      <c r="P89" s="297"/>
    </row>
    <row r="90" spans="1:16" s="61" customFormat="1" ht="27">
      <c r="A90" s="1764"/>
      <c r="B90" s="1765"/>
      <c r="C90" s="62" t="s">
        <v>844</v>
      </c>
      <c r="D90" s="64" t="s">
        <v>845</v>
      </c>
      <c r="E90" s="63">
        <v>10</v>
      </c>
      <c r="F90" s="179">
        <v>10</v>
      </c>
      <c r="G90" s="63">
        <f t="shared" si="14"/>
        <v>0.70000000000000007</v>
      </c>
      <c r="H90" s="63"/>
      <c r="I90" s="179">
        <v>10</v>
      </c>
      <c r="J90" s="63">
        <f t="shared" si="15"/>
        <v>0.70000000000000007</v>
      </c>
      <c r="K90" s="63"/>
      <c r="L90" s="191">
        <f t="shared" si="12"/>
        <v>0</v>
      </c>
      <c r="M90" s="191">
        <f t="shared" si="13"/>
        <v>0</v>
      </c>
      <c r="N90" s="63">
        <v>0.70000000000000007</v>
      </c>
      <c r="O90" s="167">
        <v>1</v>
      </c>
      <c r="P90" s="297"/>
    </row>
    <row r="91" spans="1:16" s="61" customFormat="1" ht="27">
      <c r="A91" s="1764"/>
      <c r="B91" s="1765"/>
      <c r="C91" s="62" t="s">
        <v>846</v>
      </c>
      <c r="D91" s="64" t="s">
        <v>847</v>
      </c>
      <c r="E91" s="63">
        <v>4</v>
      </c>
      <c r="F91" s="179">
        <v>4</v>
      </c>
      <c r="G91" s="63">
        <f t="shared" si="14"/>
        <v>0.28000000000000003</v>
      </c>
      <c r="H91" s="63"/>
      <c r="I91" s="179">
        <v>4</v>
      </c>
      <c r="J91" s="63">
        <f t="shared" si="15"/>
        <v>0.28000000000000003</v>
      </c>
      <c r="K91" s="63"/>
      <c r="L91" s="191">
        <f t="shared" si="12"/>
        <v>0</v>
      </c>
      <c r="M91" s="191">
        <f t="shared" si="13"/>
        <v>0</v>
      </c>
      <c r="N91" s="63">
        <v>0.28000000000000003</v>
      </c>
      <c r="O91" s="168">
        <v>1</v>
      </c>
      <c r="P91" s="297"/>
    </row>
    <row r="92" spans="1:16" s="61" customFormat="1" ht="14.25">
      <c r="A92" s="1764"/>
      <c r="B92" s="1765" t="s">
        <v>848</v>
      </c>
      <c r="C92" s="62" t="s">
        <v>849</v>
      </c>
      <c r="D92" s="64" t="s">
        <v>850</v>
      </c>
      <c r="E92" s="63">
        <v>4</v>
      </c>
      <c r="F92" s="63">
        <v>4</v>
      </c>
      <c r="G92" s="63">
        <f t="shared" si="14"/>
        <v>0.28000000000000003</v>
      </c>
      <c r="H92" s="63"/>
      <c r="I92" s="63">
        <v>4</v>
      </c>
      <c r="J92" s="63">
        <f t="shared" si="15"/>
        <v>0.28000000000000003</v>
      </c>
      <c r="K92" s="63"/>
      <c r="L92" s="191">
        <f t="shared" si="12"/>
        <v>0</v>
      </c>
      <c r="M92" s="191">
        <f t="shared" si="13"/>
        <v>0</v>
      </c>
      <c r="N92" s="63">
        <v>0.28000000000000003</v>
      </c>
      <c r="O92" s="167">
        <v>1</v>
      </c>
      <c r="P92" s="297"/>
    </row>
    <row r="93" spans="1:16" s="61" customFormat="1" ht="14.25">
      <c r="A93" s="1764"/>
      <c r="B93" s="1765"/>
      <c r="C93" s="62" t="s">
        <v>851</v>
      </c>
      <c r="D93" s="64" t="s">
        <v>852</v>
      </c>
      <c r="E93" s="63">
        <v>2</v>
      </c>
      <c r="F93" s="63">
        <v>2</v>
      </c>
      <c r="G93" s="63">
        <f t="shared" si="14"/>
        <v>0.14000000000000001</v>
      </c>
      <c r="H93" s="63"/>
      <c r="I93" s="63">
        <v>2</v>
      </c>
      <c r="J93" s="63">
        <f t="shared" si="15"/>
        <v>0.14000000000000001</v>
      </c>
      <c r="K93" s="63"/>
      <c r="L93" s="191">
        <f t="shared" si="12"/>
        <v>0</v>
      </c>
      <c r="M93" s="191">
        <f t="shared" si="13"/>
        <v>0</v>
      </c>
      <c r="N93" s="63">
        <v>0.14000000000000001</v>
      </c>
      <c r="O93" s="167">
        <v>1</v>
      </c>
      <c r="P93" s="297"/>
    </row>
    <row r="94" spans="1:16" s="61" customFormat="1" ht="14.25">
      <c r="A94" s="1764"/>
      <c r="B94" s="1765"/>
      <c r="C94" s="62" t="s">
        <v>853</v>
      </c>
      <c r="D94" s="64" t="s">
        <v>854</v>
      </c>
      <c r="E94" s="63">
        <v>2</v>
      </c>
      <c r="F94" s="63">
        <v>2</v>
      </c>
      <c r="G94" s="63">
        <f t="shared" si="14"/>
        <v>0.14000000000000001</v>
      </c>
      <c r="H94" s="63"/>
      <c r="I94" s="63">
        <v>2</v>
      </c>
      <c r="J94" s="63">
        <f t="shared" si="15"/>
        <v>0.14000000000000001</v>
      </c>
      <c r="K94" s="63"/>
      <c r="L94" s="191">
        <f t="shared" si="12"/>
        <v>0</v>
      </c>
      <c r="M94" s="191">
        <f t="shared" si="13"/>
        <v>0</v>
      </c>
      <c r="N94" s="63">
        <v>0.14000000000000001</v>
      </c>
      <c r="O94" s="167">
        <v>1</v>
      </c>
      <c r="P94" s="297"/>
    </row>
    <row r="95" spans="1:16" s="61" customFormat="1" ht="14.25">
      <c r="A95" s="1764"/>
      <c r="B95" s="1765"/>
      <c r="C95" s="62" t="s">
        <v>855</v>
      </c>
      <c r="D95" s="64" t="s">
        <v>856</v>
      </c>
      <c r="E95" s="63">
        <v>2</v>
      </c>
      <c r="F95" s="63">
        <v>2</v>
      </c>
      <c r="G95" s="63">
        <f t="shared" si="14"/>
        <v>0.14000000000000001</v>
      </c>
      <c r="H95" s="63">
        <f>SUM(F76:F95)*0.07</f>
        <v>7.0000000000000009</v>
      </c>
      <c r="I95" s="63">
        <v>2</v>
      </c>
      <c r="J95" s="63">
        <f t="shared" si="15"/>
        <v>0.14000000000000001</v>
      </c>
      <c r="K95" s="63">
        <f>SUM(I76:I95)*0.07</f>
        <v>7.0000000000000009</v>
      </c>
      <c r="L95" s="191">
        <f t="shared" si="12"/>
        <v>0</v>
      </c>
      <c r="M95" s="191">
        <f t="shared" si="13"/>
        <v>0</v>
      </c>
      <c r="N95" s="63">
        <v>0.14000000000000001</v>
      </c>
      <c r="O95" s="167">
        <v>1</v>
      </c>
      <c r="P95" s="297"/>
    </row>
    <row r="96" spans="1:16" s="61" customFormat="1" ht="54">
      <c r="A96" s="1764" t="s">
        <v>857</v>
      </c>
      <c r="B96" s="1765" t="s">
        <v>858</v>
      </c>
      <c r="C96" s="62" t="s">
        <v>859</v>
      </c>
      <c r="D96" s="64" t="s">
        <v>860</v>
      </c>
      <c r="E96" s="63">
        <v>10</v>
      </c>
      <c r="F96" s="63">
        <v>10</v>
      </c>
      <c r="G96" s="63">
        <f t="shared" ref="G96:G131" si="16">F96*0.05</f>
        <v>0.5</v>
      </c>
      <c r="H96" s="63"/>
      <c r="I96" s="63">
        <v>10</v>
      </c>
      <c r="J96" s="63">
        <f t="shared" ref="J96:J131" si="17">I96*0.05</f>
        <v>0.5</v>
      </c>
      <c r="K96" s="63"/>
      <c r="L96" s="191">
        <f t="shared" si="12"/>
        <v>0</v>
      </c>
      <c r="M96" s="191">
        <f t="shared" si="13"/>
        <v>0</v>
      </c>
      <c r="N96" s="63">
        <v>0.5</v>
      </c>
      <c r="O96" s="167">
        <v>1</v>
      </c>
      <c r="P96" s="297"/>
    </row>
    <row r="97" spans="1:16" s="61" customFormat="1" ht="27.75" customHeight="1">
      <c r="A97" s="1764"/>
      <c r="B97" s="1765"/>
      <c r="C97" s="62" t="s">
        <v>861</v>
      </c>
      <c r="D97" s="64" t="s">
        <v>862</v>
      </c>
      <c r="E97" s="63">
        <v>10</v>
      </c>
      <c r="F97" s="63">
        <v>10</v>
      </c>
      <c r="G97" s="63">
        <f t="shared" si="16"/>
        <v>0.5</v>
      </c>
      <c r="H97" s="63"/>
      <c r="I97" s="63">
        <v>10</v>
      </c>
      <c r="J97" s="63">
        <f t="shared" si="17"/>
        <v>0.5</v>
      </c>
      <c r="K97" s="63"/>
      <c r="L97" s="191">
        <f t="shared" si="12"/>
        <v>0</v>
      </c>
      <c r="M97" s="191">
        <f t="shared" si="13"/>
        <v>0</v>
      </c>
      <c r="N97" s="63">
        <v>0.5</v>
      </c>
      <c r="O97" s="167">
        <v>1</v>
      </c>
      <c r="P97" s="297"/>
    </row>
    <row r="98" spans="1:16" s="61" customFormat="1" ht="27">
      <c r="A98" s="1764"/>
      <c r="B98" s="1765" t="s">
        <v>863</v>
      </c>
      <c r="C98" s="62" t="s">
        <v>864</v>
      </c>
      <c r="D98" s="64" t="s">
        <v>865</v>
      </c>
      <c r="E98" s="63">
        <v>20</v>
      </c>
      <c r="F98" s="63">
        <v>20</v>
      </c>
      <c r="G98" s="63">
        <f t="shared" si="16"/>
        <v>1</v>
      </c>
      <c r="H98" s="63"/>
      <c r="I98" s="63">
        <v>20</v>
      </c>
      <c r="J98" s="63">
        <f t="shared" si="17"/>
        <v>1</v>
      </c>
      <c r="K98" s="63"/>
      <c r="L98" s="191">
        <f t="shared" si="12"/>
        <v>0</v>
      </c>
      <c r="M98" s="191">
        <f t="shared" si="13"/>
        <v>0</v>
      </c>
      <c r="N98" s="63">
        <v>1</v>
      </c>
      <c r="O98" s="167">
        <v>1</v>
      </c>
      <c r="P98" s="297"/>
    </row>
    <row r="99" spans="1:16" s="61" customFormat="1" ht="14.25">
      <c r="A99" s="1764"/>
      <c r="B99" s="1765"/>
      <c r="C99" s="62" t="s">
        <v>866</v>
      </c>
      <c r="D99" s="64" t="s">
        <v>867</v>
      </c>
      <c r="E99" s="63">
        <v>10</v>
      </c>
      <c r="F99" s="63">
        <v>10</v>
      </c>
      <c r="G99" s="63">
        <f t="shared" si="16"/>
        <v>0.5</v>
      </c>
      <c r="H99" s="63"/>
      <c r="I99" s="63">
        <v>10</v>
      </c>
      <c r="J99" s="63">
        <f t="shared" si="17"/>
        <v>0.5</v>
      </c>
      <c r="K99" s="63"/>
      <c r="L99" s="191">
        <f t="shared" ref="L99:L130" si="18">I99-F99</f>
        <v>0</v>
      </c>
      <c r="M99" s="191">
        <f t="shared" ref="M99:M114" si="19">E99-I99</f>
        <v>0</v>
      </c>
      <c r="N99" s="63">
        <v>0.5</v>
      </c>
      <c r="O99" s="167">
        <v>1</v>
      </c>
      <c r="P99" s="297"/>
    </row>
    <row r="100" spans="1:16" s="61" customFormat="1" ht="40.5">
      <c r="A100" s="1764"/>
      <c r="B100" s="1765"/>
      <c r="C100" s="62" t="s">
        <v>868</v>
      </c>
      <c r="D100" s="64" t="s">
        <v>869</v>
      </c>
      <c r="E100" s="63">
        <v>10</v>
      </c>
      <c r="F100" s="63">
        <v>10</v>
      </c>
      <c r="G100" s="63">
        <f t="shared" si="16"/>
        <v>0.5</v>
      </c>
      <c r="H100" s="63"/>
      <c r="I100" s="63">
        <v>10</v>
      </c>
      <c r="J100" s="63">
        <f t="shared" si="17"/>
        <v>0.5</v>
      </c>
      <c r="K100" s="63"/>
      <c r="L100" s="191">
        <f t="shared" si="18"/>
        <v>0</v>
      </c>
      <c r="M100" s="191">
        <f t="shared" si="19"/>
        <v>0</v>
      </c>
      <c r="N100" s="63">
        <v>0.5</v>
      </c>
      <c r="O100" s="168">
        <v>1</v>
      </c>
      <c r="P100" s="297"/>
    </row>
    <row r="101" spans="1:16" s="61" customFormat="1" ht="27">
      <c r="A101" s="1764"/>
      <c r="B101" s="1765"/>
      <c r="C101" s="62" t="s">
        <v>870</v>
      </c>
      <c r="D101" s="64" t="s">
        <v>871</v>
      </c>
      <c r="E101" s="63">
        <v>10</v>
      </c>
      <c r="F101" s="63">
        <v>10</v>
      </c>
      <c r="G101" s="63">
        <f t="shared" si="16"/>
        <v>0.5</v>
      </c>
      <c r="H101" s="63"/>
      <c r="I101" s="63">
        <v>10</v>
      </c>
      <c r="J101" s="63">
        <f t="shared" si="17"/>
        <v>0.5</v>
      </c>
      <c r="K101" s="63"/>
      <c r="L101" s="191">
        <f t="shared" si="18"/>
        <v>0</v>
      </c>
      <c r="M101" s="191">
        <f t="shared" si="19"/>
        <v>0</v>
      </c>
      <c r="N101" s="63">
        <v>0.5</v>
      </c>
      <c r="O101" s="167">
        <v>1</v>
      </c>
      <c r="P101" s="297"/>
    </row>
    <row r="102" spans="1:16" s="61" customFormat="1" ht="14.25">
      <c r="A102" s="1764"/>
      <c r="B102" s="1765" t="s">
        <v>872</v>
      </c>
      <c r="C102" s="72" t="s">
        <v>873</v>
      </c>
      <c r="D102" s="71" t="s">
        <v>874</v>
      </c>
      <c r="E102" s="63">
        <v>10</v>
      </c>
      <c r="F102" s="63">
        <v>10</v>
      </c>
      <c r="G102" s="63">
        <f t="shared" si="16"/>
        <v>0.5</v>
      </c>
      <c r="H102" s="63"/>
      <c r="I102" s="63">
        <v>10</v>
      </c>
      <c r="J102" s="63">
        <f t="shared" si="17"/>
        <v>0.5</v>
      </c>
      <c r="K102" s="63"/>
      <c r="L102" s="191">
        <f t="shared" si="18"/>
        <v>0</v>
      </c>
      <c r="M102" s="191">
        <f t="shared" si="19"/>
        <v>0</v>
      </c>
      <c r="N102" s="63">
        <v>0.5</v>
      </c>
      <c r="O102" s="167">
        <v>1</v>
      </c>
      <c r="P102" s="297"/>
    </row>
    <row r="103" spans="1:16" s="61" customFormat="1" ht="14.25">
      <c r="A103" s="1764"/>
      <c r="B103" s="1765"/>
      <c r="C103" s="62" t="s">
        <v>875</v>
      </c>
      <c r="D103" s="175" t="s">
        <v>876</v>
      </c>
      <c r="E103" s="63">
        <v>10</v>
      </c>
      <c r="F103" s="179">
        <v>5</v>
      </c>
      <c r="G103" s="63">
        <f t="shared" si="16"/>
        <v>0.25</v>
      </c>
      <c r="H103" s="63"/>
      <c r="I103" s="179">
        <v>5</v>
      </c>
      <c r="J103" s="63">
        <f t="shared" si="17"/>
        <v>0.25</v>
      </c>
      <c r="K103" s="63"/>
      <c r="L103" s="191">
        <f t="shared" si="18"/>
        <v>0</v>
      </c>
      <c r="M103" s="191">
        <f t="shared" si="19"/>
        <v>5</v>
      </c>
      <c r="N103" s="63">
        <v>0.5</v>
      </c>
      <c r="O103" s="168">
        <v>1</v>
      </c>
      <c r="P103" s="297"/>
    </row>
    <row r="104" spans="1:16" s="61" customFormat="1" ht="27">
      <c r="A104" s="1764"/>
      <c r="B104" s="1765"/>
      <c r="C104" s="62" t="s">
        <v>877</v>
      </c>
      <c r="D104" s="64" t="s">
        <v>878</v>
      </c>
      <c r="E104" s="63">
        <v>10</v>
      </c>
      <c r="F104" s="63">
        <v>10</v>
      </c>
      <c r="G104" s="63">
        <f t="shared" si="16"/>
        <v>0.5</v>
      </c>
      <c r="H104" s="63">
        <f>SUM(F96:F104)*0.05</f>
        <v>4.75</v>
      </c>
      <c r="I104" s="63">
        <v>10</v>
      </c>
      <c r="J104" s="63">
        <f t="shared" si="17"/>
        <v>0.5</v>
      </c>
      <c r="K104" s="63">
        <f>SUM(I96:I104)*0.05</f>
        <v>4.75</v>
      </c>
      <c r="L104" s="191">
        <f t="shared" si="18"/>
        <v>0</v>
      </c>
      <c r="M104" s="191">
        <f t="shared" si="19"/>
        <v>0</v>
      </c>
      <c r="N104" s="63">
        <v>0.5</v>
      </c>
      <c r="O104" s="167">
        <v>1</v>
      </c>
      <c r="P104" s="297"/>
    </row>
    <row r="105" spans="1:16" s="61" customFormat="1" ht="27">
      <c r="A105" s="1764" t="s">
        <v>879</v>
      </c>
      <c r="B105" s="1765" t="s">
        <v>880</v>
      </c>
      <c r="C105" s="62" t="s">
        <v>881</v>
      </c>
      <c r="D105" s="64" t="s">
        <v>882</v>
      </c>
      <c r="E105" s="63">
        <v>10</v>
      </c>
      <c r="F105" s="63">
        <v>10</v>
      </c>
      <c r="G105" s="63">
        <f t="shared" si="16"/>
        <v>0.5</v>
      </c>
      <c r="H105" s="63"/>
      <c r="I105" s="63">
        <v>10</v>
      </c>
      <c r="J105" s="63">
        <f t="shared" si="17"/>
        <v>0.5</v>
      </c>
      <c r="K105" s="63"/>
      <c r="L105" s="191">
        <f t="shared" si="18"/>
        <v>0</v>
      </c>
      <c r="M105" s="191">
        <f t="shared" si="19"/>
        <v>0</v>
      </c>
      <c r="N105" s="63">
        <v>0.5</v>
      </c>
      <c r="O105" s="167">
        <v>1</v>
      </c>
      <c r="P105" s="297"/>
    </row>
    <row r="106" spans="1:16" s="61" customFormat="1" ht="40.5">
      <c r="A106" s="1764"/>
      <c r="B106" s="1765"/>
      <c r="C106" s="62" t="s">
        <v>883</v>
      </c>
      <c r="D106" s="64" t="s">
        <v>884</v>
      </c>
      <c r="E106" s="63">
        <v>5</v>
      </c>
      <c r="F106" s="63">
        <v>5</v>
      </c>
      <c r="G106" s="63">
        <f t="shared" si="16"/>
        <v>0.25</v>
      </c>
      <c r="H106" s="63"/>
      <c r="I106" s="63">
        <v>5</v>
      </c>
      <c r="J106" s="63">
        <f t="shared" si="17"/>
        <v>0.25</v>
      </c>
      <c r="K106" s="63"/>
      <c r="L106" s="191">
        <f t="shared" si="18"/>
        <v>0</v>
      </c>
      <c r="M106" s="191">
        <f t="shared" si="19"/>
        <v>0</v>
      </c>
      <c r="N106" s="63">
        <v>0.25</v>
      </c>
      <c r="O106" s="167">
        <v>1</v>
      </c>
      <c r="P106" s="297"/>
    </row>
    <row r="107" spans="1:16" s="61" customFormat="1" ht="27">
      <c r="A107" s="1764"/>
      <c r="B107" s="1765"/>
      <c r="C107" s="62" t="s">
        <v>885</v>
      </c>
      <c r="D107" s="64" t="s">
        <v>886</v>
      </c>
      <c r="E107" s="63">
        <v>5</v>
      </c>
      <c r="F107" s="63">
        <v>5</v>
      </c>
      <c r="G107" s="63">
        <f t="shared" si="16"/>
        <v>0.25</v>
      </c>
      <c r="H107" s="63"/>
      <c r="I107" s="63">
        <v>5</v>
      </c>
      <c r="J107" s="63">
        <f t="shared" si="17"/>
        <v>0.25</v>
      </c>
      <c r="K107" s="63"/>
      <c r="L107" s="191">
        <f t="shared" si="18"/>
        <v>0</v>
      </c>
      <c r="M107" s="191">
        <f t="shared" si="19"/>
        <v>0</v>
      </c>
      <c r="N107" s="63">
        <v>0.25</v>
      </c>
      <c r="O107" s="167">
        <v>1</v>
      </c>
      <c r="P107" s="297"/>
    </row>
    <row r="108" spans="1:16" s="61" customFormat="1" ht="27">
      <c r="A108" s="1764"/>
      <c r="B108" s="1765" t="s">
        <v>887</v>
      </c>
      <c r="C108" s="62" t="s">
        <v>888</v>
      </c>
      <c r="D108" s="64" t="s">
        <v>889</v>
      </c>
      <c r="E108" s="63">
        <v>5</v>
      </c>
      <c r="F108" s="63"/>
      <c r="G108" s="63">
        <f t="shared" si="16"/>
        <v>0</v>
      </c>
      <c r="H108" s="63"/>
      <c r="I108" s="63"/>
      <c r="J108" s="63">
        <f t="shared" si="17"/>
        <v>0</v>
      </c>
      <c r="K108" s="63"/>
      <c r="L108" s="191">
        <f t="shared" si="18"/>
        <v>0</v>
      </c>
      <c r="M108" s="191">
        <f t="shared" si="19"/>
        <v>5</v>
      </c>
      <c r="N108" s="63">
        <v>0</v>
      </c>
      <c r="O108" s="167">
        <v>1</v>
      </c>
      <c r="P108" s="297"/>
    </row>
    <row r="109" spans="1:16" s="61" customFormat="1" ht="27">
      <c r="A109" s="1764"/>
      <c r="B109" s="1765"/>
      <c r="C109" s="62" t="s">
        <v>890</v>
      </c>
      <c r="D109" s="64" t="s">
        <v>891</v>
      </c>
      <c r="E109" s="63">
        <v>10</v>
      </c>
      <c r="F109" s="63"/>
      <c r="G109" s="63">
        <f t="shared" si="16"/>
        <v>0</v>
      </c>
      <c r="H109" s="63"/>
      <c r="I109" s="63"/>
      <c r="J109" s="63">
        <f t="shared" si="17"/>
        <v>0</v>
      </c>
      <c r="K109" s="63"/>
      <c r="L109" s="191">
        <f t="shared" si="18"/>
        <v>0</v>
      </c>
      <c r="M109" s="191">
        <f t="shared" si="19"/>
        <v>10</v>
      </c>
      <c r="N109" s="63">
        <v>0</v>
      </c>
      <c r="O109" s="167">
        <v>1</v>
      </c>
      <c r="P109" s="297"/>
    </row>
    <row r="110" spans="1:16" s="61" customFormat="1" ht="27">
      <c r="A110" s="1764"/>
      <c r="B110" s="1765"/>
      <c r="C110" s="62" t="s">
        <v>892</v>
      </c>
      <c r="D110" s="64" t="s">
        <v>893</v>
      </c>
      <c r="E110" s="63">
        <v>10</v>
      </c>
      <c r="F110" s="63"/>
      <c r="G110" s="63">
        <f t="shared" si="16"/>
        <v>0</v>
      </c>
      <c r="H110" s="63"/>
      <c r="I110" s="63"/>
      <c r="J110" s="63">
        <f t="shared" si="17"/>
        <v>0</v>
      </c>
      <c r="K110" s="63"/>
      <c r="L110" s="191">
        <f t="shared" si="18"/>
        <v>0</v>
      </c>
      <c r="M110" s="191">
        <f t="shared" si="19"/>
        <v>10</v>
      </c>
      <c r="N110" s="63">
        <v>0</v>
      </c>
      <c r="O110" s="167">
        <v>1</v>
      </c>
      <c r="P110" s="297"/>
    </row>
    <row r="111" spans="1:16" s="61" customFormat="1" ht="14.25">
      <c r="A111" s="1764"/>
      <c r="B111" s="1765"/>
      <c r="C111" s="62" t="s">
        <v>894</v>
      </c>
      <c r="D111" s="64" t="s">
        <v>895</v>
      </c>
      <c r="E111" s="63">
        <v>10</v>
      </c>
      <c r="F111" s="63"/>
      <c r="G111" s="63">
        <f t="shared" si="16"/>
        <v>0</v>
      </c>
      <c r="H111" s="63"/>
      <c r="I111" s="63"/>
      <c r="J111" s="63">
        <f t="shared" si="17"/>
        <v>0</v>
      </c>
      <c r="K111" s="63"/>
      <c r="L111" s="191">
        <f t="shared" si="18"/>
        <v>0</v>
      </c>
      <c r="M111" s="191">
        <f t="shared" si="19"/>
        <v>10</v>
      </c>
      <c r="N111" s="63">
        <v>0</v>
      </c>
      <c r="O111" s="167">
        <v>1</v>
      </c>
      <c r="P111" s="297"/>
    </row>
    <row r="112" spans="1:16" s="61" customFormat="1" ht="14.25">
      <c r="A112" s="1764"/>
      <c r="B112" s="1765"/>
      <c r="C112" s="62" t="s">
        <v>896</v>
      </c>
      <c r="D112" s="64" t="s">
        <v>897</v>
      </c>
      <c r="E112" s="63">
        <v>5</v>
      </c>
      <c r="F112" s="63"/>
      <c r="G112" s="63">
        <f t="shared" si="16"/>
        <v>0</v>
      </c>
      <c r="H112" s="63"/>
      <c r="I112" s="63"/>
      <c r="J112" s="63">
        <f t="shared" si="17"/>
        <v>0</v>
      </c>
      <c r="K112" s="63"/>
      <c r="L112" s="191">
        <f t="shared" si="18"/>
        <v>0</v>
      </c>
      <c r="M112" s="191">
        <f t="shared" si="19"/>
        <v>5</v>
      </c>
      <c r="N112" s="63">
        <v>0</v>
      </c>
      <c r="O112" s="167">
        <v>1</v>
      </c>
      <c r="P112" s="297"/>
    </row>
    <row r="113" spans="1:16" s="61" customFormat="1" ht="40.5">
      <c r="A113" s="1764"/>
      <c r="B113" s="1765"/>
      <c r="C113" s="62" t="s">
        <v>898</v>
      </c>
      <c r="D113" s="64" t="s">
        <v>899</v>
      </c>
      <c r="E113" s="63">
        <v>10</v>
      </c>
      <c r="F113" s="63"/>
      <c r="G113" s="63">
        <f t="shared" si="16"/>
        <v>0</v>
      </c>
      <c r="H113" s="63"/>
      <c r="I113" s="63"/>
      <c r="J113" s="63">
        <f t="shared" si="17"/>
        <v>0</v>
      </c>
      <c r="K113" s="63"/>
      <c r="L113" s="191">
        <f t="shared" si="18"/>
        <v>0</v>
      </c>
      <c r="M113" s="191">
        <f t="shared" si="19"/>
        <v>10</v>
      </c>
      <c r="N113" s="63">
        <v>0</v>
      </c>
      <c r="O113" s="167">
        <v>1</v>
      </c>
      <c r="P113" s="297"/>
    </row>
    <row r="114" spans="1:16" s="61" customFormat="1" ht="14.25">
      <c r="A114" s="1764"/>
      <c r="B114" s="1765"/>
      <c r="C114" s="62" t="s">
        <v>900</v>
      </c>
      <c r="D114" s="64" t="s">
        <v>901</v>
      </c>
      <c r="E114" s="63">
        <v>10</v>
      </c>
      <c r="F114" s="63"/>
      <c r="G114" s="63">
        <f t="shared" si="16"/>
        <v>0</v>
      </c>
      <c r="H114" s="63"/>
      <c r="I114" s="63"/>
      <c r="J114" s="63">
        <f t="shared" si="17"/>
        <v>0</v>
      </c>
      <c r="K114" s="63"/>
      <c r="L114" s="191">
        <f t="shared" si="18"/>
        <v>0</v>
      </c>
      <c r="M114" s="191">
        <f t="shared" si="19"/>
        <v>10</v>
      </c>
      <c r="N114" s="63">
        <v>0</v>
      </c>
      <c r="O114" s="167">
        <v>1</v>
      </c>
      <c r="P114" s="297"/>
    </row>
    <row r="115" spans="1:16" s="61" customFormat="1" ht="27" customHeight="1">
      <c r="A115" s="1764"/>
      <c r="B115" s="1765"/>
      <c r="C115" s="72" t="s">
        <v>902</v>
      </c>
      <c r="D115" s="71" t="s">
        <v>904</v>
      </c>
      <c r="E115" s="63" t="s">
        <v>903</v>
      </c>
      <c r="F115" s="63">
        <v>60</v>
      </c>
      <c r="G115" s="63">
        <f t="shared" si="16"/>
        <v>3</v>
      </c>
      <c r="H115" s="63"/>
      <c r="I115" s="63">
        <v>60</v>
      </c>
      <c r="J115" s="63">
        <f t="shared" si="17"/>
        <v>3</v>
      </c>
      <c r="K115" s="63"/>
      <c r="L115" s="191">
        <f t="shared" si="18"/>
        <v>0</v>
      </c>
      <c r="M115" s="191"/>
      <c r="N115" s="63">
        <v>3</v>
      </c>
      <c r="O115" s="167">
        <v>1</v>
      </c>
      <c r="P115" s="297"/>
    </row>
    <row r="116" spans="1:16" s="61" customFormat="1" ht="14.25">
      <c r="A116" s="1764"/>
      <c r="B116" s="1765" t="s">
        <v>905</v>
      </c>
      <c r="C116" s="62" t="s">
        <v>906</v>
      </c>
      <c r="D116" s="64" t="s">
        <v>907</v>
      </c>
      <c r="E116" s="63">
        <v>10</v>
      </c>
      <c r="F116" s="63">
        <v>10</v>
      </c>
      <c r="G116" s="63">
        <f t="shared" si="16"/>
        <v>0.5</v>
      </c>
      <c r="H116" s="63"/>
      <c r="I116" s="63">
        <v>10</v>
      </c>
      <c r="J116" s="63">
        <f t="shared" si="17"/>
        <v>0.5</v>
      </c>
      <c r="K116" s="63"/>
      <c r="L116" s="191">
        <f t="shared" si="18"/>
        <v>0</v>
      </c>
      <c r="M116" s="191">
        <f t="shared" ref="M116:M131" si="20">E116-I116</f>
        <v>0</v>
      </c>
      <c r="N116" s="63">
        <v>0.5</v>
      </c>
      <c r="O116" s="167">
        <v>1</v>
      </c>
      <c r="P116" s="297"/>
    </row>
    <row r="117" spans="1:16" s="61" customFormat="1" ht="14.25">
      <c r="A117" s="1764"/>
      <c r="B117" s="1765"/>
      <c r="C117" s="62" t="s">
        <v>908</v>
      </c>
      <c r="D117" s="64" t="s">
        <v>909</v>
      </c>
      <c r="E117" s="63">
        <v>5</v>
      </c>
      <c r="F117" s="63">
        <v>5</v>
      </c>
      <c r="G117" s="63">
        <f t="shared" si="16"/>
        <v>0.25</v>
      </c>
      <c r="H117" s="63"/>
      <c r="I117" s="63">
        <v>5</v>
      </c>
      <c r="J117" s="63">
        <f t="shared" si="17"/>
        <v>0.25</v>
      </c>
      <c r="K117" s="63"/>
      <c r="L117" s="191">
        <f t="shared" si="18"/>
        <v>0</v>
      </c>
      <c r="M117" s="191">
        <f t="shared" si="20"/>
        <v>0</v>
      </c>
      <c r="N117" s="63">
        <v>0.25</v>
      </c>
      <c r="O117" s="167">
        <v>1</v>
      </c>
      <c r="P117" s="297"/>
    </row>
    <row r="118" spans="1:16" s="61" customFormat="1" ht="14.25">
      <c r="A118" s="1764"/>
      <c r="B118" s="1765"/>
      <c r="C118" s="62" t="s">
        <v>910</v>
      </c>
      <c r="D118" s="64" t="s">
        <v>911</v>
      </c>
      <c r="E118" s="63">
        <v>5</v>
      </c>
      <c r="F118" s="63">
        <v>5</v>
      </c>
      <c r="G118" s="63">
        <f t="shared" si="16"/>
        <v>0.25</v>
      </c>
      <c r="H118" s="63">
        <f>SUM(F105:F118)*0.05</f>
        <v>5</v>
      </c>
      <c r="I118" s="63">
        <v>5</v>
      </c>
      <c r="J118" s="63">
        <f t="shared" si="17"/>
        <v>0.25</v>
      </c>
      <c r="K118" s="63">
        <f>SUM(I105:I118)*0.05</f>
        <v>5</v>
      </c>
      <c r="L118" s="191">
        <f t="shared" si="18"/>
        <v>0</v>
      </c>
      <c r="M118" s="191">
        <f t="shared" si="20"/>
        <v>0</v>
      </c>
      <c r="N118" s="63">
        <v>0.25</v>
      </c>
      <c r="O118" s="167">
        <v>1</v>
      </c>
      <c r="P118" s="297"/>
    </row>
    <row r="119" spans="1:16" s="61" customFormat="1" ht="27">
      <c r="A119" s="1764" t="s">
        <v>912</v>
      </c>
      <c r="B119" s="1765" t="s">
        <v>913</v>
      </c>
      <c r="C119" s="62" t="s">
        <v>914</v>
      </c>
      <c r="D119" s="64" t="s">
        <v>915</v>
      </c>
      <c r="E119" s="63">
        <v>5</v>
      </c>
      <c r="F119" s="63">
        <v>5</v>
      </c>
      <c r="G119" s="63">
        <f t="shared" si="16"/>
        <v>0.25</v>
      </c>
      <c r="H119" s="63"/>
      <c r="I119" s="63">
        <v>5</v>
      </c>
      <c r="J119" s="63">
        <f t="shared" si="17"/>
        <v>0.25</v>
      </c>
      <c r="K119" s="63"/>
      <c r="L119" s="191">
        <f t="shared" si="18"/>
        <v>0</v>
      </c>
      <c r="M119" s="191">
        <f t="shared" si="20"/>
        <v>0</v>
      </c>
      <c r="N119" s="63">
        <v>0.25</v>
      </c>
      <c r="O119" s="167">
        <v>1</v>
      </c>
      <c r="P119" s="297"/>
    </row>
    <row r="120" spans="1:16" s="61" customFormat="1" ht="27">
      <c r="A120" s="1764"/>
      <c r="B120" s="1765"/>
      <c r="C120" s="62" t="s">
        <v>916</v>
      </c>
      <c r="D120" s="175" t="s">
        <v>917</v>
      </c>
      <c r="E120" s="63">
        <v>6</v>
      </c>
      <c r="F120" s="63">
        <v>6</v>
      </c>
      <c r="G120" s="63">
        <f t="shared" si="16"/>
        <v>0.30000000000000004</v>
      </c>
      <c r="H120" s="63"/>
      <c r="I120" s="63">
        <v>6</v>
      </c>
      <c r="J120" s="63">
        <f t="shared" si="17"/>
        <v>0.30000000000000004</v>
      </c>
      <c r="K120" s="63"/>
      <c r="L120" s="191">
        <f t="shared" si="18"/>
        <v>0</v>
      </c>
      <c r="M120" s="191">
        <f t="shared" si="20"/>
        <v>0</v>
      </c>
      <c r="N120" s="63">
        <v>0.30000000000000004</v>
      </c>
      <c r="O120" s="167">
        <v>1</v>
      </c>
      <c r="P120" s="297"/>
    </row>
    <row r="121" spans="1:16" s="61" customFormat="1" ht="27">
      <c r="A121" s="1764"/>
      <c r="B121" s="1765"/>
      <c r="C121" s="62" t="s">
        <v>918</v>
      </c>
      <c r="D121" s="64" t="s">
        <v>919</v>
      </c>
      <c r="E121" s="63">
        <v>4</v>
      </c>
      <c r="F121" s="63">
        <v>4</v>
      </c>
      <c r="G121" s="63">
        <f t="shared" si="16"/>
        <v>0.2</v>
      </c>
      <c r="H121" s="63"/>
      <c r="I121" s="63">
        <v>4</v>
      </c>
      <c r="J121" s="63">
        <f t="shared" si="17"/>
        <v>0.2</v>
      </c>
      <c r="K121" s="63"/>
      <c r="L121" s="191">
        <f t="shared" si="18"/>
        <v>0</v>
      </c>
      <c r="M121" s="191">
        <f t="shared" si="20"/>
        <v>0</v>
      </c>
      <c r="N121" s="63">
        <v>0.2</v>
      </c>
      <c r="O121" s="168">
        <v>1</v>
      </c>
      <c r="P121" s="297"/>
    </row>
    <row r="122" spans="1:16" s="61" customFormat="1" ht="14.25">
      <c r="A122" s="1764"/>
      <c r="B122" s="1765"/>
      <c r="C122" s="62" t="s">
        <v>920</v>
      </c>
      <c r="D122" s="64" t="s">
        <v>921</v>
      </c>
      <c r="E122" s="63">
        <v>10</v>
      </c>
      <c r="F122" s="63">
        <v>10</v>
      </c>
      <c r="G122" s="63">
        <f t="shared" si="16"/>
        <v>0.5</v>
      </c>
      <c r="H122" s="63"/>
      <c r="I122" s="63">
        <v>10</v>
      </c>
      <c r="J122" s="63">
        <f t="shared" si="17"/>
        <v>0.5</v>
      </c>
      <c r="K122" s="63"/>
      <c r="L122" s="191">
        <f t="shared" si="18"/>
        <v>0</v>
      </c>
      <c r="M122" s="191">
        <f t="shared" si="20"/>
        <v>0</v>
      </c>
      <c r="N122" s="63">
        <v>0.5</v>
      </c>
      <c r="O122" s="167">
        <v>1</v>
      </c>
      <c r="P122" s="297"/>
    </row>
    <row r="123" spans="1:16" s="61" customFormat="1" ht="27">
      <c r="A123" s="1764"/>
      <c r="B123" s="1765" t="s">
        <v>922</v>
      </c>
      <c r="C123" s="62" t="s">
        <v>923</v>
      </c>
      <c r="D123" s="175" t="s">
        <v>924</v>
      </c>
      <c r="E123" s="63">
        <v>5</v>
      </c>
      <c r="F123" s="179">
        <v>0</v>
      </c>
      <c r="G123" s="63">
        <f t="shared" si="16"/>
        <v>0</v>
      </c>
      <c r="H123" s="63"/>
      <c r="I123" s="179">
        <v>0</v>
      </c>
      <c r="J123" s="63">
        <f t="shared" si="17"/>
        <v>0</v>
      </c>
      <c r="K123" s="63"/>
      <c r="L123" s="191">
        <f t="shared" si="18"/>
        <v>0</v>
      </c>
      <c r="M123" s="191">
        <f t="shared" si="20"/>
        <v>5</v>
      </c>
      <c r="N123" s="63">
        <v>0.25</v>
      </c>
      <c r="O123" s="167">
        <v>1</v>
      </c>
      <c r="P123" s="297"/>
    </row>
    <row r="124" spans="1:16" s="61" customFormat="1" ht="27">
      <c r="A124" s="1764"/>
      <c r="B124" s="1765"/>
      <c r="C124" s="62" t="s">
        <v>925</v>
      </c>
      <c r="D124" s="64" t="s">
        <v>926</v>
      </c>
      <c r="E124" s="63">
        <v>10</v>
      </c>
      <c r="F124" s="63">
        <v>10</v>
      </c>
      <c r="G124" s="63">
        <f t="shared" si="16"/>
        <v>0.5</v>
      </c>
      <c r="H124" s="63"/>
      <c r="I124" s="63">
        <v>10</v>
      </c>
      <c r="J124" s="63">
        <f t="shared" si="17"/>
        <v>0.5</v>
      </c>
      <c r="K124" s="63"/>
      <c r="L124" s="191">
        <f t="shared" si="18"/>
        <v>0</v>
      </c>
      <c r="M124" s="191">
        <f t="shared" si="20"/>
        <v>0</v>
      </c>
      <c r="N124" s="63">
        <v>0.5</v>
      </c>
      <c r="O124" s="167">
        <v>1</v>
      </c>
      <c r="P124" s="297"/>
    </row>
    <row r="125" spans="1:16" s="61" customFormat="1" ht="14.25">
      <c r="A125" s="1764"/>
      <c r="B125" s="1765"/>
      <c r="C125" s="62" t="s">
        <v>927</v>
      </c>
      <c r="D125" s="64" t="s">
        <v>928</v>
      </c>
      <c r="E125" s="63">
        <v>5</v>
      </c>
      <c r="F125" s="63">
        <v>5</v>
      </c>
      <c r="G125" s="63">
        <f t="shared" si="16"/>
        <v>0.25</v>
      </c>
      <c r="H125" s="63"/>
      <c r="I125" s="63">
        <v>5</v>
      </c>
      <c r="J125" s="63">
        <f t="shared" si="17"/>
        <v>0.25</v>
      </c>
      <c r="K125" s="63"/>
      <c r="L125" s="191">
        <f t="shared" si="18"/>
        <v>0</v>
      </c>
      <c r="M125" s="191">
        <f t="shared" si="20"/>
        <v>0</v>
      </c>
      <c r="N125" s="63">
        <v>0.25</v>
      </c>
      <c r="O125" s="167">
        <v>1</v>
      </c>
      <c r="P125" s="297"/>
    </row>
    <row r="126" spans="1:16" s="61" customFormat="1" ht="40.5">
      <c r="A126" s="1764"/>
      <c r="B126" s="73" t="s">
        <v>929</v>
      </c>
      <c r="C126" s="62" t="s">
        <v>930</v>
      </c>
      <c r="D126" s="64" t="s">
        <v>931</v>
      </c>
      <c r="E126" s="63">
        <v>15</v>
      </c>
      <c r="F126" s="63">
        <v>15</v>
      </c>
      <c r="G126" s="63">
        <f t="shared" si="16"/>
        <v>0.75</v>
      </c>
      <c r="H126" s="63"/>
      <c r="I126" s="63">
        <v>15</v>
      </c>
      <c r="J126" s="63">
        <f t="shared" si="17"/>
        <v>0.75</v>
      </c>
      <c r="K126" s="63"/>
      <c r="L126" s="191">
        <f t="shared" si="18"/>
        <v>0</v>
      </c>
      <c r="M126" s="191">
        <f t="shared" si="20"/>
        <v>0</v>
      </c>
      <c r="N126" s="63">
        <v>0.75</v>
      </c>
      <c r="O126" s="167">
        <v>1</v>
      </c>
      <c r="P126" s="297"/>
    </row>
    <row r="127" spans="1:16" s="61" customFormat="1" ht="14.25">
      <c r="A127" s="1764"/>
      <c r="B127" s="1765" t="s">
        <v>932</v>
      </c>
      <c r="C127" s="62" t="s">
        <v>933</v>
      </c>
      <c r="D127" s="64" t="s">
        <v>934</v>
      </c>
      <c r="E127" s="63">
        <v>2</v>
      </c>
      <c r="F127" s="63">
        <v>2</v>
      </c>
      <c r="G127" s="63">
        <f t="shared" si="16"/>
        <v>0.1</v>
      </c>
      <c r="H127" s="63"/>
      <c r="I127" s="63">
        <v>2</v>
      </c>
      <c r="J127" s="63">
        <f t="shared" si="17"/>
        <v>0.1</v>
      </c>
      <c r="K127" s="63"/>
      <c r="L127" s="191">
        <f t="shared" si="18"/>
        <v>0</v>
      </c>
      <c r="M127" s="191">
        <f t="shared" si="20"/>
        <v>0</v>
      </c>
      <c r="N127" s="63">
        <v>0.1</v>
      </c>
      <c r="O127" s="167">
        <v>1</v>
      </c>
      <c r="P127" s="297"/>
    </row>
    <row r="128" spans="1:16" s="61" customFormat="1" ht="27">
      <c r="A128" s="1764"/>
      <c r="B128" s="1765"/>
      <c r="C128" s="62" t="s">
        <v>935</v>
      </c>
      <c r="D128" s="64" t="s">
        <v>936</v>
      </c>
      <c r="E128" s="63">
        <v>8</v>
      </c>
      <c r="F128" s="63">
        <v>8</v>
      </c>
      <c r="G128" s="63">
        <f t="shared" si="16"/>
        <v>0.4</v>
      </c>
      <c r="H128" s="63"/>
      <c r="I128" s="63">
        <v>8</v>
      </c>
      <c r="J128" s="63">
        <f t="shared" si="17"/>
        <v>0.4</v>
      </c>
      <c r="K128" s="63"/>
      <c r="L128" s="191">
        <f t="shared" si="18"/>
        <v>0</v>
      </c>
      <c r="M128" s="191">
        <f t="shared" si="20"/>
        <v>0</v>
      </c>
      <c r="N128" s="63">
        <v>0.4</v>
      </c>
      <c r="O128" s="167">
        <v>1</v>
      </c>
      <c r="P128" s="297"/>
    </row>
    <row r="129" spans="1:16" s="61" customFormat="1" ht="14.25">
      <c r="A129" s="1764"/>
      <c r="B129" s="1765" t="s">
        <v>937</v>
      </c>
      <c r="C129" s="62" t="s">
        <v>938</v>
      </c>
      <c r="D129" s="64" t="s">
        <v>939</v>
      </c>
      <c r="E129" s="63">
        <v>10</v>
      </c>
      <c r="F129" s="63">
        <v>10</v>
      </c>
      <c r="G129" s="63">
        <f t="shared" si="16"/>
        <v>0.5</v>
      </c>
      <c r="H129" s="63"/>
      <c r="I129" s="63">
        <v>10</v>
      </c>
      <c r="J129" s="63">
        <f t="shared" si="17"/>
        <v>0.5</v>
      </c>
      <c r="K129" s="63"/>
      <c r="L129" s="191">
        <f t="shared" si="18"/>
        <v>0</v>
      </c>
      <c r="M129" s="191">
        <f t="shared" si="20"/>
        <v>0</v>
      </c>
      <c r="N129" s="63">
        <v>0.5</v>
      </c>
      <c r="O129" s="167">
        <v>1</v>
      </c>
      <c r="P129" s="297"/>
    </row>
    <row r="130" spans="1:16" s="61" customFormat="1" ht="14.25">
      <c r="A130" s="1764"/>
      <c r="B130" s="1765"/>
      <c r="C130" s="62" t="s">
        <v>940</v>
      </c>
      <c r="D130" s="64" t="s">
        <v>941</v>
      </c>
      <c r="E130" s="63">
        <v>10</v>
      </c>
      <c r="F130" s="63">
        <v>10</v>
      </c>
      <c r="G130" s="63">
        <f t="shared" si="16"/>
        <v>0.5</v>
      </c>
      <c r="H130" s="63"/>
      <c r="I130" s="63">
        <v>10</v>
      </c>
      <c r="J130" s="63">
        <f t="shared" si="17"/>
        <v>0.5</v>
      </c>
      <c r="K130" s="63"/>
      <c r="L130" s="191">
        <f t="shared" si="18"/>
        <v>0</v>
      </c>
      <c r="M130" s="191">
        <f t="shared" si="20"/>
        <v>0</v>
      </c>
      <c r="N130" s="63">
        <v>0.5</v>
      </c>
      <c r="O130" s="167">
        <v>1</v>
      </c>
      <c r="P130" s="297"/>
    </row>
    <row r="131" spans="1:16" s="61" customFormat="1" ht="27">
      <c r="A131" s="1764"/>
      <c r="B131" s="1765"/>
      <c r="C131" s="62" t="s">
        <v>942</v>
      </c>
      <c r="D131" s="64" t="s">
        <v>943</v>
      </c>
      <c r="E131" s="63">
        <v>10</v>
      </c>
      <c r="F131" s="63">
        <v>10</v>
      </c>
      <c r="G131" s="63">
        <f t="shared" si="16"/>
        <v>0.5</v>
      </c>
      <c r="H131" s="63">
        <f>SUM(F119:F131)*0.05</f>
        <v>4.75</v>
      </c>
      <c r="I131" s="63">
        <v>10</v>
      </c>
      <c r="J131" s="63">
        <f t="shared" si="17"/>
        <v>0.5</v>
      </c>
      <c r="K131" s="63">
        <f>SUM(I119:I131)*0.05</f>
        <v>4.75</v>
      </c>
      <c r="L131" s="191">
        <f>I131-F131</f>
        <v>0</v>
      </c>
      <c r="M131" s="191">
        <f t="shared" si="20"/>
        <v>0</v>
      </c>
      <c r="N131" s="63">
        <v>0.5</v>
      </c>
      <c r="O131" s="167">
        <v>1</v>
      </c>
      <c r="P131" s="297"/>
    </row>
    <row r="132" spans="1:16" ht="27" customHeight="1">
      <c r="A132" s="1765" t="s">
        <v>944</v>
      </c>
      <c r="B132" s="1766" t="s">
        <v>945</v>
      </c>
      <c r="C132" s="1766"/>
      <c r="D132" s="1766"/>
      <c r="E132" s="1766"/>
      <c r="F132" s="74"/>
      <c r="G132" s="74"/>
      <c r="H132" s="74"/>
      <c r="I132" s="174"/>
      <c r="J132" s="74"/>
      <c r="K132" s="74"/>
      <c r="L132" s="176"/>
      <c r="M132" s="176"/>
    </row>
    <row r="133" spans="1:16" ht="27" customHeight="1">
      <c r="A133" s="1765"/>
      <c r="B133" s="1766" t="s">
        <v>946</v>
      </c>
      <c r="C133" s="1766"/>
      <c r="D133" s="1766"/>
      <c r="E133" s="1766"/>
      <c r="F133" s="74"/>
      <c r="G133" s="74"/>
      <c r="H133" s="74"/>
      <c r="I133" s="174"/>
      <c r="J133" s="74"/>
      <c r="K133" s="74"/>
      <c r="L133" s="176"/>
      <c r="M133" s="176"/>
    </row>
    <row r="134" spans="1:16" ht="27" customHeight="1">
      <c r="A134" s="1765"/>
      <c r="B134" s="1766" t="s">
        <v>947</v>
      </c>
      <c r="C134" s="1766"/>
      <c r="D134" s="1766"/>
      <c r="E134" s="1766"/>
      <c r="F134" s="74"/>
      <c r="G134" s="74"/>
      <c r="H134" s="74"/>
      <c r="I134" s="174"/>
      <c r="J134" s="74"/>
      <c r="K134" s="74"/>
      <c r="L134" s="176"/>
      <c r="M134" s="176"/>
    </row>
    <row r="135" spans="1:16" ht="27" customHeight="1">
      <c r="A135" s="1765"/>
      <c r="B135" s="1766" t="s">
        <v>948</v>
      </c>
      <c r="C135" s="1766"/>
      <c r="D135" s="1766"/>
      <c r="E135" s="1766"/>
      <c r="F135" s="74"/>
      <c r="G135" s="74"/>
      <c r="H135" s="74"/>
      <c r="I135" s="174"/>
      <c r="J135" s="74"/>
      <c r="K135" s="74"/>
      <c r="L135" s="176"/>
      <c r="M135" s="176"/>
    </row>
    <row r="136" spans="1:16" ht="13.5">
      <c r="A136" s="1765"/>
      <c r="B136" s="1766" t="s">
        <v>949</v>
      </c>
      <c r="C136" s="1766"/>
      <c r="D136" s="1766"/>
      <c r="E136" s="1766"/>
      <c r="F136" s="74"/>
      <c r="G136" s="74"/>
      <c r="H136" s="74"/>
      <c r="I136" s="174"/>
      <c r="J136" s="74"/>
      <c r="K136" s="74"/>
      <c r="L136" s="176"/>
      <c r="M136" s="176"/>
    </row>
    <row r="137" spans="1:16" ht="13.5">
      <c r="B137" s="246" t="s">
        <v>1594</v>
      </c>
      <c r="F137" s="115"/>
      <c r="G137" s="115" t="s">
        <v>1406</v>
      </c>
      <c r="H137" s="178">
        <f>SUM(H3:H136)</f>
        <v>90.1</v>
      </c>
      <c r="I137" s="115"/>
      <c r="J137" s="115"/>
      <c r="K137" s="245">
        <f>SUM(K3:K136)</f>
        <v>90.3</v>
      </c>
      <c r="N137" s="116"/>
    </row>
    <row r="138" spans="1:16" ht="13.5">
      <c r="B138" s="246" t="s">
        <v>1593</v>
      </c>
      <c r="H138" s="178">
        <f>100-H137</f>
        <v>9.9000000000000057</v>
      </c>
      <c r="K138" s="244">
        <f>100-K137</f>
        <v>9.7000000000000028</v>
      </c>
    </row>
    <row r="139" spans="1:16" ht="13.5">
      <c r="H139" s="178"/>
      <c r="K139" s="178"/>
    </row>
    <row r="140" spans="1:16" ht="13.5">
      <c r="F140" s="177" t="s">
        <v>1394</v>
      </c>
      <c r="H140" s="178">
        <f>SUMPRODUCT(G3:G131,O3:O131)</f>
        <v>90.099999999999937</v>
      </c>
      <c r="K140" s="178">
        <f>SUMPRODUCT(J3:J131,O3:O131)</f>
        <v>90.29999999999994</v>
      </c>
    </row>
    <row r="141" spans="1:16" ht="13.5">
      <c r="F141" s="177" t="s">
        <v>1282</v>
      </c>
      <c r="H141" s="178">
        <f>SUMPRODUCT(N3:N131,O3:O131)</f>
        <v>98.049999999999955</v>
      </c>
      <c r="K141" s="178">
        <f>SUMPRODUCT(N3:N131,O3:O131)</f>
        <v>98.049999999999955</v>
      </c>
    </row>
    <row r="145" spans="1:1" ht="13.5">
      <c r="A145" s="261" t="s">
        <v>1592</v>
      </c>
    </row>
    <row r="146" spans="1:1" ht="13.5">
      <c r="A146" s="270" t="s">
        <v>1636</v>
      </c>
    </row>
  </sheetData>
  <mergeCells count="52">
    <mergeCell ref="B136:E136"/>
    <mergeCell ref="A119:A131"/>
    <mergeCell ref="B119:B122"/>
    <mergeCell ref="B123:B125"/>
    <mergeCell ref="B127:B128"/>
    <mergeCell ref="B129:B131"/>
    <mergeCell ref="A132:A136"/>
    <mergeCell ref="B132:E132"/>
    <mergeCell ref="B133:E133"/>
    <mergeCell ref="B134:E134"/>
    <mergeCell ref="B135:E135"/>
    <mergeCell ref="A96:A104"/>
    <mergeCell ref="B96:B97"/>
    <mergeCell ref="B98:B101"/>
    <mergeCell ref="B102:B104"/>
    <mergeCell ref="A105:A118"/>
    <mergeCell ref="B105:B107"/>
    <mergeCell ref="B108:B115"/>
    <mergeCell ref="B116:B118"/>
    <mergeCell ref="B72:B74"/>
    <mergeCell ref="A76:A95"/>
    <mergeCell ref="B76:B79"/>
    <mergeCell ref="B80:B81"/>
    <mergeCell ref="B82:B84"/>
    <mergeCell ref="B85:B88"/>
    <mergeCell ref="B89:B91"/>
    <mergeCell ref="B92:B95"/>
    <mergeCell ref="A61:A75"/>
    <mergeCell ref="B61:B64"/>
    <mergeCell ref="B65:B66"/>
    <mergeCell ref="B67:B68"/>
    <mergeCell ref="B69:B71"/>
    <mergeCell ref="A44:A60"/>
    <mergeCell ref="B44:B47"/>
    <mergeCell ref="B48:B51"/>
    <mergeCell ref="B52:B56"/>
    <mergeCell ref="B57:B60"/>
    <mergeCell ref="A26:A43"/>
    <mergeCell ref="B26:B27"/>
    <mergeCell ref="B28:B29"/>
    <mergeCell ref="B30:B32"/>
    <mergeCell ref="B33:B34"/>
    <mergeCell ref="B35:B36"/>
    <mergeCell ref="B37:B39"/>
    <mergeCell ref="B41:B42"/>
    <mergeCell ref="A3:A14"/>
    <mergeCell ref="B3:B4"/>
    <mergeCell ref="B5:B9"/>
    <mergeCell ref="B10:B14"/>
    <mergeCell ref="A15:A25"/>
    <mergeCell ref="B16:B20"/>
    <mergeCell ref="B21:B25"/>
  </mergeCells>
  <phoneticPr fontId="3" type="noConversion"/>
  <conditionalFormatting sqref="L3:M131">
    <cfRule type="expression" dxfId="63" priority="13">
      <formula>L3&lt;0</formula>
    </cfRule>
  </conditionalFormatting>
  <conditionalFormatting sqref="L3:M131">
    <cfRule type="cellIs" dxfId="62" priority="11" stopIfTrue="1" operator="lessThan">
      <formula>0</formula>
    </cfRule>
    <cfRule type="cellIs" dxfId="61" priority="12" operator="greaterThan">
      <formula>0</formula>
    </cfRule>
  </conditionalFormatting>
  <hyperlinks>
    <hyperlink ref="A145" location="权重!A1" display="权重!A1"/>
    <hyperlink ref="A146" location="目录!A1" display="目录!A1"/>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M33"/>
  <sheetViews>
    <sheetView workbookViewId="0">
      <pane xSplit="7" ySplit="2" topLeftCell="H24" activePane="bottomRight" state="frozen"/>
      <selection activeCell="A3" sqref="A3:B3"/>
      <selection pane="topRight" activeCell="A3" sqref="A3:B3"/>
      <selection pane="bottomLeft" activeCell="A3" sqref="A3:B3"/>
      <selection pane="bottomRight" activeCell="F32" sqref="F32"/>
    </sheetView>
  </sheetViews>
  <sheetFormatPr defaultColWidth="9" defaultRowHeight="13.5" outlineLevelCol="1"/>
  <cols>
    <col min="1" max="1" width="23.25" customWidth="1" outlineLevel="1"/>
    <col min="2" max="3" width="9" customWidth="1" outlineLevel="1"/>
    <col min="4" max="4" width="22.625" customWidth="1" outlineLevel="1"/>
    <col min="5" max="5" width="10.875" customWidth="1" outlineLevel="1"/>
    <col min="6" max="6" width="9.875" customWidth="1"/>
    <col min="7" max="7" width="13.75" customWidth="1"/>
    <col min="8" max="8" width="10.875" style="14" customWidth="1"/>
    <col min="9" max="9" width="7" customWidth="1"/>
    <col min="10" max="10" width="7" style="1169" customWidth="1"/>
    <col min="11" max="11" width="10.5" style="1169" customWidth="1"/>
    <col min="12" max="12" width="6.125" customWidth="1"/>
  </cols>
  <sheetData>
    <row r="1" spans="1:13" s="14" customFormat="1" ht="31.5" customHeight="1">
      <c r="A1" s="262"/>
      <c r="B1" s="262"/>
      <c r="C1" s="262"/>
      <c r="D1" s="262"/>
      <c r="E1" s="262"/>
      <c r="F1" s="262" t="s">
        <v>1011</v>
      </c>
      <c r="G1" s="262"/>
      <c r="H1" s="262"/>
      <c r="I1" s="262"/>
      <c r="J1" s="1472"/>
      <c r="K1" s="1473"/>
      <c r="L1" s="87"/>
      <c r="M1" s="87"/>
    </row>
    <row r="2" spans="1:13" s="89" customFormat="1" ht="24.75" customHeight="1">
      <c r="A2" s="88" t="s">
        <v>1015</v>
      </c>
      <c r="B2" s="1773" t="s">
        <v>1016</v>
      </c>
      <c r="C2" s="1774"/>
      <c r="D2" s="1774"/>
      <c r="E2" s="1775"/>
      <c r="F2" s="88" t="s">
        <v>1012</v>
      </c>
      <c r="G2" s="88" t="s">
        <v>1013</v>
      </c>
      <c r="H2" s="103" t="s">
        <v>646</v>
      </c>
      <c r="I2" s="88" t="s">
        <v>1014</v>
      </c>
      <c r="J2" s="1474" t="s">
        <v>2464</v>
      </c>
      <c r="K2" s="1474" t="s">
        <v>2188</v>
      </c>
      <c r="L2" s="247"/>
      <c r="M2" s="273" t="s">
        <v>1638</v>
      </c>
    </row>
    <row r="3" spans="1:13" ht="42" customHeight="1">
      <c r="A3" s="79" t="s">
        <v>1019</v>
      </c>
      <c r="B3" s="1770" t="s">
        <v>1020</v>
      </c>
      <c r="C3" s="1771"/>
      <c r="D3" s="1771"/>
      <c r="E3" s="1772"/>
      <c r="F3" s="1776" t="s">
        <v>1017</v>
      </c>
      <c r="G3" s="90" t="s">
        <v>1018</v>
      </c>
      <c r="H3" s="104" t="s">
        <v>1069</v>
      </c>
      <c r="I3" s="119">
        <v>3</v>
      </c>
      <c r="J3" s="1475" t="s">
        <v>2399</v>
      </c>
      <c r="K3" s="1475" t="s">
        <v>1069</v>
      </c>
      <c r="L3" s="248"/>
      <c r="M3" s="272" t="e">
        <f>K3-J3</f>
        <v>#VALUE!</v>
      </c>
    </row>
    <row r="4" spans="1:13" ht="39" customHeight="1">
      <c r="A4" s="93" t="s">
        <v>1022</v>
      </c>
      <c r="B4" s="1763" t="s">
        <v>1023</v>
      </c>
      <c r="C4" s="1779"/>
      <c r="D4" s="1779"/>
      <c r="E4" s="1780"/>
      <c r="F4" s="1777"/>
      <c r="G4" s="91" t="s">
        <v>1021</v>
      </c>
      <c r="H4" s="104" t="s">
        <v>1069</v>
      </c>
      <c r="I4" s="92">
        <v>4</v>
      </c>
      <c r="J4" s="1475" t="s">
        <v>1076</v>
      </c>
      <c r="K4" s="1475" t="s">
        <v>1069</v>
      </c>
      <c r="L4" s="248"/>
      <c r="M4" s="191" t="e">
        <f t="shared" ref="M4:M5" si="0">K4-J4</f>
        <v>#VALUE!</v>
      </c>
    </row>
    <row r="5" spans="1:13" ht="30" customHeight="1">
      <c r="A5" s="93" t="s">
        <v>1025</v>
      </c>
      <c r="B5" s="1680" t="s">
        <v>1026</v>
      </c>
      <c r="C5" s="1781"/>
      <c r="D5" s="1781"/>
      <c r="E5" s="1782"/>
      <c r="F5" s="1777"/>
      <c r="G5" s="1800" t="s">
        <v>1024</v>
      </c>
      <c r="H5" s="1748" t="s">
        <v>1069</v>
      </c>
      <c r="I5" s="1798">
        <v>4</v>
      </c>
      <c r="J5" s="1794" t="s">
        <v>1076</v>
      </c>
      <c r="K5" s="1794" t="s">
        <v>1069</v>
      </c>
      <c r="L5" s="248"/>
      <c r="M5" s="1702" t="e">
        <f t="shared" si="0"/>
        <v>#VALUE!</v>
      </c>
    </row>
    <row r="6" spans="1:13" ht="30" customHeight="1">
      <c r="A6" s="93" t="s">
        <v>1027</v>
      </c>
      <c r="B6" s="1682"/>
      <c r="C6" s="1783"/>
      <c r="D6" s="1783"/>
      <c r="E6" s="1784"/>
      <c r="F6" s="1777"/>
      <c r="G6" s="1801"/>
      <c r="H6" s="1750"/>
      <c r="I6" s="1799"/>
      <c r="J6" s="1794"/>
      <c r="K6" s="1794"/>
      <c r="L6" s="248"/>
      <c r="M6" s="1704"/>
    </row>
    <row r="7" spans="1:13" ht="54" customHeight="1">
      <c r="A7" s="93" t="s">
        <v>1029</v>
      </c>
      <c r="B7" s="1767" t="s">
        <v>1030</v>
      </c>
      <c r="C7" s="1768"/>
      <c r="D7" s="1768"/>
      <c r="E7" s="1769"/>
      <c r="F7" s="1777"/>
      <c r="G7" s="91" t="s">
        <v>1028</v>
      </c>
      <c r="H7" s="105" t="s">
        <v>1070</v>
      </c>
      <c r="I7" s="92">
        <v>4</v>
      </c>
      <c r="J7" s="1476">
        <v>4</v>
      </c>
      <c r="K7" s="1476">
        <v>4</v>
      </c>
      <c r="L7" s="250"/>
      <c r="M7" s="191">
        <f>J7-K7</f>
        <v>0</v>
      </c>
    </row>
    <row r="8" spans="1:13" ht="30" customHeight="1">
      <c r="A8" s="95" t="s">
        <v>1032</v>
      </c>
      <c r="B8" s="1785" t="s">
        <v>1033</v>
      </c>
      <c r="C8" s="1786"/>
      <c r="D8" s="1786"/>
      <c r="E8" s="1787"/>
      <c r="F8" s="1777"/>
      <c r="G8" s="94" t="s">
        <v>1031</v>
      </c>
      <c r="H8" s="105" t="s">
        <v>1070</v>
      </c>
      <c r="I8" s="120">
        <v>2</v>
      </c>
      <c r="J8" s="1476">
        <v>2</v>
      </c>
      <c r="K8" s="1476">
        <v>2</v>
      </c>
      <c r="L8" s="250"/>
      <c r="M8" s="191">
        <f t="shared" ref="M8:M20" si="1">J8-K8</f>
        <v>0</v>
      </c>
    </row>
    <row r="9" spans="1:13" ht="30" customHeight="1">
      <c r="A9" s="95" t="s">
        <v>1035</v>
      </c>
      <c r="B9" s="1788" t="s">
        <v>1036</v>
      </c>
      <c r="C9" s="1789"/>
      <c r="D9" s="1789"/>
      <c r="E9" s="1790"/>
      <c r="F9" s="1777"/>
      <c r="G9" s="1800" t="s">
        <v>1034</v>
      </c>
      <c r="H9" s="1798" t="s">
        <v>229</v>
      </c>
      <c r="I9" s="1798">
        <v>3</v>
      </c>
      <c r="J9" s="1795">
        <v>1</v>
      </c>
      <c r="K9" s="1795">
        <v>1</v>
      </c>
      <c r="L9" s="248"/>
      <c r="M9" s="191">
        <f t="shared" si="1"/>
        <v>0</v>
      </c>
    </row>
    <row r="10" spans="1:13" ht="23.25" customHeight="1">
      <c r="A10" s="80" t="s">
        <v>1037</v>
      </c>
      <c r="B10" s="1791"/>
      <c r="C10" s="1792"/>
      <c r="D10" s="1792"/>
      <c r="E10" s="1793"/>
      <c r="F10" s="1778"/>
      <c r="G10" s="1801"/>
      <c r="H10" s="1799"/>
      <c r="I10" s="1799"/>
      <c r="J10" s="1796"/>
      <c r="K10" s="1796"/>
      <c r="L10" s="248"/>
      <c r="M10" s="191">
        <f t="shared" si="1"/>
        <v>0</v>
      </c>
    </row>
    <row r="11" spans="1:13" s="97" customFormat="1" ht="44.1" customHeight="1">
      <c r="A11" s="324" t="s">
        <v>1040</v>
      </c>
      <c r="B11" s="1770" t="s">
        <v>2190</v>
      </c>
      <c r="C11" s="1771"/>
      <c r="D11" s="1771"/>
      <c r="E11" s="1772"/>
      <c r="F11" s="1776" t="s">
        <v>1038</v>
      </c>
      <c r="G11" s="91" t="s">
        <v>1039</v>
      </c>
      <c r="H11" s="105" t="s">
        <v>1070</v>
      </c>
      <c r="I11" s="96">
        <v>5</v>
      </c>
      <c r="J11" s="1477">
        <v>4</v>
      </c>
      <c r="K11" s="1477">
        <v>4</v>
      </c>
      <c r="L11" s="185"/>
      <c r="M11" s="173">
        <f>J11-K11</f>
        <v>0</v>
      </c>
    </row>
    <row r="12" spans="1:13" s="97" customFormat="1" ht="44.1" customHeight="1">
      <c r="A12" s="80" t="s">
        <v>1042</v>
      </c>
      <c r="B12" s="1770" t="s">
        <v>1043</v>
      </c>
      <c r="C12" s="1771"/>
      <c r="D12" s="1771"/>
      <c r="E12" s="1772"/>
      <c r="F12" s="1777"/>
      <c r="G12" s="91" t="s">
        <v>1041</v>
      </c>
      <c r="H12" s="105" t="s">
        <v>1070</v>
      </c>
      <c r="I12" s="96">
        <v>5</v>
      </c>
      <c r="J12" s="1478">
        <v>5</v>
      </c>
      <c r="K12" s="1478">
        <v>5</v>
      </c>
      <c r="L12" s="249"/>
      <c r="M12" s="191">
        <f>J12-K12</f>
        <v>0</v>
      </c>
    </row>
    <row r="13" spans="1:13" s="97" customFormat="1" ht="44.1" customHeight="1">
      <c r="A13" s="80" t="s">
        <v>1045</v>
      </c>
      <c r="B13" s="1770" t="s">
        <v>1046</v>
      </c>
      <c r="C13" s="1771"/>
      <c r="D13" s="1771"/>
      <c r="E13" s="1772"/>
      <c r="F13" s="1777"/>
      <c r="G13" s="91" t="s">
        <v>1044</v>
      </c>
      <c r="H13" s="105" t="s">
        <v>1070</v>
      </c>
      <c r="I13" s="96">
        <v>5</v>
      </c>
      <c r="J13" s="1477">
        <v>4.5</v>
      </c>
      <c r="K13" s="1478">
        <v>4.5</v>
      </c>
      <c r="L13" s="249"/>
      <c r="M13" s="191">
        <f>J13-K13</f>
        <v>0</v>
      </c>
    </row>
    <row r="14" spans="1:13" s="97" customFormat="1" ht="47.1" customHeight="1">
      <c r="A14" s="80" t="s">
        <v>1048</v>
      </c>
      <c r="B14" s="1770" t="s">
        <v>1049</v>
      </c>
      <c r="C14" s="1771"/>
      <c r="D14" s="1771"/>
      <c r="E14" s="1772"/>
      <c r="F14" s="1777"/>
      <c r="G14" s="98" t="s">
        <v>1047</v>
      </c>
      <c r="H14" s="105" t="s">
        <v>1070</v>
      </c>
      <c r="I14" s="96">
        <v>10</v>
      </c>
      <c r="J14" s="1478">
        <v>10</v>
      </c>
      <c r="K14" s="1478">
        <v>10</v>
      </c>
      <c r="L14" s="249"/>
      <c r="M14" s="191">
        <f>J14-K14</f>
        <v>0</v>
      </c>
    </row>
    <row r="15" spans="1:13" s="97" customFormat="1" ht="47.1" customHeight="1">
      <c r="A15" s="64" t="s">
        <v>1051</v>
      </c>
      <c r="B15" s="1770" t="s">
        <v>2189</v>
      </c>
      <c r="C15" s="1771"/>
      <c r="D15" s="1771"/>
      <c r="E15" s="1772"/>
      <c r="F15" s="1778"/>
      <c r="G15" s="91" t="s">
        <v>1050</v>
      </c>
      <c r="H15" s="105" t="s">
        <v>1070</v>
      </c>
      <c r="I15" s="96">
        <v>5</v>
      </c>
      <c r="J15" s="1477">
        <v>4.5</v>
      </c>
      <c r="K15" s="1477">
        <v>4</v>
      </c>
      <c r="L15" s="249"/>
      <c r="M15" s="191">
        <f>J15-K15</f>
        <v>0.5</v>
      </c>
    </row>
    <row r="16" spans="1:13" ht="84.75" customHeight="1">
      <c r="A16" s="93" t="s">
        <v>1054</v>
      </c>
      <c r="B16" s="1767" t="s">
        <v>1055</v>
      </c>
      <c r="C16" s="1768"/>
      <c r="D16" s="1768"/>
      <c r="E16" s="1769"/>
      <c r="F16" s="1802" t="s">
        <v>1052</v>
      </c>
      <c r="G16" s="99" t="s">
        <v>1053</v>
      </c>
      <c r="H16" s="104" t="s">
        <v>1069</v>
      </c>
      <c r="I16" s="92">
        <v>10</v>
      </c>
      <c r="J16" s="1475" t="s">
        <v>1076</v>
      </c>
      <c r="K16" s="1475" t="s">
        <v>1076</v>
      </c>
      <c r="L16" s="248"/>
      <c r="M16" s="191" t="e">
        <f t="shared" si="1"/>
        <v>#VALUE!</v>
      </c>
    </row>
    <row r="17" spans="1:13" ht="111" customHeight="1">
      <c r="A17" s="93" t="s">
        <v>1057</v>
      </c>
      <c r="B17" s="1767" t="s">
        <v>1058</v>
      </c>
      <c r="C17" s="1768"/>
      <c r="D17" s="1768"/>
      <c r="E17" s="1769"/>
      <c r="F17" s="1803"/>
      <c r="G17" s="106" t="s">
        <v>1056</v>
      </c>
      <c r="H17" s="105" t="s">
        <v>1070</v>
      </c>
      <c r="I17" s="92">
        <v>10</v>
      </c>
      <c r="J17" s="1479">
        <v>10</v>
      </c>
      <c r="K17" s="1479">
        <v>10</v>
      </c>
      <c r="L17" s="250"/>
      <c r="M17" s="191">
        <f t="shared" si="1"/>
        <v>0</v>
      </c>
    </row>
    <row r="18" spans="1:13" ht="109.5" customHeight="1">
      <c r="A18" s="93" t="s">
        <v>1060</v>
      </c>
      <c r="B18" s="1767" t="s">
        <v>1061</v>
      </c>
      <c r="C18" s="1768"/>
      <c r="D18" s="1768"/>
      <c r="E18" s="1769"/>
      <c r="F18" s="1803"/>
      <c r="G18" s="106" t="s">
        <v>1059</v>
      </c>
      <c r="H18" s="105" t="s">
        <v>1070</v>
      </c>
      <c r="I18" s="92">
        <v>20</v>
      </c>
      <c r="J18" s="1479">
        <v>20</v>
      </c>
      <c r="K18" s="1479">
        <v>20</v>
      </c>
      <c r="L18" s="250"/>
      <c r="M18" s="191">
        <f t="shared" si="1"/>
        <v>0</v>
      </c>
    </row>
    <row r="19" spans="1:13" ht="30" customHeight="1">
      <c r="A19" s="93" t="s">
        <v>1063</v>
      </c>
      <c r="B19" s="1767" t="s">
        <v>1064</v>
      </c>
      <c r="C19" s="1768"/>
      <c r="D19" s="1768"/>
      <c r="E19" s="1769"/>
      <c r="F19" s="1803"/>
      <c r="G19" s="99" t="s">
        <v>1062</v>
      </c>
      <c r="H19" s="105" t="s">
        <v>1070</v>
      </c>
      <c r="I19" s="92">
        <v>5</v>
      </c>
      <c r="J19" s="1479">
        <v>5</v>
      </c>
      <c r="K19" s="1479">
        <v>5</v>
      </c>
      <c r="L19" s="250"/>
      <c r="M19" s="191">
        <f t="shared" si="1"/>
        <v>0</v>
      </c>
    </row>
    <row r="20" spans="1:13" ht="31.5" customHeight="1">
      <c r="A20" s="80" t="s">
        <v>1066</v>
      </c>
      <c r="B20" s="1770" t="s">
        <v>1067</v>
      </c>
      <c r="C20" s="1771"/>
      <c r="D20" s="1771"/>
      <c r="E20" s="1772"/>
      <c r="F20" s="1804"/>
      <c r="G20" s="91" t="s">
        <v>1065</v>
      </c>
      <c r="H20" s="105" t="s">
        <v>1070</v>
      </c>
      <c r="I20" s="96">
        <v>5</v>
      </c>
      <c r="J20" s="1479">
        <v>5</v>
      </c>
      <c r="K20" s="1479">
        <v>5</v>
      </c>
      <c r="L20" s="250"/>
      <c r="M20" s="191">
        <f t="shared" si="1"/>
        <v>0</v>
      </c>
    </row>
    <row r="21" spans="1:13">
      <c r="A21" s="107"/>
      <c r="B21" s="107"/>
      <c r="C21" s="107"/>
      <c r="D21" s="107"/>
      <c r="E21" s="107"/>
      <c r="F21" s="1797" t="s">
        <v>408</v>
      </c>
      <c r="G21" s="1797"/>
      <c r="H21" s="85"/>
      <c r="I21" s="108">
        <f>SUM(I3:I20)</f>
        <v>100</v>
      </c>
      <c r="J21" s="1480">
        <f>SUM(J3:J20)</f>
        <v>75</v>
      </c>
      <c r="K21" s="1480">
        <f>SUM(K3:K20)</f>
        <v>74.5</v>
      </c>
      <c r="L21" s="251"/>
    </row>
    <row r="23" spans="1:13">
      <c r="J23" s="1481">
        <f>SUBTOTAL(9,J3:J20)</f>
        <v>75</v>
      </c>
      <c r="K23" s="1481">
        <f>SUBTOTAL(9,K3:K20)</f>
        <v>74.5</v>
      </c>
      <c r="L23" s="110"/>
    </row>
    <row r="24" spans="1:13" ht="14.25">
      <c r="G24" s="192" t="s">
        <v>228</v>
      </c>
      <c r="J24" s="1482">
        <f>J23</f>
        <v>75</v>
      </c>
      <c r="K24" s="1482">
        <v>75.5</v>
      </c>
      <c r="L24" s="109"/>
    </row>
    <row r="25" spans="1:13" ht="14.25">
      <c r="G25" s="192" t="s">
        <v>458</v>
      </c>
      <c r="J25" s="1482">
        <v>0</v>
      </c>
      <c r="K25" s="1482">
        <v>0</v>
      </c>
      <c r="L25" s="109"/>
    </row>
    <row r="26" spans="1:13" ht="14.25">
      <c r="G26" s="192" t="s">
        <v>460</v>
      </c>
      <c r="J26" s="1482">
        <v>21</v>
      </c>
      <c r="K26" s="1482">
        <v>21</v>
      </c>
      <c r="L26" s="109"/>
    </row>
    <row r="27" spans="1:13" ht="14.25">
      <c r="G27" s="192" t="s">
        <v>459</v>
      </c>
      <c r="J27" s="1482">
        <v>0</v>
      </c>
      <c r="K27" s="1482">
        <v>0</v>
      </c>
      <c r="L27" s="109"/>
    </row>
    <row r="28" spans="1:13" ht="14.25">
      <c r="G28" s="192" t="s">
        <v>461</v>
      </c>
      <c r="J28" s="1482">
        <f>100-SUM(J24:J27)</f>
        <v>4</v>
      </c>
      <c r="K28" s="1482">
        <f>100-SUM(K24:K27)</f>
        <v>3.5</v>
      </c>
      <c r="L28" s="109"/>
    </row>
    <row r="32" spans="1:13">
      <c r="F32" s="243" t="s">
        <v>1592</v>
      </c>
    </row>
    <row r="33" spans="6:6">
      <c r="F33" s="270" t="s">
        <v>1636</v>
      </c>
    </row>
  </sheetData>
  <mergeCells count="32">
    <mergeCell ref="M5:M6"/>
    <mergeCell ref="J5:J6"/>
    <mergeCell ref="J9:J10"/>
    <mergeCell ref="F21:G21"/>
    <mergeCell ref="I5:I6"/>
    <mergeCell ref="I9:I10"/>
    <mergeCell ref="H5:H6"/>
    <mergeCell ref="G5:G6"/>
    <mergeCell ref="K5:K6"/>
    <mergeCell ref="H9:H10"/>
    <mergeCell ref="K9:K10"/>
    <mergeCell ref="F16:F20"/>
    <mergeCell ref="G9:G10"/>
    <mergeCell ref="B15:E15"/>
    <mergeCell ref="B2:E2"/>
    <mergeCell ref="F3:F10"/>
    <mergeCell ref="B3:E3"/>
    <mergeCell ref="B4:E4"/>
    <mergeCell ref="B5:E6"/>
    <mergeCell ref="B7:E7"/>
    <mergeCell ref="B8:E8"/>
    <mergeCell ref="B9:E10"/>
    <mergeCell ref="F11:F15"/>
    <mergeCell ref="B11:E11"/>
    <mergeCell ref="B12:E12"/>
    <mergeCell ref="B13:E13"/>
    <mergeCell ref="B14:E14"/>
    <mergeCell ref="B16:E16"/>
    <mergeCell ref="B17:E17"/>
    <mergeCell ref="B18:E18"/>
    <mergeCell ref="B19:E19"/>
    <mergeCell ref="B20:E20"/>
  </mergeCells>
  <phoneticPr fontId="3" type="noConversion"/>
  <conditionalFormatting sqref="M7:M20">
    <cfRule type="expression" dxfId="60" priority="52">
      <formula>M7&lt;0</formula>
    </cfRule>
  </conditionalFormatting>
  <conditionalFormatting sqref="M7:M20">
    <cfRule type="cellIs" dxfId="59" priority="50" stopIfTrue="1" operator="lessThan">
      <formula>0</formula>
    </cfRule>
    <cfRule type="cellIs" dxfId="58" priority="51" operator="greaterThan">
      <formula>0</formula>
    </cfRule>
  </conditionalFormatting>
  <conditionalFormatting sqref="M7:M20">
    <cfRule type="cellIs" dxfId="57" priority="48" operator="lessThan">
      <formula>0</formula>
    </cfRule>
    <cfRule type="cellIs" dxfId="56" priority="49" stopIfTrue="1" operator="greaterThan">
      <formula>0</formula>
    </cfRule>
  </conditionalFormatting>
  <conditionalFormatting sqref="M7:M20">
    <cfRule type="cellIs" dxfId="55" priority="46" operator="lessThan">
      <formula>0</formula>
    </cfRule>
    <cfRule type="cellIs" dxfId="54" priority="47" operator="greaterThan">
      <formula>0</formula>
    </cfRule>
  </conditionalFormatting>
  <conditionalFormatting sqref="M7:M20">
    <cfRule type="cellIs" dxfId="53" priority="44" stopIfTrue="1" operator="lessThan">
      <formula>0</formula>
    </cfRule>
    <cfRule type="cellIs" dxfId="52" priority="45" operator="greaterThan">
      <formula>0</formula>
    </cfRule>
  </conditionalFormatting>
  <conditionalFormatting sqref="M7:M20">
    <cfRule type="cellIs" dxfId="51" priority="42" operator="lessThan">
      <formula>0</formula>
    </cfRule>
    <cfRule type="cellIs" dxfId="50" priority="43" stopIfTrue="1" operator="greaterThan">
      <formula>0</formula>
    </cfRule>
  </conditionalFormatting>
  <conditionalFormatting sqref="M7:M20">
    <cfRule type="cellIs" dxfId="49" priority="40" operator="lessThan">
      <formula>0</formula>
    </cfRule>
    <cfRule type="cellIs" dxfId="48" priority="41" operator="greaterThan">
      <formula>0</formula>
    </cfRule>
  </conditionalFormatting>
  <conditionalFormatting sqref="M17:M20">
    <cfRule type="expression" dxfId="47" priority="39">
      <formula>M17&lt;0</formula>
    </cfRule>
  </conditionalFormatting>
  <conditionalFormatting sqref="M17:M20">
    <cfRule type="cellIs" dxfId="46" priority="37" stopIfTrue="1" operator="lessThan">
      <formula>0</formula>
    </cfRule>
    <cfRule type="cellIs" dxfId="45" priority="38" operator="greaterThan">
      <formula>0</formula>
    </cfRule>
  </conditionalFormatting>
  <conditionalFormatting sqref="M17:M20">
    <cfRule type="cellIs" dxfId="44" priority="35" operator="lessThan">
      <formula>0</formula>
    </cfRule>
    <cfRule type="cellIs" dxfId="43" priority="36" stopIfTrue="1" operator="greaterThan">
      <formula>0</formula>
    </cfRule>
  </conditionalFormatting>
  <conditionalFormatting sqref="M17:M20">
    <cfRule type="cellIs" dxfId="42" priority="33" operator="lessThan">
      <formula>0</formula>
    </cfRule>
    <cfRule type="cellIs" dxfId="41" priority="34" operator="greaterThan">
      <formula>0</formula>
    </cfRule>
  </conditionalFormatting>
  <conditionalFormatting sqref="M17:M20">
    <cfRule type="cellIs" dxfId="40" priority="31" stopIfTrue="1" operator="lessThan">
      <formula>0</formula>
    </cfRule>
    <cfRule type="cellIs" dxfId="39" priority="32" operator="greaterThan">
      <formula>0</formula>
    </cfRule>
  </conditionalFormatting>
  <conditionalFormatting sqref="M17:M20">
    <cfRule type="cellIs" dxfId="38" priority="29" operator="lessThan">
      <formula>0</formula>
    </cfRule>
    <cfRule type="cellIs" dxfId="37" priority="30" stopIfTrue="1" operator="greaterThan">
      <formula>0</formula>
    </cfRule>
  </conditionalFormatting>
  <conditionalFormatting sqref="M17:M20">
    <cfRule type="cellIs" dxfId="36" priority="27" operator="lessThan">
      <formula>0</formula>
    </cfRule>
    <cfRule type="cellIs" dxfId="35" priority="28" operator="greaterThan">
      <formula>0</formula>
    </cfRule>
  </conditionalFormatting>
  <conditionalFormatting sqref="M16">
    <cfRule type="expression" dxfId="34" priority="26">
      <formula>M16&lt;0</formula>
    </cfRule>
  </conditionalFormatting>
  <conditionalFormatting sqref="M16">
    <cfRule type="cellIs" dxfId="33" priority="24" stopIfTrue="1" operator="lessThan">
      <formula>0</formula>
    </cfRule>
    <cfRule type="cellIs" dxfId="32" priority="25" operator="greaterThan">
      <formula>0</formula>
    </cfRule>
  </conditionalFormatting>
  <conditionalFormatting sqref="M16">
    <cfRule type="cellIs" dxfId="31" priority="22" operator="lessThan">
      <formula>0</formula>
    </cfRule>
    <cfRule type="cellIs" dxfId="30" priority="23" stopIfTrue="1" operator="greaterThan">
      <formula>0</formula>
    </cfRule>
  </conditionalFormatting>
  <conditionalFormatting sqref="M16">
    <cfRule type="cellIs" dxfId="29" priority="20" operator="lessThan">
      <formula>0</formula>
    </cfRule>
    <cfRule type="cellIs" dxfId="28" priority="21" operator="greaterThan">
      <formula>0</formula>
    </cfRule>
  </conditionalFormatting>
  <conditionalFormatting sqref="M16">
    <cfRule type="cellIs" dxfId="27" priority="18" stopIfTrue="1" operator="lessThan">
      <formula>0</formula>
    </cfRule>
    <cfRule type="cellIs" dxfId="26" priority="19" operator="greaterThan">
      <formula>0</formula>
    </cfRule>
  </conditionalFormatting>
  <conditionalFormatting sqref="M16">
    <cfRule type="cellIs" dxfId="25" priority="16" operator="lessThan">
      <formula>0</formula>
    </cfRule>
    <cfRule type="cellIs" dxfId="24" priority="17" stopIfTrue="1" operator="greaterThan">
      <formula>0</formula>
    </cfRule>
  </conditionalFormatting>
  <conditionalFormatting sqref="M16">
    <cfRule type="cellIs" dxfId="23" priority="14" operator="lessThan">
      <formula>0</formula>
    </cfRule>
    <cfRule type="cellIs" dxfId="22" priority="15" operator="greaterThan">
      <formula>0</formula>
    </cfRule>
  </conditionalFormatting>
  <conditionalFormatting sqref="M3:M5">
    <cfRule type="expression" dxfId="21" priority="13">
      <formula>M3&lt;0</formula>
    </cfRule>
  </conditionalFormatting>
  <conditionalFormatting sqref="M3:M5">
    <cfRule type="cellIs" dxfId="20" priority="11" stopIfTrue="1" operator="lessThan">
      <formula>0</formula>
    </cfRule>
    <cfRule type="cellIs" dxfId="19" priority="12" operator="greaterThan">
      <formula>0</formula>
    </cfRule>
  </conditionalFormatting>
  <conditionalFormatting sqref="M3:M5">
    <cfRule type="cellIs" dxfId="18" priority="9" operator="lessThan">
      <formula>0</formula>
    </cfRule>
    <cfRule type="cellIs" dxfId="17" priority="10" stopIfTrue="1" operator="greaterThan">
      <formula>0</formula>
    </cfRule>
  </conditionalFormatting>
  <conditionalFormatting sqref="M3:M5">
    <cfRule type="cellIs" dxfId="16" priority="7" operator="lessThan">
      <formula>0</formula>
    </cfRule>
    <cfRule type="cellIs" dxfId="15" priority="8" operator="greaterThan">
      <formula>0</formula>
    </cfRule>
  </conditionalFormatting>
  <conditionalFormatting sqref="M3:M5">
    <cfRule type="cellIs" dxfId="14" priority="5" stopIfTrue="1" operator="lessThan">
      <formula>0</formula>
    </cfRule>
    <cfRule type="cellIs" dxfId="13" priority="6" operator="greaterThan">
      <formula>0</formula>
    </cfRule>
  </conditionalFormatting>
  <conditionalFormatting sqref="M3:M5">
    <cfRule type="cellIs" dxfId="12" priority="3" operator="lessThan">
      <formula>0</formula>
    </cfRule>
    <cfRule type="cellIs" dxfId="11" priority="4" stopIfTrue="1" operator="greaterThan">
      <formula>0</formula>
    </cfRule>
  </conditionalFormatting>
  <conditionalFormatting sqref="M3:M5">
    <cfRule type="cellIs" dxfId="10" priority="1" operator="lessThan">
      <formula>0</formula>
    </cfRule>
    <cfRule type="cellIs" dxfId="9" priority="2" operator="greaterThan">
      <formula>0</formula>
    </cfRule>
  </conditionalFormatting>
  <hyperlinks>
    <hyperlink ref="F32" location="权重!A1" display="权重!A1"/>
    <hyperlink ref="F33" location="目录!A1" display="目录!A1"/>
  </hyperlinks>
  <printOptions horizontalCentered="1"/>
  <pageMargins left="0.43307086614173229" right="0.43307086614173229" top="0.59055118110236227" bottom="0.39370078740157483" header="0.31496062992125984" footer="0.31496062992125984"/>
  <pageSetup paperSize="9" orientation="landscape"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7"/>
  </sheetPr>
  <dimension ref="A1:N47"/>
  <sheetViews>
    <sheetView zoomScaleNormal="100" workbookViewId="0">
      <pane xSplit="2" ySplit="2" topLeftCell="C12" activePane="bottomRight" state="frozen"/>
      <selection activeCell="B3" sqref="B3"/>
      <selection pane="topRight" activeCell="B3" sqref="B3"/>
      <selection pane="bottomLeft" activeCell="B3" sqref="B3"/>
      <selection pane="bottomRight" activeCell="A46" sqref="A46"/>
    </sheetView>
  </sheetViews>
  <sheetFormatPr defaultRowHeight="13.5"/>
  <cols>
    <col min="1" max="2" width="11.5" customWidth="1"/>
    <col min="3" max="3" width="7.75" customWidth="1"/>
    <col min="4" max="4" width="8.625" bestFit="1" customWidth="1"/>
    <col min="5" max="5" width="8.5" customWidth="1"/>
    <col min="6" max="7" width="9.5" bestFit="1" customWidth="1"/>
    <col min="8" max="8" width="8" customWidth="1"/>
    <col min="9" max="9" width="8.875" customWidth="1"/>
    <col min="10" max="10" width="7.75" customWidth="1"/>
    <col min="11" max="11" width="8" bestFit="1" customWidth="1"/>
    <col min="12" max="12" width="25.25" customWidth="1"/>
    <col min="13" max="13" width="41.875" style="37" customWidth="1"/>
    <col min="14" max="14" width="27.25" customWidth="1"/>
  </cols>
  <sheetData>
    <row r="1" spans="1:14" ht="24.75">
      <c r="A1" s="1815" t="s">
        <v>2463</v>
      </c>
      <c r="B1" s="1815"/>
      <c r="C1" s="1815"/>
      <c r="D1" s="1815"/>
      <c r="E1" s="326"/>
      <c r="F1" s="298"/>
      <c r="G1" s="298"/>
      <c r="H1" s="298"/>
      <c r="I1" s="1468"/>
      <c r="J1" s="300"/>
      <c r="K1" s="300"/>
      <c r="L1" s="300"/>
      <c r="M1" s="299"/>
    </row>
    <row r="2" spans="1:14">
      <c r="A2" s="1816" t="s">
        <v>410</v>
      </c>
      <c r="B2" s="1816"/>
      <c r="C2" s="31" t="s">
        <v>411</v>
      </c>
      <c r="D2" s="1373" t="s">
        <v>2435</v>
      </c>
      <c r="E2" s="1373" t="s">
        <v>2379</v>
      </c>
      <c r="F2" s="1373" t="s">
        <v>2436</v>
      </c>
      <c r="G2" s="1373" t="s">
        <v>2437</v>
      </c>
      <c r="H2" s="1373" t="s">
        <v>2438</v>
      </c>
      <c r="I2" s="1373" t="s">
        <v>2380</v>
      </c>
      <c r="J2" s="1373" t="s">
        <v>2439</v>
      </c>
      <c r="K2" s="1373" t="s">
        <v>2081</v>
      </c>
      <c r="L2" s="31" t="s">
        <v>412</v>
      </c>
      <c r="M2" s="31" t="s">
        <v>413</v>
      </c>
    </row>
    <row r="3" spans="1:14">
      <c r="A3" s="1808" t="s">
        <v>414</v>
      </c>
      <c r="B3" s="1809"/>
      <c r="C3" s="82">
        <v>10</v>
      </c>
      <c r="D3" s="121">
        <v>3402</v>
      </c>
      <c r="E3" s="121">
        <v>12821.000000000004</v>
      </c>
      <c r="F3" s="121">
        <v>-126895.5185839998</v>
      </c>
      <c r="G3" s="121">
        <v>134920.519783</v>
      </c>
      <c r="H3" s="40">
        <f>IF(D3&gt;0,$C$3,0)</f>
        <v>10</v>
      </c>
      <c r="I3" s="40">
        <f>IF(E3&gt;0,$C$3,0)</f>
        <v>10</v>
      </c>
      <c r="J3" s="40">
        <f>IF(F3&gt;0,$C$3,0)</f>
        <v>0</v>
      </c>
      <c r="K3" s="40">
        <f>IF(G3&gt;0,$C$3,0)</f>
        <v>10</v>
      </c>
      <c r="L3" s="34" t="s">
        <v>415</v>
      </c>
      <c r="M3" s="35" t="s">
        <v>416</v>
      </c>
    </row>
    <row r="4" spans="1:14">
      <c r="A4" s="1812" t="s">
        <v>417</v>
      </c>
      <c r="B4" s="32" t="s">
        <v>2493</v>
      </c>
      <c r="C4" s="82">
        <v>2</v>
      </c>
      <c r="D4" s="39">
        <v>-34306</v>
      </c>
      <c r="E4" s="39">
        <v>9150.4461782947474</v>
      </c>
      <c r="F4" s="39">
        <v>44120.393604723125</v>
      </c>
      <c r="G4" s="39">
        <v>4151.3732675207866</v>
      </c>
      <c r="H4" s="40">
        <f>IF(D4&gt;0,$C$4,0)</f>
        <v>0</v>
      </c>
      <c r="I4" s="40">
        <f>IF(E4&gt;0,$C$4,0)</f>
        <v>2</v>
      </c>
      <c r="J4" s="40">
        <f>IF(F4&gt;0,$C$4,0)</f>
        <v>2</v>
      </c>
      <c r="K4" s="40">
        <f>IF(G4&gt;0,$C$4,0)</f>
        <v>2</v>
      </c>
      <c r="L4" s="1805" t="s">
        <v>418</v>
      </c>
      <c r="M4" s="1817" t="s">
        <v>2092</v>
      </c>
      <c r="N4" s="36"/>
    </row>
    <row r="5" spans="1:14">
      <c r="A5" s="1813"/>
      <c r="B5" s="32" t="s">
        <v>424</v>
      </c>
      <c r="C5" s="82">
        <v>2</v>
      </c>
      <c r="D5" s="39">
        <v>76437</v>
      </c>
      <c r="E5" s="39">
        <v>73454.141853420995</v>
      </c>
      <c r="F5" s="39">
        <v>75851.484003261518</v>
      </c>
      <c r="G5" s="39">
        <v>115230.28215347065</v>
      </c>
      <c r="H5" s="40">
        <f>IF(D5&gt;0,$C$5,0)</f>
        <v>2</v>
      </c>
      <c r="I5" s="40">
        <f>IF(E5&gt;0,$C$5,0)</f>
        <v>2</v>
      </c>
      <c r="J5" s="40">
        <f>IF(F5&gt;0,$C$5,0)</f>
        <v>2</v>
      </c>
      <c r="K5" s="40">
        <f>IF(G5&gt;0,$C$5,0)</f>
        <v>2</v>
      </c>
      <c r="L5" s="1806"/>
      <c r="M5" s="1818"/>
      <c r="N5" s="36"/>
    </row>
    <row r="6" spans="1:14">
      <c r="A6" s="1813"/>
      <c r="B6" s="32" t="s">
        <v>425</v>
      </c>
      <c r="C6" s="82">
        <v>2</v>
      </c>
      <c r="D6" s="39">
        <v>118043</v>
      </c>
      <c r="E6" s="39">
        <v>74572.405636193755</v>
      </c>
      <c r="F6" s="39">
        <v>65669.676442953729</v>
      </c>
      <c r="G6" s="39">
        <v>74703.812768040923</v>
      </c>
      <c r="H6" s="40">
        <f>IF(D6&gt;0,$C$6,0)</f>
        <v>2</v>
      </c>
      <c r="I6" s="40">
        <f>IF(E6&gt;0,$C$6,0)</f>
        <v>2</v>
      </c>
      <c r="J6" s="40">
        <f>IF(F6&gt;0,$C$6,0)</f>
        <v>2</v>
      </c>
      <c r="K6" s="40">
        <f>IF(G6&gt;0,$C$6,0)</f>
        <v>2</v>
      </c>
      <c r="L6" s="1806"/>
      <c r="M6" s="1818"/>
      <c r="N6" s="36"/>
    </row>
    <row r="7" spans="1:14">
      <c r="A7" s="1813"/>
      <c r="B7" s="32" t="s">
        <v>426</v>
      </c>
      <c r="C7" s="82">
        <v>2</v>
      </c>
      <c r="D7" s="39">
        <v>73308</v>
      </c>
      <c r="E7" s="39">
        <v>117314.35327537669</v>
      </c>
      <c r="F7" s="39">
        <v>74251.052421423068</v>
      </c>
      <c r="G7" s="39">
        <v>63654.328741349294</v>
      </c>
      <c r="H7" s="40">
        <f>IF(D7&gt;0,$C$7,0)</f>
        <v>2</v>
      </c>
      <c r="I7" s="40">
        <f>IF(E7&gt;0,$C$7,0)</f>
        <v>2</v>
      </c>
      <c r="J7" s="40">
        <f>IF(F7&gt;0,$C$7,0)</f>
        <v>2</v>
      </c>
      <c r="K7" s="40">
        <f>IF(G7&gt;0,$C$7,0)</f>
        <v>2</v>
      </c>
      <c r="L7" s="1806"/>
      <c r="M7" s="1818"/>
      <c r="N7" s="36"/>
    </row>
    <row r="8" spans="1:14">
      <c r="A8" s="1813"/>
      <c r="B8" s="32" t="s">
        <v>427</v>
      </c>
      <c r="C8" s="82">
        <v>1</v>
      </c>
      <c r="D8" s="39">
        <v>337249</v>
      </c>
      <c r="E8" s="39">
        <v>337611.85286890873</v>
      </c>
      <c r="F8" s="39">
        <v>297304.98718889034</v>
      </c>
      <c r="G8" s="121">
        <v>248415.72204374679</v>
      </c>
      <c r="H8" s="40">
        <f>IF(D8&gt;0,$C$8,0)</f>
        <v>1</v>
      </c>
      <c r="I8" s="40">
        <f>IF(E8&gt;0,$C$8,0)</f>
        <v>1</v>
      </c>
      <c r="J8" s="40">
        <f>IF(F8&gt;0,$C$8,0)</f>
        <v>1</v>
      </c>
      <c r="K8" s="40">
        <f>IF(G8&gt;0,$C$8,0)</f>
        <v>1</v>
      </c>
      <c r="L8" s="1806"/>
      <c r="M8" s="1818"/>
      <c r="N8" s="36"/>
    </row>
    <row r="9" spans="1:14">
      <c r="A9" s="1814"/>
      <c r="B9" s="32" t="s">
        <v>428</v>
      </c>
      <c r="C9" s="82">
        <v>1</v>
      </c>
      <c r="D9" s="39">
        <v>380694</v>
      </c>
      <c r="E9" s="39">
        <v>381272.41879056895</v>
      </c>
      <c r="F9" s="39">
        <v>361079.31428025133</v>
      </c>
      <c r="G9" s="121">
        <v>353339.09253268526</v>
      </c>
      <c r="H9" s="40">
        <f>IF(D9&gt;0,$C$9,0)</f>
        <v>1</v>
      </c>
      <c r="I9" s="40">
        <f>IF(E9&gt;0,$C$9,0)</f>
        <v>1</v>
      </c>
      <c r="J9" s="40">
        <f>IF(F9&gt;0,$C$9,0)</f>
        <v>1</v>
      </c>
      <c r="K9" s="40">
        <f>IF(G9&gt;0,$C$9,0)</f>
        <v>1</v>
      </c>
      <c r="L9" s="1807"/>
      <c r="M9" s="1819"/>
      <c r="N9" s="36"/>
    </row>
    <row r="10" spans="1:14">
      <c r="A10" s="1812" t="s">
        <v>429</v>
      </c>
      <c r="B10" s="32" t="s">
        <v>423</v>
      </c>
      <c r="C10" s="82">
        <v>1</v>
      </c>
      <c r="D10" s="39">
        <v>-67203</v>
      </c>
      <c r="E10" s="39">
        <v>-19923.616503487399</v>
      </c>
      <c r="F10" s="39">
        <v>13315.7291503007</v>
      </c>
      <c r="G10" s="39">
        <v>-25215.841755034489</v>
      </c>
      <c r="H10" s="40">
        <f>IF(D10&gt;0,$C$10,0)</f>
        <v>0</v>
      </c>
      <c r="I10" s="40">
        <f>IF(E10&gt;0,$C$10,0)</f>
        <v>0</v>
      </c>
      <c r="J10" s="40">
        <f>IF(F10&gt;0,$C$10,0)</f>
        <v>1</v>
      </c>
      <c r="K10" s="40">
        <f>IF(G10&gt;0,$C$10,0)</f>
        <v>0</v>
      </c>
      <c r="L10" s="1805" t="s">
        <v>419</v>
      </c>
      <c r="M10" s="1817" t="s">
        <v>420</v>
      </c>
    </row>
    <row r="11" spans="1:14">
      <c r="A11" s="1813"/>
      <c r="B11" s="32" t="s">
        <v>424</v>
      </c>
      <c r="C11" s="82">
        <v>1</v>
      </c>
      <c r="D11" s="39">
        <v>36929</v>
      </c>
      <c r="E11" s="39">
        <v>41630.938251476335</v>
      </c>
      <c r="F11" s="39">
        <v>47675.817019053604</v>
      </c>
      <c r="G11" s="39">
        <v>84963.795514332422</v>
      </c>
      <c r="H11" s="40">
        <f>IF(D11&gt;0,$C$11,0)</f>
        <v>1</v>
      </c>
      <c r="I11" s="40">
        <f>IF(E11&gt;0,$C$11,0)</f>
        <v>1</v>
      </c>
      <c r="J11" s="40">
        <f>IF(F11&gt;0,$C$11,0)</f>
        <v>1</v>
      </c>
      <c r="K11" s="40">
        <f>IF(G11&gt;0,$C$11,0)</f>
        <v>1</v>
      </c>
      <c r="L11" s="1806"/>
      <c r="M11" s="1818"/>
    </row>
    <row r="12" spans="1:14">
      <c r="A12" s="1813"/>
      <c r="B12" s="32" t="s">
        <v>425</v>
      </c>
      <c r="C12" s="82">
        <v>1</v>
      </c>
      <c r="D12" s="39">
        <v>82110</v>
      </c>
      <c r="E12" s="39">
        <v>37388.058299835684</v>
      </c>
      <c r="F12" s="39">
        <v>35644.749341452756</v>
      </c>
      <c r="G12" s="39">
        <v>48330.142865501111</v>
      </c>
      <c r="H12" s="40">
        <f>IF(D12&gt;0,$C$12,0)</f>
        <v>1</v>
      </c>
      <c r="I12" s="40">
        <f>IF(E12&gt;0,$C$12,0)</f>
        <v>1</v>
      </c>
      <c r="J12" s="40">
        <f>IF(F12&gt;0,$C$12,0)</f>
        <v>1</v>
      </c>
      <c r="K12" s="40">
        <f>IF(G12&gt;0,$C$12,0)</f>
        <v>1</v>
      </c>
      <c r="L12" s="1806"/>
      <c r="M12" s="1818"/>
    </row>
    <row r="13" spans="1:14">
      <c r="A13" s="1813"/>
      <c r="B13" s="32" t="s">
        <v>426</v>
      </c>
      <c r="C13" s="82">
        <v>1</v>
      </c>
      <c r="D13" s="39">
        <v>40580</v>
      </c>
      <c r="E13" s="39">
        <v>83715.826897146588</v>
      </c>
      <c r="F13" s="39">
        <v>38940.884801265063</v>
      </c>
      <c r="G13" s="39">
        <v>36349.858466459518</v>
      </c>
      <c r="H13" s="40">
        <f>IF(D13&gt;0,$C$13,0)</f>
        <v>1</v>
      </c>
      <c r="I13" s="40">
        <f>IF(E13&gt;0,$C$13,0)</f>
        <v>1</v>
      </c>
      <c r="J13" s="40">
        <f>IF(F13&gt;0,$C$13,0)</f>
        <v>1</v>
      </c>
      <c r="K13" s="40">
        <f>IF(G13&gt;0,$C$13,0)</f>
        <v>1</v>
      </c>
      <c r="L13" s="1806"/>
      <c r="M13" s="1818"/>
    </row>
    <row r="14" spans="1:14">
      <c r="A14" s="1813"/>
      <c r="B14" s="32" t="s">
        <v>427</v>
      </c>
      <c r="C14" s="82">
        <v>0.5</v>
      </c>
      <c r="D14" s="39">
        <v>182749</v>
      </c>
      <c r="E14" s="39">
        <v>177161.51836294751</v>
      </c>
      <c r="F14" s="39">
        <v>127043.40836695876</v>
      </c>
      <c r="G14" s="39">
        <v>68950.552354985091</v>
      </c>
      <c r="H14" s="40">
        <f>IF(D14&gt;0,$C$14,0)</f>
        <v>0.5</v>
      </c>
      <c r="I14" s="40">
        <f>IF(E14&gt;0,$C$14,0)</f>
        <v>0.5</v>
      </c>
      <c r="J14" s="40">
        <f>IF(F14&gt;0,$C$14,0)</f>
        <v>0.5</v>
      </c>
      <c r="K14" s="40">
        <f>IF(G14&gt;0,$C$14,0)</f>
        <v>0.5</v>
      </c>
      <c r="L14" s="1806"/>
      <c r="M14" s="1818"/>
    </row>
    <row r="15" spans="1:14">
      <c r="A15" s="1814"/>
      <c r="B15" s="32" t="s">
        <v>428</v>
      </c>
      <c r="C15" s="82">
        <v>0.5</v>
      </c>
      <c r="D15" s="39">
        <v>113281</v>
      </c>
      <c r="E15" s="39">
        <v>105748.0138119161</v>
      </c>
      <c r="F15" s="39">
        <v>74439.519376250712</v>
      </c>
      <c r="G15" s="39">
        <v>56502.774983636227</v>
      </c>
      <c r="H15" s="40">
        <f>IF(D15&gt;0,$C$15,0)</f>
        <v>0.5</v>
      </c>
      <c r="I15" s="40">
        <f>IF(E15&gt;0,$C$15,0)</f>
        <v>0.5</v>
      </c>
      <c r="J15" s="40">
        <f>IF(F15&gt;0,$C$15,0)</f>
        <v>0.5</v>
      </c>
      <c r="K15" s="40">
        <f>IF(G15&gt;0,$C$15,0)</f>
        <v>0.5</v>
      </c>
      <c r="L15" s="1806"/>
      <c r="M15" s="1818"/>
    </row>
    <row r="16" spans="1:14">
      <c r="A16" s="1812" t="s">
        <v>447</v>
      </c>
      <c r="B16" s="32" t="s">
        <v>423</v>
      </c>
      <c r="C16" s="82">
        <v>1</v>
      </c>
      <c r="D16" s="39">
        <v>-47792</v>
      </c>
      <c r="E16" s="39">
        <v>-6097.3264574837813</v>
      </c>
      <c r="F16" s="39">
        <v>28212.174401320619</v>
      </c>
      <c r="G16" s="39">
        <v>-8111.9801912976109</v>
      </c>
      <c r="H16" s="40">
        <f>IF(D16&gt;0,$C$16,0)</f>
        <v>0</v>
      </c>
      <c r="I16" s="40">
        <f>IF(E16&gt;0,$C$16,0)</f>
        <v>0</v>
      </c>
      <c r="J16" s="40">
        <f>IF(F16&gt;0,$C$16,0)</f>
        <v>1</v>
      </c>
      <c r="K16" s="40">
        <f>IF(G16&gt;0,$C$16,0)</f>
        <v>0</v>
      </c>
      <c r="L16" s="1806"/>
      <c r="M16" s="1818"/>
    </row>
    <row r="17" spans="1:13">
      <c r="A17" s="1813"/>
      <c r="B17" s="32" t="s">
        <v>424</v>
      </c>
      <c r="C17" s="82">
        <v>1</v>
      </c>
      <c r="D17" s="39">
        <v>67932</v>
      </c>
      <c r="E17" s="39">
        <v>61271.659646218657</v>
      </c>
      <c r="F17" s="39">
        <v>65961.291351859021</v>
      </c>
      <c r="G17" s="39">
        <v>99440.974426620349</v>
      </c>
      <c r="H17" s="40">
        <f>IF(D17&gt;0,$C$17,0)</f>
        <v>1</v>
      </c>
      <c r="I17" s="40">
        <f>IF(E17&gt;0,$C$17,0)</f>
        <v>1</v>
      </c>
      <c r="J17" s="40">
        <f>IF(F17&gt;0,$C$17,0)</f>
        <v>1</v>
      </c>
      <c r="K17" s="40">
        <f>IF(G17&gt;0,$C$17,0)</f>
        <v>1</v>
      </c>
      <c r="L17" s="1806"/>
      <c r="M17" s="1818"/>
    </row>
    <row r="18" spans="1:13">
      <c r="A18" s="1813"/>
      <c r="B18" s="32" t="s">
        <v>425</v>
      </c>
      <c r="C18" s="82">
        <v>1</v>
      </c>
      <c r="D18" s="39">
        <v>103187</v>
      </c>
      <c r="E18" s="39">
        <v>66288.826346610935</v>
      </c>
      <c r="F18" s="39">
        <v>55058.124501551232</v>
      </c>
      <c r="G18" s="39">
        <v>64878.44510019062</v>
      </c>
      <c r="H18" s="40">
        <f>IF(D18&gt;0,$C$18,0)</f>
        <v>1</v>
      </c>
      <c r="I18" s="40">
        <f>IF(E18&gt;0,$C$18,0)</f>
        <v>1</v>
      </c>
      <c r="J18" s="40">
        <f>IF(F18&gt;0,$C$18,0)</f>
        <v>1</v>
      </c>
      <c r="K18" s="40">
        <f>IF(G18&gt;0,$C$18,0)</f>
        <v>1</v>
      </c>
      <c r="L18" s="1806"/>
      <c r="M18" s="1818"/>
    </row>
    <row r="19" spans="1:13">
      <c r="A19" s="1813"/>
      <c r="B19" s="32" t="s">
        <v>426</v>
      </c>
      <c r="C19" s="82">
        <v>1</v>
      </c>
      <c r="D19" s="39">
        <v>65011</v>
      </c>
      <c r="E19" s="39">
        <v>102846.06606310132</v>
      </c>
      <c r="F19" s="39">
        <v>66289.86628127248</v>
      </c>
      <c r="G19" s="39">
        <v>53161.810640498996</v>
      </c>
      <c r="H19" s="40">
        <f>IF(D19&gt;0,$C$19,0)</f>
        <v>1</v>
      </c>
      <c r="I19" s="40">
        <f>IF(E19&gt;0,$C$19,0)</f>
        <v>1</v>
      </c>
      <c r="J19" s="40">
        <f>IF(F19&gt;0,$C$19,0)</f>
        <v>1</v>
      </c>
      <c r="K19" s="40">
        <f>IF(G19&gt;0,$C$19,0)</f>
        <v>1</v>
      </c>
      <c r="L19" s="1806"/>
      <c r="M19" s="1818"/>
    </row>
    <row r="20" spans="1:13">
      <c r="A20" s="1813"/>
      <c r="B20" s="32" t="s">
        <v>427</v>
      </c>
      <c r="C20" s="82">
        <v>0.5</v>
      </c>
      <c r="D20" s="39">
        <v>299112</v>
      </c>
      <c r="E20" s="39">
        <v>299751.27571980376</v>
      </c>
      <c r="F20" s="39">
        <v>267976.63725253224</v>
      </c>
      <c r="G20" s="39">
        <v>227919.02247234559</v>
      </c>
      <c r="H20" s="40">
        <f>IF(D20&gt;0,$C$20,0)</f>
        <v>0.5</v>
      </c>
      <c r="I20" s="40">
        <f>IF(E20&gt;0,$C$20,0)</f>
        <v>0.5</v>
      </c>
      <c r="J20" s="40">
        <f>IF(F20&gt;0,$C$20,0)</f>
        <v>0.5</v>
      </c>
      <c r="K20" s="40">
        <f>IF(G20&gt;0,$C$20,0)</f>
        <v>0.5</v>
      </c>
      <c r="L20" s="1806"/>
      <c r="M20" s="1818"/>
    </row>
    <row r="21" spans="1:13">
      <c r="A21" s="1814"/>
      <c r="B21" s="32" t="s">
        <v>428</v>
      </c>
      <c r="C21" s="82">
        <v>0.5</v>
      </c>
      <c r="D21" s="39">
        <v>354446</v>
      </c>
      <c r="E21" s="39">
        <v>355772.78560513351</v>
      </c>
      <c r="F21" s="39">
        <v>340562.98266868736</v>
      </c>
      <c r="G21" s="39">
        <v>334116.97390128404</v>
      </c>
      <c r="H21" s="40">
        <f>IF(D21&gt;0,$C$21,0)</f>
        <v>0.5</v>
      </c>
      <c r="I21" s="40">
        <f>IF(E21&gt;0,$C$21,0)</f>
        <v>0.5</v>
      </c>
      <c r="J21" s="40">
        <f>IF(F21&gt;0,$C$21,0)</f>
        <v>0.5</v>
      </c>
      <c r="K21" s="40">
        <f>IF(G21&gt;0,$C$21,0)</f>
        <v>0.5</v>
      </c>
      <c r="L21" s="1807"/>
      <c r="M21" s="1819"/>
    </row>
    <row r="22" spans="1:13">
      <c r="A22" s="1812" t="s">
        <v>421</v>
      </c>
      <c r="B22" s="32" t="s">
        <v>430</v>
      </c>
      <c r="C22" s="82">
        <v>6</v>
      </c>
      <c r="D22" s="126">
        <v>1.9608000000000001</v>
      </c>
      <c r="E22" s="126">
        <v>3.3976145416810706</v>
      </c>
      <c r="F22" s="126">
        <v>7.5736407144417139</v>
      </c>
      <c r="G22" s="126">
        <v>3.3500164194963071</v>
      </c>
      <c r="H22" s="40">
        <f>IF(D22&gt;1,$C$22,0)</f>
        <v>6</v>
      </c>
      <c r="I22" s="40">
        <f>IF(E22&gt;1,$C$22,0)</f>
        <v>6</v>
      </c>
      <c r="J22" s="40">
        <f>IF(F22&gt;1,$C$22,0)</f>
        <v>6</v>
      </c>
      <c r="K22" s="40">
        <f>IF(G22&gt;1,$C$22,0)</f>
        <v>6</v>
      </c>
      <c r="L22" s="1805" t="s">
        <v>422</v>
      </c>
      <c r="M22" s="1805" t="s">
        <v>1991</v>
      </c>
    </row>
    <row r="23" spans="1:13">
      <c r="A23" s="1813"/>
      <c r="B23" s="32" t="s">
        <v>431</v>
      </c>
      <c r="C23" s="82">
        <v>6</v>
      </c>
      <c r="D23" s="126">
        <v>13.6807</v>
      </c>
      <c r="E23" s="126">
        <v>47.132872188166488</v>
      </c>
      <c r="F23" s="126">
        <v>-55.201434752652212</v>
      </c>
      <c r="G23" s="126">
        <v>131.78153681612324</v>
      </c>
      <c r="H23" s="40">
        <v>6</v>
      </c>
      <c r="I23" s="40">
        <v>6</v>
      </c>
      <c r="J23" s="40">
        <f>IF(F23&gt;1,$C$23,0)</f>
        <v>0</v>
      </c>
      <c r="K23" s="40">
        <f>IF(G23&gt;1,$C$23,0)</f>
        <v>6</v>
      </c>
      <c r="L23" s="1806"/>
      <c r="M23" s="1806"/>
    </row>
    <row r="24" spans="1:13">
      <c r="A24" s="1813"/>
      <c r="B24" s="32" t="s">
        <v>438</v>
      </c>
      <c r="C24" s="82">
        <v>6</v>
      </c>
      <c r="D24" s="126">
        <v>-1.8998999999999999</v>
      </c>
      <c r="E24" s="126">
        <v>-1.7314288622891747</v>
      </c>
      <c r="F24" s="126">
        <v>-1.4262586867230063</v>
      </c>
      <c r="G24" s="126">
        <v>-1.5095299175651344</v>
      </c>
      <c r="H24" s="41">
        <v>6</v>
      </c>
      <c r="I24" s="41">
        <v>6</v>
      </c>
      <c r="J24" s="41">
        <v>6</v>
      </c>
      <c r="K24" s="41">
        <v>6</v>
      </c>
      <c r="L24" s="1806"/>
      <c r="M24" s="1806"/>
    </row>
    <row r="25" spans="1:13">
      <c r="A25" s="1813"/>
      <c r="B25" s="32" t="s">
        <v>439</v>
      </c>
      <c r="C25" s="82">
        <v>6</v>
      </c>
      <c r="D25" s="126">
        <v>-5.2619999999999996</v>
      </c>
      <c r="E25" s="126">
        <v>-4.5383184676880255</v>
      </c>
      <c r="F25" s="126">
        <v>-3.560206989602607</v>
      </c>
      <c r="G25" s="126">
        <v>-3.1166022711341097</v>
      </c>
      <c r="H25" s="41">
        <v>6</v>
      </c>
      <c r="I25" s="41">
        <v>6</v>
      </c>
      <c r="J25" s="41">
        <v>6</v>
      </c>
      <c r="K25" s="41">
        <v>6</v>
      </c>
      <c r="L25" s="1806"/>
      <c r="M25" s="1806"/>
    </row>
    <row r="26" spans="1:13">
      <c r="A26" s="1814"/>
      <c r="B26" s="32" t="s">
        <v>440</v>
      </c>
      <c r="C26" s="82">
        <v>6</v>
      </c>
      <c r="D26" s="126">
        <v>0.20899999999999999</v>
      </c>
      <c r="E26" s="126">
        <v>0.1801026937497191</v>
      </c>
      <c r="F26" s="126">
        <v>0.16362567300399733</v>
      </c>
      <c r="G26" s="126">
        <v>0.16131043464132258</v>
      </c>
      <c r="H26" s="40">
        <f>IF(D26&gt;1,$C$23,0)</f>
        <v>0</v>
      </c>
      <c r="I26" s="40">
        <f>IF(E26&gt;1,$C$23,0)</f>
        <v>0</v>
      </c>
      <c r="J26" s="40">
        <f>IF(F26&gt;1,$C$23,0)</f>
        <v>0</v>
      </c>
      <c r="K26" s="40">
        <f>IF(G26&gt;1,$C$23,0)</f>
        <v>0</v>
      </c>
      <c r="L26" s="1807"/>
      <c r="M26" s="1807"/>
    </row>
    <row r="27" spans="1:13">
      <c r="A27" s="1810" t="s">
        <v>443</v>
      </c>
      <c r="B27" s="38" t="s">
        <v>442</v>
      </c>
      <c r="C27" s="82">
        <v>7.5</v>
      </c>
      <c r="D27" s="122">
        <v>11.75</v>
      </c>
      <c r="E27" s="122">
        <v>18.439546136780155</v>
      </c>
      <c r="F27" s="122">
        <v>21.020188483257819</v>
      </c>
      <c r="G27" s="122">
        <v>22.340032836622143</v>
      </c>
      <c r="H27" s="33">
        <v>7.5</v>
      </c>
      <c r="I27" s="33">
        <v>7.5</v>
      </c>
      <c r="J27" s="33">
        <v>7.5</v>
      </c>
      <c r="K27" s="33">
        <v>7.5</v>
      </c>
      <c r="L27" s="1805" t="s">
        <v>441</v>
      </c>
      <c r="M27" s="1805" t="s">
        <v>453</v>
      </c>
    </row>
    <row r="28" spans="1:13">
      <c r="A28" s="1811"/>
      <c r="B28" s="38" t="s">
        <v>444</v>
      </c>
      <c r="C28" s="82">
        <v>7.5</v>
      </c>
      <c r="D28" s="122">
        <v>4.72</v>
      </c>
      <c r="E28" s="122">
        <v>4.4167020396913399</v>
      </c>
      <c r="F28" s="122">
        <v>3.6106097279975304</v>
      </c>
      <c r="G28" s="122">
        <v>4.729595080464712</v>
      </c>
      <c r="H28" s="33">
        <v>7.5</v>
      </c>
      <c r="I28" s="33">
        <v>7.5</v>
      </c>
      <c r="J28" s="33">
        <v>7.5</v>
      </c>
      <c r="K28" s="33">
        <v>7.5</v>
      </c>
      <c r="L28" s="1806"/>
      <c r="M28" s="1806"/>
    </row>
    <row r="29" spans="1:13">
      <c r="A29" s="1810" t="s">
        <v>445</v>
      </c>
      <c r="B29" s="38" t="s">
        <v>442</v>
      </c>
      <c r="C29" s="82">
        <v>7.5</v>
      </c>
      <c r="D29" s="122">
        <v>15.97</v>
      </c>
      <c r="E29" s="122">
        <v>17.767971474986346</v>
      </c>
      <c r="F29" s="122">
        <v>20.225630808506406</v>
      </c>
      <c r="G29" s="122">
        <v>21.58552136353909</v>
      </c>
      <c r="H29" s="33">
        <v>7.5</v>
      </c>
      <c r="I29" s="33">
        <v>7.5</v>
      </c>
      <c r="J29" s="33">
        <v>7.5</v>
      </c>
      <c r="K29" s="33">
        <v>7.5</v>
      </c>
      <c r="L29" s="1806"/>
      <c r="M29" s="1806"/>
    </row>
    <row r="30" spans="1:13">
      <c r="A30" s="1811"/>
      <c r="B30" s="38" t="s">
        <v>444</v>
      </c>
      <c r="C30" s="82">
        <v>7.5</v>
      </c>
      <c r="D30" s="122">
        <v>11.8</v>
      </c>
      <c r="E30" s="122">
        <v>8.9199650880456591</v>
      </c>
      <c r="F30" s="122">
        <v>7.4071907995145363</v>
      </c>
      <c r="G30" s="122">
        <v>11.93464734054224</v>
      </c>
      <c r="H30" s="33">
        <v>7.5</v>
      </c>
      <c r="I30" s="33">
        <v>7.5</v>
      </c>
      <c r="J30" s="33">
        <v>7.5</v>
      </c>
      <c r="K30" s="33">
        <v>7.5</v>
      </c>
      <c r="L30" s="1807"/>
      <c r="M30" s="1807"/>
    </row>
    <row r="31" spans="1:13">
      <c r="A31" s="43" t="s">
        <v>454</v>
      </c>
      <c r="B31" s="42"/>
      <c r="C31" s="42"/>
      <c r="D31" s="42"/>
      <c r="E31" s="42"/>
      <c r="F31" s="42"/>
      <c r="G31" s="42"/>
      <c r="H31" s="44">
        <f>SUM(H3:H30)</f>
        <v>80</v>
      </c>
      <c r="I31" s="44">
        <f>SUM(I3:I30)</f>
        <v>82</v>
      </c>
      <c r="J31" s="44">
        <f>SUM(J3:J30)</f>
        <v>68</v>
      </c>
      <c r="K31" s="44">
        <f>SUM(K3:K30)</f>
        <v>82</v>
      </c>
    </row>
    <row r="32" spans="1:13">
      <c r="A32" s="43" t="s">
        <v>455</v>
      </c>
      <c r="B32" s="42"/>
      <c r="C32" s="42"/>
      <c r="D32" s="42"/>
      <c r="E32" s="42"/>
      <c r="F32" s="42"/>
      <c r="G32" s="42"/>
      <c r="H32" s="44">
        <f>90-H31</f>
        <v>10</v>
      </c>
      <c r="I32" s="44">
        <f>90-I31</f>
        <v>8</v>
      </c>
      <c r="J32" s="44">
        <f>90-J31</f>
        <v>22</v>
      </c>
      <c r="K32" s="44">
        <f>90-K31</f>
        <v>8</v>
      </c>
    </row>
    <row r="33" spans="1:12">
      <c r="A33" s="43" t="s">
        <v>456</v>
      </c>
      <c r="B33" s="42"/>
      <c r="C33" s="42"/>
      <c r="D33" s="42"/>
      <c r="E33" s="42"/>
      <c r="F33" s="42"/>
      <c r="G33" s="42"/>
      <c r="H33" s="44">
        <f>H31/90*100</f>
        <v>88.888888888888886</v>
      </c>
      <c r="I33" s="44">
        <f>I31/90*100</f>
        <v>91.111111111111114</v>
      </c>
      <c r="J33" s="44">
        <f>J31/90*100</f>
        <v>75.555555555555557</v>
      </c>
      <c r="K33" s="44">
        <f>K31/90*100</f>
        <v>91.111111111111114</v>
      </c>
    </row>
    <row r="34" spans="1:12">
      <c r="A34" s="43" t="s">
        <v>457</v>
      </c>
      <c r="B34" s="42"/>
      <c r="C34" s="42"/>
      <c r="D34" s="42"/>
      <c r="E34" s="42"/>
      <c r="F34" s="42"/>
      <c r="G34" s="42"/>
      <c r="H34" s="44">
        <f>-H32/90*100*0.25</f>
        <v>-2.7777777777777777</v>
      </c>
      <c r="I34" s="44">
        <f>-I32/90*100*0.25</f>
        <v>-2.2222222222222223</v>
      </c>
      <c r="J34" s="44">
        <f>-J32/90*100*0.25</f>
        <v>-6.1111111111111107</v>
      </c>
      <c r="K34" s="44">
        <f>-K32/90*100*0.25</f>
        <v>-2.2222222222222223</v>
      </c>
    </row>
    <row r="36" spans="1:12" ht="14.25">
      <c r="A36" s="7" t="s">
        <v>228</v>
      </c>
      <c r="H36" s="45">
        <f>H33</f>
        <v>88.888888888888886</v>
      </c>
      <c r="I36" s="45">
        <f>I33</f>
        <v>91.111111111111114</v>
      </c>
      <c r="J36" s="45">
        <f>J33</f>
        <v>75.555555555555557</v>
      </c>
      <c r="K36" s="45">
        <f>K33</f>
        <v>91.111111111111114</v>
      </c>
      <c r="L36" s="47"/>
    </row>
    <row r="37" spans="1:12" ht="14.25">
      <c r="A37" s="7" t="s">
        <v>458</v>
      </c>
      <c r="H37" s="45">
        <v>0</v>
      </c>
      <c r="I37" s="45">
        <v>0</v>
      </c>
      <c r="J37" s="45">
        <v>0</v>
      </c>
      <c r="K37" s="45">
        <v>0</v>
      </c>
    </row>
    <row r="38" spans="1:12" ht="14.25">
      <c r="A38" s="7" t="s">
        <v>460</v>
      </c>
      <c r="H38" s="45">
        <v>0</v>
      </c>
      <c r="I38" s="45">
        <v>0</v>
      </c>
      <c r="J38" s="45">
        <v>0</v>
      </c>
      <c r="K38" s="45">
        <v>0</v>
      </c>
    </row>
    <row r="39" spans="1:12" ht="14.25">
      <c r="A39" s="7" t="s">
        <v>459</v>
      </c>
      <c r="H39" s="45">
        <v>0</v>
      </c>
      <c r="I39" s="45">
        <v>0</v>
      </c>
      <c r="J39" s="45">
        <v>0</v>
      </c>
      <c r="K39" s="45">
        <v>0</v>
      </c>
    </row>
    <row r="40" spans="1:12" ht="14.25">
      <c r="A40" s="7" t="s">
        <v>461</v>
      </c>
      <c r="H40" s="45">
        <f>100-SUM(H36:H39)</f>
        <v>11.111111111111114</v>
      </c>
      <c r="I40" s="45">
        <f>100-SUM(I36:I39)</f>
        <v>8.8888888888888857</v>
      </c>
      <c r="J40" s="45">
        <f>100-SUM(J36:J39)</f>
        <v>24.444444444444443</v>
      </c>
      <c r="K40" s="45">
        <f>100-SUM(K36:K39)</f>
        <v>8.8888888888888857</v>
      </c>
      <c r="L40" s="46"/>
    </row>
    <row r="42" spans="1:12">
      <c r="D42" s="312"/>
      <c r="E42" s="312"/>
      <c r="F42" s="312"/>
      <c r="G42" s="312"/>
      <c r="H42" s="312"/>
    </row>
    <row r="46" spans="1:12">
      <c r="A46" s="243" t="s">
        <v>1592</v>
      </c>
    </row>
    <row r="47" spans="1:12">
      <c r="A47" s="270" t="s">
        <v>1636</v>
      </c>
    </row>
  </sheetData>
  <mergeCells count="17">
    <mergeCell ref="A1:D1"/>
    <mergeCell ref="A2:B2"/>
    <mergeCell ref="M4:M9"/>
    <mergeCell ref="L4:L9"/>
    <mergeCell ref="A10:A15"/>
    <mergeCell ref="M10:M21"/>
    <mergeCell ref="L10:L21"/>
    <mergeCell ref="A4:A9"/>
    <mergeCell ref="M27:M30"/>
    <mergeCell ref="L27:L30"/>
    <mergeCell ref="A3:B3"/>
    <mergeCell ref="A27:A28"/>
    <mergeCell ref="A29:A30"/>
    <mergeCell ref="A16:A21"/>
    <mergeCell ref="A22:A26"/>
    <mergeCell ref="L22:L26"/>
    <mergeCell ref="M22:M26"/>
  </mergeCells>
  <phoneticPr fontId="3" type="noConversion"/>
  <conditionalFormatting sqref="K3">
    <cfRule type="cellIs" dxfId="8" priority="17" operator="notEqual">
      <formula>$C3</formula>
    </cfRule>
  </conditionalFormatting>
  <conditionalFormatting sqref="K4:K23 K26">
    <cfRule type="cellIs" dxfId="7" priority="16" operator="notEqual">
      <formula>$C4</formula>
    </cfRule>
  </conditionalFormatting>
  <conditionalFormatting sqref="J3">
    <cfRule type="cellIs" dxfId="6" priority="15" operator="notEqual">
      <formula>$C3</formula>
    </cfRule>
  </conditionalFormatting>
  <conditionalFormatting sqref="J4:J23 J26">
    <cfRule type="cellIs" dxfId="5" priority="14" operator="notEqual">
      <formula>$C4</formula>
    </cfRule>
  </conditionalFormatting>
  <conditionalFormatting sqref="I3">
    <cfRule type="cellIs" dxfId="4" priority="4" operator="notEqual">
      <formula>$C3</formula>
    </cfRule>
  </conditionalFormatting>
  <conditionalFormatting sqref="I4:I23 I26">
    <cfRule type="cellIs" dxfId="3" priority="3" operator="notEqual">
      <formula>$C4</formula>
    </cfRule>
  </conditionalFormatting>
  <conditionalFormatting sqref="H3">
    <cfRule type="cellIs" dxfId="2" priority="2" operator="notEqual">
      <formula>$C3</formula>
    </cfRule>
  </conditionalFormatting>
  <conditionalFormatting sqref="H4:H23 H26">
    <cfRule type="cellIs" dxfId="1" priority="1" operator="notEqual">
      <formula>$C4</formula>
    </cfRule>
  </conditionalFormatting>
  <hyperlinks>
    <hyperlink ref="A46" location="权重!A1" display="权重!A1"/>
    <hyperlink ref="A47" location="目录!A1" display="目录!A1"/>
  </hyperlinks>
  <pageMargins left="0.70866141732283472" right="0.70866141732283472" top="0.74803149606299213" bottom="0.74803149606299213" header="0.31496062992125984" footer="0.31496062992125984"/>
  <pageSetup paperSize="9" scale="90" orientation="landscape"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M102"/>
  <sheetViews>
    <sheetView zoomScale="84" zoomScaleNormal="84" workbookViewId="0">
      <pane xSplit="2" ySplit="3" topLeftCell="D58" activePane="bottomRight" state="frozen"/>
      <selection activeCell="A3" sqref="A3:B3"/>
      <selection pane="topRight" activeCell="A3" sqref="A3:B3"/>
      <selection pane="bottomLeft" activeCell="A3" sqref="A3:B3"/>
      <selection pane="bottomRight" activeCell="I4" sqref="I4:J80"/>
    </sheetView>
  </sheetViews>
  <sheetFormatPr defaultColWidth="8.875" defaultRowHeight="13.5"/>
  <cols>
    <col min="1" max="1" width="12.375" style="49" customWidth="1"/>
    <col min="2" max="2" width="41.625" style="49" customWidth="1"/>
    <col min="3" max="3" width="69.5" style="49" customWidth="1"/>
    <col min="4" max="4" width="11.375" style="49" customWidth="1"/>
    <col min="5" max="5" width="11.25" style="49" customWidth="1"/>
    <col min="6" max="6" width="8.375" style="49" customWidth="1"/>
    <col min="7" max="7" width="10.25" style="49" bestFit="1" customWidth="1"/>
    <col min="8" max="8" width="8.25" style="49" customWidth="1"/>
    <col min="9" max="9" width="10.875" style="49" bestFit="1" customWidth="1"/>
    <col min="10" max="16384" width="8.875" style="49"/>
  </cols>
  <sheetData>
    <row r="1" spans="1:13" ht="21" customHeight="1">
      <c r="A1" s="48" t="s">
        <v>486</v>
      </c>
    </row>
    <row r="2" spans="1:13" ht="27" customHeight="1">
      <c r="A2" s="180" t="s">
        <v>487</v>
      </c>
      <c r="B2" s="180"/>
      <c r="C2" s="180"/>
      <c r="D2" s="180"/>
      <c r="E2" s="1820">
        <v>2016</v>
      </c>
      <c r="F2" s="1820"/>
      <c r="G2" s="1820">
        <v>2017</v>
      </c>
      <c r="H2" s="1820"/>
      <c r="I2" s="1820">
        <v>2018</v>
      </c>
      <c r="J2" s="1820"/>
      <c r="K2" s="50"/>
      <c r="L2" s="50"/>
      <c r="M2" s="50"/>
    </row>
    <row r="3" spans="1:13" ht="21" customHeight="1">
      <c r="A3" s="51" t="s">
        <v>484</v>
      </c>
      <c r="B3" s="51" t="s">
        <v>488</v>
      </c>
      <c r="C3" s="51" t="s">
        <v>489</v>
      </c>
      <c r="D3" s="51" t="s">
        <v>485</v>
      </c>
      <c r="E3" s="51" t="s">
        <v>490</v>
      </c>
      <c r="F3" s="51" t="s">
        <v>491</v>
      </c>
      <c r="G3" s="328" t="s">
        <v>1545</v>
      </c>
      <c r="H3" s="328" t="s">
        <v>491</v>
      </c>
      <c r="I3" s="328" t="s">
        <v>490</v>
      </c>
      <c r="J3" s="328" t="s">
        <v>491</v>
      </c>
      <c r="K3" s="50"/>
      <c r="L3" s="50"/>
      <c r="M3" s="50"/>
    </row>
    <row r="4" spans="1:13" ht="21" customHeight="1">
      <c r="A4" s="1824" t="s">
        <v>492</v>
      </c>
      <c r="B4" s="52" t="s">
        <v>493</v>
      </c>
      <c r="C4" s="52" t="s">
        <v>494</v>
      </c>
      <c r="D4" s="53">
        <v>1</v>
      </c>
      <c r="E4" s="53" t="s">
        <v>495</v>
      </c>
      <c r="F4" s="54">
        <f>D4</f>
        <v>1</v>
      </c>
      <c r="G4" s="53" t="s">
        <v>1546</v>
      </c>
      <c r="H4" s="225">
        <v>1</v>
      </c>
      <c r="I4" s="1176" t="s">
        <v>1546</v>
      </c>
      <c r="J4" s="225">
        <v>1</v>
      </c>
    </row>
    <row r="5" spans="1:13" ht="21" customHeight="1">
      <c r="A5" s="1824"/>
      <c r="B5" s="1825" t="s">
        <v>496</v>
      </c>
      <c r="C5" s="52" t="s">
        <v>497</v>
      </c>
      <c r="D5" s="53">
        <v>1</v>
      </c>
      <c r="E5" s="53" t="s">
        <v>495</v>
      </c>
      <c r="F5" s="54">
        <f t="shared" ref="F5:F17" si="0">D5</f>
        <v>1</v>
      </c>
      <c r="G5" s="53" t="s">
        <v>1546</v>
      </c>
      <c r="H5" s="225">
        <v>1</v>
      </c>
      <c r="I5" s="1176" t="s">
        <v>1546</v>
      </c>
      <c r="J5" s="225">
        <v>1</v>
      </c>
    </row>
    <row r="6" spans="1:13" ht="21" customHeight="1">
      <c r="A6" s="1824"/>
      <c r="B6" s="1825"/>
      <c r="C6" s="52" t="s">
        <v>498</v>
      </c>
      <c r="D6" s="53">
        <v>1</v>
      </c>
      <c r="E6" s="53" t="s">
        <v>495</v>
      </c>
      <c r="F6" s="54">
        <f t="shared" si="0"/>
        <v>1</v>
      </c>
      <c r="G6" s="53" t="s">
        <v>1546</v>
      </c>
      <c r="H6" s="225">
        <v>1</v>
      </c>
      <c r="I6" s="1176" t="s">
        <v>1546</v>
      </c>
      <c r="J6" s="225">
        <v>1</v>
      </c>
    </row>
    <row r="7" spans="1:13" ht="21" customHeight="1">
      <c r="A7" s="1824"/>
      <c r="B7" s="1825" t="s">
        <v>499</v>
      </c>
      <c r="C7" s="52" t="s">
        <v>500</v>
      </c>
      <c r="D7" s="53">
        <v>1</v>
      </c>
      <c r="E7" s="53" t="s">
        <v>495</v>
      </c>
      <c r="F7" s="54">
        <f t="shared" si="0"/>
        <v>1</v>
      </c>
      <c r="G7" s="53" t="s">
        <v>1546</v>
      </c>
      <c r="H7" s="225">
        <v>1</v>
      </c>
      <c r="I7" s="1176" t="s">
        <v>1546</v>
      </c>
      <c r="J7" s="225">
        <v>1</v>
      </c>
    </row>
    <row r="8" spans="1:13" ht="21" customHeight="1">
      <c r="A8" s="1824"/>
      <c r="B8" s="1825"/>
      <c r="C8" s="52" t="s">
        <v>501</v>
      </c>
      <c r="D8" s="53">
        <v>1</v>
      </c>
      <c r="E8" s="53" t="s">
        <v>495</v>
      </c>
      <c r="F8" s="54">
        <f t="shared" si="0"/>
        <v>1</v>
      </c>
      <c r="G8" s="53" t="s">
        <v>1546</v>
      </c>
      <c r="H8" s="225">
        <v>1</v>
      </c>
      <c r="I8" s="1176" t="s">
        <v>1546</v>
      </c>
      <c r="J8" s="225">
        <v>1</v>
      </c>
    </row>
    <row r="9" spans="1:13" ht="21" customHeight="1">
      <c r="A9" s="1824"/>
      <c r="B9" s="52" t="s">
        <v>502</v>
      </c>
      <c r="C9" s="52" t="s">
        <v>503</v>
      </c>
      <c r="D9" s="53">
        <v>1</v>
      </c>
      <c r="E9" s="53" t="s">
        <v>495</v>
      </c>
      <c r="F9" s="54">
        <f t="shared" si="0"/>
        <v>1</v>
      </c>
      <c r="G9" s="53" t="s">
        <v>1546</v>
      </c>
      <c r="H9" s="225">
        <v>1</v>
      </c>
      <c r="I9" s="1176" t="s">
        <v>1546</v>
      </c>
      <c r="J9" s="225">
        <v>1</v>
      </c>
    </row>
    <row r="10" spans="1:13" ht="21" customHeight="1">
      <c r="A10" s="1824"/>
      <c r="B10" s="52" t="s">
        <v>504</v>
      </c>
      <c r="C10" s="52" t="s">
        <v>505</v>
      </c>
      <c r="D10" s="53">
        <v>1</v>
      </c>
      <c r="E10" s="53" t="s">
        <v>495</v>
      </c>
      <c r="F10" s="54">
        <f t="shared" si="0"/>
        <v>1</v>
      </c>
      <c r="G10" s="53" t="s">
        <v>1546</v>
      </c>
      <c r="H10" s="225">
        <v>1</v>
      </c>
      <c r="I10" s="1176" t="s">
        <v>1546</v>
      </c>
      <c r="J10" s="225">
        <v>1</v>
      </c>
    </row>
    <row r="11" spans="1:13" ht="21" customHeight="1">
      <c r="A11" s="1824" t="s">
        <v>506</v>
      </c>
      <c r="B11" s="1825" t="s">
        <v>507</v>
      </c>
      <c r="C11" s="52" t="s">
        <v>508</v>
      </c>
      <c r="D11" s="53">
        <v>2</v>
      </c>
      <c r="E11" s="53" t="s">
        <v>495</v>
      </c>
      <c r="F11" s="54">
        <f t="shared" si="0"/>
        <v>2</v>
      </c>
      <c r="G11" s="53" t="s">
        <v>1546</v>
      </c>
      <c r="H11" s="225">
        <v>2</v>
      </c>
      <c r="I11" s="1176" t="s">
        <v>1546</v>
      </c>
      <c r="J11" s="225">
        <v>2</v>
      </c>
    </row>
    <row r="12" spans="1:13" ht="21" customHeight="1">
      <c r="A12" s="1824"/>
      <c r="B12" s="1825"/>
      <c r="C12" s="52" t="s">
        <v>509</v>
      </c>
      <c r="D12" s="53">
        <v>2</v>
      </c>
      <c r="E12" s="53" t="s">
        <v>495</v>
      </c>
      <c r="F12" s="54">
        <f t="shared" si="0"/>
        <v>2</v>
      </c>
      <c r="G12" s="53" t="s">
        <v>1546</v>
      </c>
      <c r="H12" s="225">
        <v>2</v>
      </c>
      <c r="I12" s="1176" t="s">
        <v>1546</v>
      </c>
      <c r="J12" s="225">
        <v>2</v>
      </c>
    </row>
    <row r="13" spans="1:13" ht="21" customHeight="1">
      <c r="A13" s="1824"/>
      <c r="B13" s="1825" t="s">
        <v>510</v>
      </c>
      <c r="C13" s="52" t="s">
        <v>511</v>
      </c>
      <c r="D13" s="53">
        <v>1</v>
      </c>
      <c r="E13" s="53" t="s">
        <v>495</v>
      </c>
      <c r="F13" s="54">
        <f t="shared" si="0"/>
        <v>1</v>
      </c>
      <c r="G13" s="53" t="s">
        <v>1546</v>
      </c>
      <c r="H13" s="225">
        <v>1</v>
      </c>
      <c r="I13" s="1176" t="s">
        <v>1546</v>
      </c>
      <c r="J13" s="225">
        <v>1</v>
      </c>
    </row>
    <row r="14" spans="1:13" ht="21" customHeight="1">
      <c r="A14" s="1824"/>
      <c r="B14" s="1825"/>
      <c r="C14" s="52" t="s">
        <v>512</v>
      </c>
      <c r="D14" s="53">
        <v>1</v>
      </c>
      <c r="E14" s="53" t="s">
        <v>495</v>
      </c>
      <c r="F14" s="54">
        <f t="shared" si="0"/>
        <v>1</v>
      </c>
      <c r="G14" s="53" t="s">
        <v>1546</v>
      </c>
      <c r="H14" s="225">
        <v>1</v>
      </c>
      <c r="I14" s="1176" t="s">
        <v>1546</v>
      </c>
      <c r="J14" s="225">
        <v>1</v>
      </c>
    </row>
    <row r="15" spans="1:13" ht="21" customHeight="1">
      <c r="A15" s="1824"/>
      <c r="B15" s="52" t="s">
        <v>513</v>
      </c>
      <c r="C15" s="52" t="s">
        <v>514</v>
      </c>
      <c r="D15" s="53">
        <v>1</v>
      </c>
      <c r="E15" s="53" t="s">
        <v>515</v>
      </c>
      <c r="F15" s="54"/>
      <c r="G15" s="53" t="s">
        <v>1547</v>
      </c>
      <c r="H15" s="225"/>
      <c r="I15" s="1176" t="s">
        <v>515</v>
      </c>
      <c r="J15" s="225"/>
    </row>
    <row r="16" spans="1:13" ht="21" customHeight="1">
      <c r="A16" s="1824"/>
      <c r="B16" s="1825" t="s">
        <v>516</v>
      </c>
      <c r="C16" s="52" t="s">
        <v>517</v>
      </c>
      <c r="D16" s="53">
        <v>1</v>
      </c>
      <c r="E16" s="53" t="s">
        <v>495</v>
      </c>
      <c r="F16" s="54">
        <f t="shared" si="0"/>
        <v>1</v>
      </c>
      <c r="G16" s="53" t="s">
        <v>1546</v>
      </c>
      <c r="H16" s="225">
        <v>1</v>
      </c>
      <c r="I16" s="1176" t="s">
        <v>1546</v>
      </c>
      <c r="J16" s="225">
        <v>1</v>
      </c>
    </row>
    <row r="17" spans="1:10">
      <c r="A17" s="1824"/>
      <c r="B17" s="1825"/>
      <c r="C17" s="52" t="s">
        <v>518</v>
      </c>
      <c r="D17" s="53">
        <v>2</v>
      </c>
      <c r="E17" s="53" t="s">
        <v>495</v>
      </c>
      <c r="F17" s="54">
        <f t="shared" si="0"/>
        <v>2</v>
      </c>
      <c r="G17" s="53" t="s">
        <v>1546</v>
      </c>
      <c r="H17" s="225">
        <v>2</v>
      </c>
      <c r="I17" s="1176" t="s">
        <v>1546</v>
      </c>
      <c r="J17" s="225">
        <v>2</v>
      </c>
    </row>
    <row r="18" spans="1:10">
      <c r="A18" s="1824"/>
      <c r="B18" s="229" t="s">
        <v>519</v>
      </c>
      <c r="C18" s="52" t="s">
        <v>520</v>
      </c>
      <c r="D18" s="53">
        <v>1</v>
      </c>
      <c r="E18" s="55" t="s">
        <v>521</v>
      </c>
      <c r="F18" s="56">
        <v>0</v>
      </c>
      <c r="G18" s="223" t="s">
        <v>1546</v>
      </c>
      <c r="H18" s="226">
        <v>1</v>
      </c>
      <c r="I18" s="223" t="s">
        <v>1546</v>
      </c>
      <c r="J18" s="226">
        <v>1</v>
      </c>
    </row>
    <row r="19" spans="1:10">
      <c r="A19" s="1824"/>
      <c r="B19" s="1825" t="s">
        <v>522</v>
      </c>
      <c r="C19" s="52" t="s">
        <v>523</v>
      </c>
      <c r="D19" s="53">
        <v>2</v>
      </c>
      <c r="E19" s="53" t="s">
        <v>495</v>
      </c>
      <c r="F19" s="54">
        <f>D19</f>
        <v>2</v>
      </c>
      <c r="G19" s="53" t="s">
        <v>1546</v>
      </c>
      <c r="H19" s="225">
        <v>2</v>
      </c>
      <c r="I19" s="1176" t="s">
        <v>1546</v>
      </c>
      <c r="J19" s="225">
        <v>2</v>
      </c>
    </row>
    <row r="20" spans="1:10">
      <c r="A20" s="1824"/>
      <c r="B20" s="1825"/>
      <c r="C20" s="52" t="s">
        <v>524</v>
      </c>
      <c r="D20" s="53">
        <v>2</v>
      </c>
      <c r="E20" s="53" t="s">
        <v>495</v>
      </c>
      <c r="F20" s="54">
        <f t="shared" ref="F20:F37" si="1">D20</f>
        <v>2</v>
      </c>
      <c r="G20" s="53" t="s">
        <v>1546</v>
      </c>
      <c r="H20" s="225">
        <v>2</v>
      </c>
      <c r="I20" s="1176" t="s">
        <v>1546</v>
      </c>
      <c r="J20" s="225">
        <v>2</v>
      </c>
    </row>
    <row r="21" spans="1:10">
      <c r="A21" s="1824" t="s">
        <v>525</v>
      </c>
      <c r="B21" s="1825" t="s">
        <v>526</v>
      </c>
      <c r="C21" s="52" t="s">
        <v>527</v>
      </c>
      <c r="D21" s="53">
        <v>2</v>
      </c>
      <c r="E21" s="53" t="s">
        <v>495</v>
      </c>
      <c r="F21" s="54">
        <f t="shared" si="1"/>
        <v>2</v>
      </c>
      <c r="G21" s="53" t="s">
        <v>1546</v>
      </c>
      <c r="H21" s="225">
        <v>2</v>
      </c>
      <c r="I21" s="1176" t="s">
        <v>1546</v>
      </c>
      <c r="J21" s="225">
        <v>2</v>
      </c>
    </row>
    <row r="22" spans="1:10">
      <c r="A22" s="1824"/>
      <c r="B22" s="1825"/>
      <c r="C22" s="52" t="s">
        <v>528</v>
      </c>
      <c r="D22" s="53">
        <v>2</v>
      </c>
      <c r="E22" s="53" t="s">
        <v>495</v>
      </c>
      <c r="F22" s="54">
        <f t="shared" si="1"/>
        <v>2</v>
      </c>
      <c r="G22" s="53" t="s">
        <v>1546</v>
      </c>
      <c r="H22" s="225">
        <v>2</v>
      </c>
      <c r="I22" s="1176" t="s">
        <v>1546</v>
      </c>
      <c r="J22" s="225">
        <v>2</v>
      </c>
    </row>
    <row r="23" spans="1:10">
      <c r="A23" s="1824"/>
      <c r="B23" s="1825" t="s">
        <v>529</v>
      </c>
      <c r="C23" s="52" t="s">
        <v>530</v>
      </c>
      <c r="D23" s="53">
        <v>1</v>
      </c>
      <c r="E23" s="53" t="s">
        <v>495</v>
      </c>
      <c r="F23" s="54">
        <f t="shared" si="1"/>
        <v>1</v>
      </c>
      <c r="G23" s="53" t="s">
        <v>1546</v>
      </c>
      <c r="H23" s="225">
        <v>1</v>
      </c>
      <c r="I23" s="1176" t="s">
        <v>1546</v>
      </c>
      <c r="J23" s="225">
        <v>1</v>
      </c>
    </row>
    <row r="24" spans="1:10" ht="27">
      <c r="A24" s="1824"/>
      <c r="B24" s="1825"/>
      <c r="C24" s="52" t="s">
        <v>531</v>
      </c>
      <c r="D24" s="53">
        <v>1</v>
      </c>
      <c r="E24" s="53" t="s">
        <v>495</v>
      </c>
      <c r="F24" s="54">
        <f t="shared" si="1"/>
        <v>1</v>
      </c>
      <c r="G24" s="53" t="s">
        <v>1546</v>
      </c>
      <c r="H24" s="225">
        <v>1</v>
      </c>
      <c r="I24" s="1176" t="s">
        <v>1546</v>
      </c>
      <c r="J24" s="225">
        <v>1</v>
      </c>
    </row>
    <row r="25" spans="1:10">
      <c r="A25" s="1824"/>
      <c r="B25" s="1825"/>
      <c r="C25" s="52" t="s">
        <v>532</v>
      </c>
      <c r="D25" s="53">
        <v>1</v>
      </c>
      <c r="E25" s="53" t="s">
        <v>495</v>
      </c>
      <c r="F25" s="54">
        <f t="shared" si="1"/>
        <v>1</v>
      </c>
      <c r="G25" s="53" t="s">
        <v>1546</v>
      </c>
      <c r="H25" s="225">
        <v>1</v>
      </c>
      <c r="I25" s="1176" t="s">
        <v>1546</v>
      </c>
      <c r="J25" s="225">
        <v>1</v>
      </c>
    </row>
    <row r="26" spans="1:10">
      <c r="A26" s="1824" t="s">
        <v>533</v>
      </c>
      <c r="B26" s="1825" t="s">
        <v>534</v>
      </c>
      <c r="C26" s="52" t="s">
        <v>535</v>
      </c>
      <c r="D26" s="53">
        <v>1</v>
      </c>
      <c r="E26" s="53" t="s">
        <v>495</v>
      </c>
      <c r="F26" s="54">
        <f t="shared" si="1"/>
        <v>1</v>
      </c>
      <c r="G26" s="53" t="s">
        <v>1546</v>
      </c>
      <c r="H26" s="225">
        <v>1</v>
      </c>
      <c r="I26" s="1176" t="s">
        <v>1546</v>
      </c>
      <c r="J26" s="225">
        <v>1</v>
      </c>
    </row>
    <row r="27" spans="1:10">
      <c r="A27" s="1824"/>
      <c r="B27" s="1825"/>
      <c r="C27" s="52" t="s">
        <v>536</v>
      </c>
      <c r="D27" s="53">
        <v>2</v>
      </c>
      <c r="E27" s="53" t="s">
        <v>495</v>
      </c>
      <c r="F27" s="54">
        <f t="shared" si="1"/>
        <v>2</v>
      </c>
      <c r="G27" s="53" t="s">
        <v>1546</v>
      </c>
      <c r="H27" s="225">
        <v>2</v>
      </c>
      <c r="I27" s="1176" t="s">
        <v>1546</v>
      </c>
      <c r="J27" s="225">
        <v>2</v>
      </c>
    </row>
    <row r="28" spans="1:10">
      <c r="A28" s="1824"/>
      <c r="B28" s="1825"/>
      <c r="C28" s="52" t="s">
        <v>537</v>
      </c>
      <c r="D28" s="53">
        <v>2</v>
      </c>
      <c r="E28" s="53" t="s">
        <v>495</v>
      </c>
      <c r="F28" s="54">
        <f t="shared" si="1"/>
        <v>2</v>
      </c>
      <c r="G28" s="53" t="s">
        <v>1546</v>
      </c>
      <c r="H28" s="225">
        <v>2</v>
      </c>
      <c r="I28" s="1176" t="s">
        <v>1546</v>
      </c>
      <c r="J28" s="225">
        <v>2</v>
      </c>
    </row>
    <row r="29" spans="1:10">
      <c r="A29" s="1824"/>
      <c r="B29" s="1825" t="s">
        <v>538</v>
      </c>
      <c r="C29" s="52" t="s">
        <v>539</v>
      </c>
      <c r="D29" s="53">
        <v>2</v>
      </c>
      <c r="E29" s="53" t="s">
        <v>495</v>
      </c>
      <c r="F29" s="54">
        <f t="shared" si="1"/>
        <v>2</v>
      </c>
      <c r="G29" s="53" t="s">
        <v>1546</v>
      </c>
      <c r="H29" s="225">
        <v>2</v>
      </c>
      <c r="I29" s="1176" t="s">
        <v>1546</v>
      </c>
      <c r="J29" s="225">
        <v>2</v>
      </c>
    </row>
    <row r="30" spans="1:10">
      <c r="A30" s="1824"/>
      <c r="B30" s="1825"/>
      <c r="C30" s="52" t="s">
        <v>540</v>
      </c>
      <c r="D30" s="53">
        <v>2</v>
      </c>
      <c r="E30" s="53" t="s">
        <v>495</v>
      </c>
      <c r="F30" s="54">
        <f t="shared" si="1"/>
        <v>2</v>
      </c>
      <c r="G30" s="53" t="s">
        <v>1546</v>
      </c>
      <c r="H30" s="225">
        <v>2</v>
      </c>
      <c r="I30" s="1176" t="s">
        <v>1546</v>
      </c>
      <c r="J30" s="225">
        <v>2</v>
      </c>
    </row>
    <row r="31" spans="1:10">
      <c r="A31" s="1824"/>
      <c r="B31" s="52" t="s">
        <v>541</v>
      </c>
      <c r="C31" s="52" t="s">
        <v>542</v>
      </c>
      <c r="D31" s="53">
        <v>2</v>
      </c>
      <c r="E31" s="53" t="s">
        <v>495</v>
      </c>
      <c r="F31" s="54">
        <f t="shared" si="1"/>
        <v>2</v>
      </c>
      <c r="G31" s="53" t="s">
        <v>1546</v>
      </c>
      <c r="H31" s="225">
        <v>2</v>
      </c>
      <c r="I31" s="1176" t="s">
        <v>1546</v>
      </c>
      <c r="J31" s="225">
        <v>2</v>
      </c>
    </row>
    <row r="32" spans="1:10">
      <c r="A32" s="1824"/>
      <c r="B32" s="1825" t="s">
        <v>543</v>
      </c>
      <c r="C32" s="52" t="s">
        <v>544</v>
      </c>
      <c r="D32" s="53">
        <v>1</v>
      </c>
      <c r="E32" s="53" t="s">
        <v>495</v>
      </c>
      <c r="F32" s="54">
        <f t="shared" si="1"/>
        <v>1</v>
      </c>
      <c r="G32" s="53" t="s">
        <v>1546</v>
      </c>
      <c r="H32" s="225">
        <v>1</v>
      </c>
      <c r="I32" s="1176" t="s">
        <v>1546</v>
      </c>
      <c r="J32" s="225">
        <v>1</v>
      </c>
    </row>
    <row r="33" spans="1:10">
      <c r="A33" s="1824"/>
      <c r="B33" s="1825"/>
      <c r="C33" s="52" t="s">
        <v>545</v>
      </c>
      <c r="D33" s="53">
        <v>1</v>
      </c>
      <c r="E33" s="53" t="s">
        <v>495</v>
      </c>
      <c r="F33" s="54">
        <f t="shared" si="1"/>
        <v>1</v>
      </c>
      <c r="G33" s="53" t="s">
        <v>1546</v>
      </c>
      <c r="H33" s="225">
        <v>1</v>
      </c>
      <c r="I33" s="1176" t="s">
        <v>1546</v>
      </c>
      <c r="J33" s="225">
        <v>1</v>
      </c>
    </row>
    <row r="34" spans="1:10">
      <c r="A34" s="1824"/>
      <c r="B34" s="1825"/>
      <c r="C34" s="52" t="s">
        <v>546</v>
      </c>
      <c r="D34" s="53">
        <v>1</v>
      </c>
      <c r="E34" s="53" t="s">
        <v>495</v>
      </c>
      <c r="F34" s="54">
        <f t="shared" si="1"/>
        <v>1</v>
      </c>
      <c r="G34" s="53" t="s">
        <v>1546</v>
      </c>
      <c r="H34" s="225">
        <v>1</v>
      </c>
      <c r="I34" s="1176" t="s">
        <v>1546</v>
      </c>
      <c r="J34" s="225">
        <v>1</v>
      </c>
    </row>
    <row r="35" spans="1:10">
      <c r="A35" s="1824"/>
      <c r="B35" s="52" t="s">
        <v>547</v>
      </c>
      <c r="C35" s="52" t="s">
        <v>548</v>
      </c>
      <c r="D35" s="53">
        <v>1</v>
      </c>
      <c r="E35" s="53" t="s">
        <v>495</v>
      </c>
      <c r="F35" s="54">
        <f t="shared" si="1"/>
        <v>1</v>
      </c>
      <c r="G35" s="53" t="s">
        <v>1546</v>
      </c>
      <c r="H35" s="225">
        <v>1</v>
      </c>
      <c r="I35" s="1176" t="s">
        <v>1546</v>
      </c>
      <c r="J35" s="225">
        <v>1</v>
      </c>
    </row>
    <row r="36" spans="1:10">
      <c r="A36" s="1824"/>
      <c r="B36" s="1825" t="s">
        <v>549</v>
      </c>
      <c r="C36" s="52" t="s">
        <v>550</v>
      </c>
      <c r="D36" s="53">
        <v>1</v>
      </c>
      <c r="E36" s="53" t="s">
        <v>495</v>
      </c>
      <c r="F36" s="54">
        <f t="shared" si="1"/>
        <v>1</v>
      </c>
      <c r="G36" s="53" t="s">
        <v>1546</v>
      </c>
      <c r="H36" s="225">
        <v>1</v>
      </c>
      <c r="I36" s="1176" t="s">
        <v>1546</v>
      </c>
      <c r="J36" s="225">
        <v>1</v>
      </c>
    </row>
    <row r="37" spans="1:10">
      <c r="A37" s="1824"/>
      <c r="B37" s="1825"/>
      <c r="C37" s="52" t="s">
        <v>551</v>
      </c>
      <c r="D37" s="53">
        <v>1</v>
      </c>
      <c r="E37" s="53" t="s">
        <v>495</v>
      </c>
      <c r="F37" s="54">
        <f t="shared" si="1"/>
        <v>1</v>
      </c>
      <c r="G37" s="53" t="s">
        <v>1546</v>
      </c>
      <c r="H37" s="225">
        <v>1</v>
      </c>
      <c r="I37" s="1176" t="s">
        <v>1546</v>
      </c>
      <c r="J37" s="225">
        <v>1</v>
      </c>
    </row>
    <row r="38" spans="1:10" ht="27" customHeight="1">
      <c r="A38" s="1824"/>
      <c r="B38" s="52" t="s">
        <v>552</v>
      </c>
      <c r="C38" s="52" t="s">
        <v>553</v>
      </c>
      <c r="D38" s="53">
        <v>2</v>
      </c>
      <c r="E38" s="53" t="s">
        <v>515</v>
      </c>
      <c r="F38" s="54"/>
      <c r="G38" s="53" t="s">
        <v>1547</v>
      </c>
      <c r="H38" s="225"/>
      <c r="I38" s="1176" t="s">
        <v>515</v>
      </c>
      <c r="J38" s="225"/>
    </row>
    <row r="39" spans="1:10">
      <c r="A39" s="1824"/>
      <c r="B39" s="1825" t="s">
        <v>554</v>
      </c>
      <c r="C39" s="52" t="s">
        <v>555</v>
      </c>
      <c r="D39" s="53">
        <v>1</v>
      </c>
      <c r="E39" s="53" t="s">
        <v>515</v>
      </c>
      <c r="F39" s="54"/>
      <c r="G39" s="53" t="s">
        <v>1547</v>
      </c>
      <c r="H39" s="225"/>
      <c r="I39" s="1176" t="s">
        <v>515</v>
      </c>
      <c r="J39" s="225"/>
    </row>
    <row r="40" spans="1:10">
      <c r="A40" s="1824"/>
      <c r="B40" s="1825"/>
      <c r="C40" s="52" t="s">
        <v>556</v>
      </c>
      <c r="D40" s="53">
        <v>1</v>
      </c>
      <c r="E40" s="53" t="s">
        <v>515</v>
      </c>
      <c r="F40" s="54"/>
      <c r="G40" s="53" t="s">
        <v>1547</v>
      </c>
      <c r="H40" s="225"/>
      <c r="I40" s="1176" t="s">
        <v>515</v>
      </c>
      <c r="J40" s="225"/>
    </row>
    <row r="41" spans="1:10">
      <c r="A41" s="1824"/>
      <c r="B41" s="1825"/>
      <c r="C41" s="52" t="s">
        <v>557</v>
      </c>
      <c r="D41" s="53">
        <v>1</v>
      </c>
      <c r="E41" s="53" t="s">
        <v>515</v>
      </c>
      <c r="F41" s="54"/>
      <c r="G41" s="53" t="s">
        <v>1547</v>
      </c>
      <c r="H41" s="225"/>
      <c r="I41" s="1176" t="s">
        <v>515</v>
      </c>
      <c r="J41" s="225"/>
    </row>
    <row r="42" spans="1:10">
      <c r="A42" s="1824"/>
      <c r="B42" s="1825"/>
      <c r="C42" s="57" t="s">
        <v>558</v>
      </c>
      <c r="D42" s="53">
        <v>1</v>
      </c>
      <c r="E42" s="53" t="s">
        <v>515</v>
      </c>
      <c r="F42" s="54"/>
      <c r="G42" s="53" t="s">
        <v>1547</v>
      </c>
      <c r="H42" s="225"/>
      <c r="I42" s="1176" t="s">
        <v>515</v>
      </c>
      <c r="J42" s="225"/>
    </row>
    <row r="43" spans="1:10">
      <c r="A43" s="1824"/>
      <c r="B43" s="1825" t="s">
        <v>559</v>
      </c>
      <c r="C43" s="52" t="s">
        <v>560</v>
      </c>
      <c r="D43" s="53">
        <v>1</v>
      </c>
      <c r="E43" s="53" t="s">
        <v>495</v>
      </c>
      <c r="F43" s="54">
        <f>D43</f>
        <v>1</v>
      </c>
      <c r="G43" s="53" t="s">
        <v>1546</v>
      </c>
      <c r="H43" s="225">
        <v>1</v>
      </c>
      <c r="I43" s="1176" t="s">
        <v>1546</v>
      </c>
      <c r="J43" s="225">
        <v>1</v>
      </c>
    </row>
    <row r="44" spans="1:10" ht="27" customHeight="1">
      <c r="A44" s="1824"/>
      <c r="B44" s="1825"/>
      <c r="C44" s="52" t="s">
        <v>561</v>
      </c>
      <c r="D44" s="53">
        <v>1</v>
      </c>
      <c r="E44" s="53" t="s">
        <v>495</v>
      </c>
      <c r="F44" s="54">
        <f t="shared" ref="F44:F65" si="2">D44</f>
        <v>1</v>
      </c>
      <c r="G44" s="53" t="s">
        <v>1546</v>
      </c>
      <c r="H44" s="225">
        <v>1</v>
      </c>
      <c r="I44" s="1176" t="s">
        <v>1546</v>
      </c>
      <c r="J44" s="225">
        <v>1</v>
      </c>
    </row>
    <row r="45" spans="1:10">
      <c r="A45" s="1824"/>
      <c r="B45" s="1825"/>
      <c r="C45" s="52" t="s">
        <v>562</v>
      </c>
      <c r="D45" s="53">
        <v>1</v>
      </c>
      <c r="E45" s="53" t="s">
        <v>495</v>
      </c>
      <c r="F45" s="54">
        <f t="shared" si="2"/>
        <v>1</v>
      </c>
      <c r="G45" s="53" t="s">
        <v>1546</v>
      </c>
      <c r="H45" s="225">
        <v>1</v>
      </c>
      <c r="I45" s="1176" t="s">
        <v>1546</v>
      </c>
      <c r="J45" s="225">
        <v>1</v>
      </c>
    </row>
    <row r="46" spans="1:10">
      <c r="A46" s="1824"/>
      <c r="B46" s="1825"/>
      <c r="C46" s="52" t="s">
        <v>563</v>
      </c>
      <c r="D46" s="53">
        <v>1</v>
      </c>
      <c r="E46" s="53" t="s">
        <v>495</v>
      </c>
      <c r="F46" s="54">
        <f t="shared" si="2"/>
        <v>1</v>
      </c>
      <c r="G46" s="53" t="s">
        <v>1546</v>
      </c>
      <c r="H46" s="225">
        <v>1</v>
      </c>
      <c r="I46" s="1176" t="s">
        <v>1546</v>
      </c>
      <c r="J46" s="225">
        <v>1</v>
      </c>
    </row>
    <row r="47" spans="1:10">
      <c r="A47" s="1824"/>
      <c r="B47" s="1825"/>
      <c r="C47" s="52" t="s">
        <v>564</v>
      </c>
      <c r="D47" s="53">
        <v>1</v>
      </c>
      <c r="E47" s="53" t="s">
        <v>495</v>
      </c>
      <c r="F47" s="54">
        <f t="shared" si="2"/>
        <v>1</v>
      </c>
      <c r="G47" s="53" t="s">
        <v>1546</v>
      </c>
      <c r="H47" s="225">
        <v>1</v>
      </c>
      <c r="I47" s="1176" t="s">
        <v>1546</v>
      </c>
      <c r="J47" s="225">
        <v>1</v>
      </c>
    </row>
    <row r="48" spans="1:10">
      <c r="A48" s="1824"/>
      <c r="B48" s="1825" t="s">
        <v>565</v>
      </c>
      <c r="C48" s="52" t="s">
        <v>566</v>
      </c>
      <c r="D48" s="53">
        <v>1</v>
      </c>
      <c r="E48" s="53" t="s">
        <v>495</v>
      </c>
      <c r="F48" s="54">
        <f t="shared" si="2"/>
        <v>1</v>
      </c>
      <c r="G48" s="53" t="s">
        <v>1546</v>
      </c>
      <c r="H48" s="225">
        <v>1</v>
      </c>
      <c r="I48" s="1176" t="s">
        <v>1546</v>
      </c>
      <c r="J48" s="225">
        <v>1</v>
      </c>
    </row>
    <row r="49" spans="1:10">
      <c r="A49" s="1824"/>
      <c r="B49" s="1825"/>
      <c r="C49" s="52" t="s">
        <v>567</v>
      </c>
      <c r="D49" s="53">
        <v>1</v>
      </c>
      <c r="E49" s="53" t="s">
        <v>495</v>
      </c>
      <c r="F49" s="54">
        <f t="shared" si="2"/>
        <v>1</v>
      </c>
      <c r="G49" s="53" t="s">
        <v>1546</v>
      </c>
      <c r="H49" s="225">
        <v>1</v>
      </c>
      <c r="I49" s="1176" t="s">
        <v>1546</v>
      </c>
      <c r="J49" s="225">
        <v>1</v>
      </c>
    </row>
    <row r="50" spans="1:10" ht="27">
      <c r="A50" s="1824"/>
      <c r="B50" s="1825"/>
      <c r="C50" s="52" t="s">
        <v>568</v>
      </c>
      <c r="D50" s="53">
        <v>1</v>
      </c>
      <c r="E50" s="53" t="s">
        <v>495</v>
      </c>
      <c r="F50" s="54">
        <f t="shared" si="2"/>
        <v>1</v>
      </c>
      <c r="G50" s="53" t="s">
        <v>1546</v>
      </c>
      <c r="H50" s="225">
        <v>1</v>
      </c>
      <c r="I50" s="1176" t="s">
        <v>1546</v>
      </c>
      <c r="J50" s="225">
        <v>1</v>
      </c>
    </row>
    <row r="51" spans="1:10">
      <c r="A51" s="1824" t="s">
        <v>533</v>
      </c>
      <c r="B51" s="52" t="s">
        <v>565</v>
      </c>
      <c r="C51" s="52" t="s">
        <v>569</v>
      </c>
      <c r="D51" s="53">
        <v>1</v>
      </c>
      <c r="E51" s="53" t="s">
        <v>495</v>
      </c>
      <c r="F51" s="54">
        <f t="shared" si="2"/>
        <v>1</v>
      </c>
      <c r="G51" s="53" t="s">
        <v>1546</v>
      </c>
      <c r="H51" s="225">
        <v>1</v>
      </c>
      <c r="I51" s="1176" t="s">
        <v>1546</v>
      </c>
      <c r="J51" s="225">
        <v>1</v>
      </c>
    </row>
    <row r="52" spans="1:10">
      <c r="A52" s="1824"/>
      <c r="B52" s="1825" t="s">
        <v>570</v>
      </c>
      <c r="C52" s="52" t="s">
        <v>571</v>
      </c>
      <c r="D52" s="53">
        <v>1</v>
      </c>
      <c r="E52" s="53" t="s">
        <v>495</v>
      </c>
      <c r="F52" s="54">
        <f t="shared" si="2"/>
        <v>1</v>
      </c>
      <c r="G52" s="53" t="s">
        <v>1546</v>
      </c>
      <c r="H52" s="225">
        <v>1</v>
      </c>
      <c r="I52" s="1176" t="s">
        <v>1546</v>
      </c>
      <c r="J52" s="225">
        <v>1</v>
      </c>
    </row>
    <row r="53" spans="1:10">
      <c r="A53" s="1824"/>
      <c r="B53" s="1825"/>
      <c r="C53" s="52" t="s">
        <v>572</v>
      </c>
      <c r="D53" s="53">
        <v>2</v>
      </c>
      <c r="E53" s="53" t="s">
        <v>495</v>
      </c>
      <c r="F53" s="54">
        <f t="shared" si="2"/>
        <v>2</v>
      </c>
      <c r="G53" s="53" t="s">
        <v>1546</v>
      </c>
      <c r="H53" s="225">
        <v>2</v>
      </c>
      <c r="I53" s="1176" t="s">
        <v>1546</v>
      </c>
      <c r="J53" s="225">
        <v>2</v>
      </c>
    </row>
    <row r="54" spans="1:10">
      <c r="A54" s="1824"/>
      <c r="B54" s="1825"/>
      <c r="C54" s="52" t="s">
        <v>573</v>
      </c>
      <c r="D54" s="53">
        <v>2</v>
      </c>
      <c r="E54" s="53" t="s">
        <v>495</v>
      </c>
      <c r="F54" s="54">
        <f t="shared" si="2"/>
        <v>2</v>
      </c>
      <c r="G54" s="53" t="s">
        <v>1546</v>
      </c>
      <c r="H54" s="225">
        <v>2</v>
      </c>
      <c r="I54" s="1176" t="s">
        <v>1546</v>
      </c>
      <c r="J54" s="225">
        <v>2</v>
      </c>
    </row>
    <row r="55" spans="1:10">
      <c r="A55" s="1824"/>
      <c r="B55" s="1825"/>
      <c r="C55" s="52" t="s">
        <v>574</v>
      </c>
      <c r="D55" s="53">
        <v>2</v>
      </c>
      <c r="E55" s="53" t="s">
        <v>495</v>
      </c>
      <c r="F55" s="54">
        <f t="shared" si="2"/>
        <v>2</v>
      </c>
      <c r="G55" s="53" t="s">
        <v>1546</v>
      </c>
      <c r="H55" s="225">
        <v>2</v>
      </c>
      <c r="I55" s="1176" t="s">
        <v>1546</v>
      </c>
      <c r="J55" s="225">
        <v>2</v>
      </c>
    </row>
    <row r="56" spans="1:10">
      <c r="A56" s="1824"/>
      <c r="B56" s="1825"/>
      <c r="C56" s="52" t="s">
        <v>575</v>
      </c>
      <c r="D56" s="53">
        <v>2</v>
      </c>
      <c r="E56" s="53" t="s">
        <v>495</v>
      </c>
      <c r="F56" s="54">
        <f t="shared" si="2"/>
        <v>2</v>
      </c>
      <c r="G56" s="53" t="s">
        <v>1546</v>
      </c>
      <c r="H56" s="225">
        <v>2</v>
      </c>
      <c r="I56" s="1176" t="s">
        <v>1546</v>
      </c>
      <c r="J56" s="225">
        <v>2</v>
      </c>
    </row>
    <row r="57" spans="1:10">
      <c r="A57" s="1824"/>
      <c r="B57" s="1825" t="s">
        <v>576</v>
      </c>
      <c r="C57" s="58" t="s">
        <v>577</v>
      </c>
      <c r="D57" s="53">
        <v>1</v>
      </c>
      <c r="E57" s="53" t="s">
        <v>495</v>
      </c>
      <c r="F57" s="54">
        <f t="shared" si="2"/>
        <v>1</v>
      </c>
      <c r="G57" s="53" t="s">
        <v>1546</v>
      </c>
      <c r="H57" s="225">
        <v>1</v>
      </c>
      <c r="I57" s="1176" t="s">
        <v>1546</v>
      </c>
      <c r="J57" s="225">
        <v>1</v>
      </c>
    </row>
    <row r="58" spans="1:10">
      <c r="A58" s="1824"/>
      <c r="B58" s="1825"/>
      <c r="C58" s="58" t="s">
        <v>578</v>
      </c>
      <c r="D58" s="53">
        <v>1</v>
      </c>
      <c r="E58" s="53" t="s">
        <v>495</v>
      </c>
      <c r="F58" s="54">
        <f t="shared" si="2"/>
        <v>1</v>
      </c>
      <c r="G58" s="53" t="s">
        <v>1546</v>
      </c>
      <c r="H58" s="225">
        <v>1</v>
      </c>
      <c r="I58" s="1176" t="s">
        <v>1546</v>
      </c>
      <c r="J58" s="225">
        <v>1</v>
      </c>
    </row>
    <row r="59" spans="1:10" ht="27">
      <c r="A59" s="1824"/>
      <c r="B59" s="1825"/>
      <c r="C59" s="58" t="s">
        <v>579</v>
      </c>
      <c r="D59" s="53">
        <v>1</v>
      </c>
      <c r="E59" s="53" t="s">
        <v>495</v>
      </c>
      <c r="F59" s="54">
        <f t="shared" si="2"/>
        <v>1</v>
      </c>
      <c r="G59" s="53" t="s">
        <v>1546</v>
      </c>
      <c r="H59" s="225">
        <v>1</v>
      </c>
      <c r="I59" s="1176" t="s">
        <v>1546</v>
      </c>
      <c r="J59" s="225">
        <v>1</v>
      </c>
    </row>
    <row r="60" spans="1:10">
      <c r="A60" s="1824" t="s">
        <v>580</v>
      </c>
      <c r="B60" s="52" t="s">
        <v>581</v>
      </c>
      <c r="C60" s="52" t="s">
        <v>582</v>
      </c>
      <c r="D60" s="53">
        <v>1</v>
      </c>
      <c r="E60" s="53" t="s">
        <v>495</v>
      </c>
      <c r="F60" s="54">
        <f t="shared" si="2"/>
        <v>1</v>
      </c>
      <c r="G60" s="53" t="s">
        <v>1546</v>
      </c>
      <c r="H60" s="225">
        <v>1</v>
      </c>
      <c r="I60" s="1176" t="s">
        <v>1546</v>
      </c>
      <c r="J60" s="225">
        <v>1</v>
      </c>
    </row>
    <row r="61" spans="1:10">
      <c r="A61" s="1824"/>
      <c r="B61" s="1825" t="s">
        <v>583</v>
      </c>
      <c r="C61" s="52" t="s">
        <v>584</v>
      </c>
      <c r="D61" s="53">
        <v>1</v>
      </c>
      <c r="E61" s="53" t="s">
        <v>495</v>
      </c>
      <c r="F61" s="54">
        <f t="shared" si="2"/>
        <v>1</v>
      </c>
      <c r="G61" s="53" t="s">
        <v>1546</v>
      </c>
      <c r="H61" s="225">
        <v>1</v>
      </c>
      <c r="I61" s="1176" t="s">
        <v>1546</v>
      </c>
      <c r="J61" s="225">
        <v>1</v>
      </c>
    </row>
    <row r="62" spans="1:10">
      <c r="A62" s="1824"/>
      <c r="B62" s="1825"/>
      <c r="C62" s="52" t="s">
        <v>585</v>
      </c>
      <c r="D62" s="53">
        <v>1</v>
      </c>
      <c r="E62" s="53" t="s">
        <v>495</v>
      </c>
      <c r="F62" s="54">
        <f t="shared" si="2"/>
        <v>1</v>
      </c>
      <c r="G62" s="53" t="s">
        <v>1546</v>
      </c>
      <c r="H62" s="225">
        <v>1</v>
      </c>
      <c r="I62" s="1176" t="s">
        <v>1546</v>
      </c>
      <c r="J62" s="225">
        <v>1</v>
      </c>
    </row>
    <row r="63" spans="1:10" ht="27">
      <c r="A63" s="1824"/>
      <c r="B63" s="52" t="s">
        <v>586</v>
      </c>
      <c r="C63" s="52" t="s">
        <v>587</v>
      </c>
      <c r="D63" s="53">
        <v>1</v>
      </c>
      <c r="E63" s="53" t="s">
        <v>495</v>
      </c>
      <c r="F63" s="54">
        <f t="shared" si="2"/>
        <v>1</v>
      </c>
      <c r="G63" s="53" t="s">
        <v>1546</v>
      </c>
      <c r="H63" s="225">
        <v>1</v>
      </c>
      <c r="I63" s="1176" t="s">
        <v>1546</v>
      </c>
      <c r="J63" s="225">
        <v>1</v>
      </c>
    </row>
    <row r="64" spans="1:10">
      <c r="A64" s="1824"/>
      <c r="B64" s="1825" t="s">
        <v>588</v>
      </c>
      <c r="C64" s="52" t="s">
        <v>589</v>
      </c>
      <c r="D64" s="53">
        <v>1</v>
      </c>
      <c r="E64" s="53" t="s">
        <v>495</v>
      </c>
      <c r="F64" s="54">
        <f t="shared" si="2"/>
        <v>1</v>
      </c>
      <c r="G64" s="53" t="s">
        <v>1546</v>
      </c>
      <c r="H64" s="225">
        <v>1</v>
      </c>
      <c r="I64" s="1176" t="s">
        <v>1546</v>
      </c>
      <c r="J64" s="225">
        <v>1</v>
      </c>
    </row>
    <row r="65" spans="1:10">
      <c r="A65" s="1824"/>
      <c r="B65" s="1825"/>
      <c r="C65" s="52" t="s">
        <v>590</v>
      </c>
      <c r="D65" s="53">
        <v>1</v>
      </c>
      <c r="E65" s="53" t="s">
        <v>495</v>
      </c>
      <c r="F65" s="54">
        <f t="shared" si="2"/>
        <v>1</v>
      </c>
      <c r="G65" s="53" t="s">
        <v>1546</v>
      </c>
      <c r="H65" s="225">
        <v>1</v>
      </c>
      <c r="I65" s="1176" t="s">
        <v>1546</v>
      </c>
      <c r="J65" s="225">
        <v>1</v>
      </c>
    </row>
    <row r="66" spans="1:10">
      <c r="A66" s="1824"/>
      <c r="B66" s="228" t="s">
        <v>591</v>
      </c>
      <c r="C66" s="52" t="s">
        <v>592</v>
      </c>
      <c r="D66" s="53">
        <v>1</v>
      </c>
      <c r="E66" s="55" t="s">
        <v>521</v>
      </c>
      <c r="F66" s="56">
        <v>0</v>
      </c>
      <c r="G66" s="224" t="s">
        <v>521</v>
      </c>
      <c r="H66" s="227">
        <v>0</v>
      </c>
      <c r="I66" s="224" t="s">
        <v>521</v>
      </c>
      <c r="J66" s="227">
        <v>0</v>
      </c>
    </row>
    <row r="67" spans="1:10">
      <c r="A67" s="1824"/>
      <c r="B67" s="52" t="s">
        <v>593</v>
      </c>
      <c r="C67" s="52" t="s">
        <v>594</v>
      </c>
      <c r="D67" s="53">
        <v>1</v>
      </c>
      <c r="E67" s="53" t="s">
        <v>495</v>
      </c>
      <c r="F67" s="54">
        <f>D67</f>
        <v>1</v>
      </c>
      <c r="G67" s="53" t="s">
        <v>1546</v>
      </c>
      <c r="H67" s="225">
        <v>1</v>
      </c>
      <c r="I67" s="1176" t="s">
        <v>1546</v>
      </c>
      <c r="J67" s="225">
        <v>1</v>
      </c>
    </row>
    <row r="68" spans="1:10">
      <c r="A68" s="1824" t="s">
        <v>595</v>
      </c>
      <c r="B68" s="1825" t="s">
        <v>596</v>
      </c>
      <c r="C68" s="52" t="s">
        <v>597</v>
      </c>
      <c r="D68" s="53">
        <v>2</v>
      </c>
      <c r="E68" s="53" t="s">
        <v>515</v>
      </c>
      <c r="F68" s="54"/>
      <c r="G68" s="53" t="s">
        <v>1547</v>
      </c>
      <c r="H68" s="225"/>
      <c r="I68" s="1176" t="s">
        <v>515</v>
      </c>
      <c r="J68" s="225"/>
    </row>
    <row r="69" spans="1:10">
      <c r="A69" s="1824"/>
      <c r="B69" s="1825"/>
      <c r="C69" s="52" t="s">
        <v>598</v>
      </c>
      <c r="D69" s="53">
        <v>2</v>
      </c>
      <c r="E69" s="53" t="s">
        <v>515</v>
      </c>
      <c r="F69" s="54"/>
      <c r="G69" s="53" t="s">
        <v>1547</v>
      </c>
      <c r="H69" s="225"/>
      <c r="I69" s="1176" t="s">
        <v>515</v>
      </c>
      <c r="J69" s="225"/>
    </row>
    <row r="70" spans="1:10">
      <c r="A70" s="1824"/>
      <c r="B70" s="52" t="s">
        <v>599</v>
      </c>
      <c r="C70" s="52" t="s">
        <v>600</v>
      </c>
      <c r="D70" s="53">
        <v>1</v>
      </c>
      <c r="E70" s="53" t="s">
        <v>495</v>
      </c>
      <c r="F70" s="54">
        <f>D70</f>
        <v>1</v>
      </c>
      <c r="G70" s="53" t="s">
        <v>1546</v>
      </c>
      <c r="H70" s="225">
        <v>1</v>
      </c>
      <c r="I70" s="1176" t="s">
        <v>1546</v>
      </c>
      <c r="J70" s="225">
        <v>1</v>
      </c>
    </row>
    <row r="71" spans="1:10">
      <c r="A71" s="1824"/>
      <c r="B71" s="1825" t="s">
        <v>601</v>
      </c>
      <c r="C71" s="52" t="s">
        <v>602</v>
      </c>
      <c r="D71" s="53">
        <v>1</v>
      </c>
      <c r="E71" s="53" t="s">
        <v>495</v>
      </c>
      <c r="F71" s="54">
        <f t="shared" ref="F71:F80" si="3">D71</f>
        <v>1</v>
      </c>
      <c r="G71" s="53" t="s">
        <v>1546</v>
      </c>
      <c r="H71" s="225">
        <v>1</v>
      </c>
      <c r="I71" s="1176" t="s">
        <v>1546</v>
      </c>
      <c r="J71" s="225">
        <v>1</v>
      </c>
    </row>
    <row r="72" spans="1:10">
      <c r="A72" s="1824"/>
      <c r="B72" s="1825"/>
      <c r="C72" s="52" t="s">
        <v>603</v>
      </c>
      <c r="D72" s="53">
        <v>1</v>
      </c>
      <c r="E72" s="53" t="s">
        <v>495</v>
      </c>
      <c r="F72" s="54">
        <f t="shared" si="3"/>
        <v>1</v>
      </c>
      <c r="G72" s="53" t="s">
        <v>1546</v>
      </c>
      <c r="H72" s="225">
        <v>1</v>
      </c>
      <c r="I72" s="1176" t="s">
        <v>1546</v>
      </c>
      <c r="J72" s="225">
        <v>1</v>
      </c>
    </row>
    <row r="73" spans="1:10">
      <c r="A73" s="1824"/>
      <c r="B73" s="52" t="s">
        <v>604</v>
      </c>
      <c r="C73" s="52" t="s">
        <v>605</v>
      </c>
      <c r="D73" s="53">
        <v>1</v>
      </c>
      <c r="E73" s="53" t="s">
        <v>495</v>
      </c>
      <c r="F73" s="54">
        <f t="shared" si="3"/>
        <v>1</v>
      </c>
      <c r="G73" s="53" t="s">
        <v>1546</v>
      </c>
      <c r="H73" s="225">
        <v>1</v>
      </c>
      <c r="I73" s="1176" t="s">
        <v>1546</v>
      </c>
      <c r="J73" s="225">
        <v>1</v>
      </c>
    </row>
    <row r="74" spans="1:10">
      <c r="A74" s="1824"/>
      <c r="B74" s="1825" t="s">
        <v>606</v>
      </c>
      <c r="C74" s="52" t="s">
        <v>607</v>
      </c>
      <c r="D74" s="53">
        <v>2</v>
      </c>
      <c r="E74" s="53" t="s">
        <v>495</v>
      </c>
      <c r="F74" s="54">
        <f t="shared" si="3"/>
        <v>2</v>
      </c>
      <c r="G74" s="53" t="s">
        <v>1546</v>
      </c>
      <c r="H74" s="225">
        <v>2</v>
      </c>
      <c r="I74" s="1176" t="s">
        <v>1546</v>
      </c>
      <c r="J74" s="225">
        <v>2</v>
      </c>
    </row>
    <row r="75" spans="1:10">
      <c r="A75" s="1824"/>
      <c r="B75" s="1825"/>
      <c r="C75" s="52" t="s">
        <v>608</v>
      </c>
      <c r="D75" s="53">
        <v>2</v>
      </c>
      <c r="E75" s="53" t="s">
        <v>495</v>
      </c>
      <c r="F75" s="54">
        <f t="shared" si="3"/>
        <v>2</v>
      </c>
      <c r="G75" s="53" t="s">
        <v>1546</v>
      </c>
      <c r="H75" s="225">
        <v>2</v>
      </c>
      <c r="I75" s="1176" t="s">
        <v>1546</v>
      </c>
      <c r="J75" s="225">
        <v>2</v>
      </c>
    </row>
    <row r="76" spans="1:10">
      <c r="A76" s="1824" t="s">
        <v>595</v>
      </c>
      <c r="B76" s="52" t="s">
        <v>609</v>
      </c>
      <c r="C76" s="52" t="s">
        <v>610</v>
      </c>
      <c r="D76" s="53">
        <v>1</v>
      </c>
      <c r="E76" s="53" t="s">
        <v>495</v>
      </c>
      <c r="F76" s="54">
        <f t="shared" si="3"/>
        <v>1</v>
      </c>
      <c r="G76" s="53" t="s">
        <v>1546</v>
      </c>
      <c r="H76" s="225">
        <v>1</v>
      </c>
      <c r="I76" s="1176" t="s">
        <v>1546</v>
      </c>
      <c r="J76" s="225">
        <v>1</v>
      </c>
    </row>
    <row r="77" spans="1:10">
      <c r="A77" s="1824"/>
      <c r="B77" s="52" t="s">
        <v>611</v>
      </c>
      <c r="C77" s="52" t="s">
        <v>612</v>
      </c>
      <c r="D77" s="53">
        <v>1</v>
      </c>
      <c r="E77" s="53" t="s">
        <v>495</v>
      </c>
      <c r="F77" s="54">
        <f t="shared" si="3"/>
        <v>1</v>
      </c>
      <c r="G77" s="53" t="s">
        <v>1546</v>
      </c>
      <c r="H77" s="225">
        <v>1</v>
      </c>
      <c r="I77" s="1176" t="s">
        <v>1546</v>
      </c>
      <c r="J77" s="225">
        <v>1</v>
      </c>
    </row>
    <row r="78" spans="1:10">
      <c r="A78" s="1824"/>
      <c r="B78" s="52" t="s">
        <v>613</v>
      </c>
      <c r="C78" s="52" t="s">
        <v>614</v>
      </c>
      <c r="D78" s="53">
        <v>1</v>
      </c>
      <c r="E78" s="53" t="s">
        <v>495</v>
      </c>
      <c r="F78" s="54">
        <f t="shared" si="3"/>
        <v>1</v>
      </c>
      <c r="G78" s="53" t="s">
        <v>1546</v>
      </c>
      <c r="H78" s="225">
        <v>1</v>
      </c>
      <c r="I78" s="1176" t="s">
        <v>1546</v>
      </c>
      <c r="J78" s="225">
        <v>1</v>
      </c>
    </row>
    <row r="79" spans="1:10">
      <c r="A79" s="1824"/>
      <c r="B79" s="1825" t="s">
        <v>615</v>
      </c>
      <c r="C79" s="52" t="s">
        <v>616</v>
      </c>
      <c r="D79" s="53">
        <v>2</v>
      </c>
      <c r="E79" s="53" t="s">
        <v>495</v>
      </c>
      <c r="F79" s="54">
        <f t="shared" si="3"/>
        <v>2</v>
      </c>
      <c r="G79" s="53" t="s">
        <v>1546</v>
      </c>
      <c r="H79" s="225">
        <v>2</v>
      </c>
      <c r="I79" s="1176" t="s">
        <v>1546</v>
      </c>
      <c r="J79" s="225">
        <v>2</v>
      </c>
    </row>
    <row r="80" spans="1:10">
      <c r="A80" s="1824"/>
      <c r="B80" s="1825"/>
      <c r="C80" s="52" t="s">
        <v>617</v>
      </c>
      <c r="D80" s="53">
        <v>2</v>
      </c>
      <c r="E80" s="53" t="s">
        <v>495</v>
      </c>
      <c r="F80" s="54">
        <f t="shared" si="3"/>
        <v>2</v>
      </c>
      <c r="G80" s="53" t="s">
        <v>1546</v>
      </c>
      <c r="H80" s="225">
        <v>2</v>
      </c>
      <c r="I80" s="1176" t="s">
        <v>1546</v>
      </c>
      <c r="J80" s="225">
        <v>2</v>
      </c>
    </row>
    <row r="81" spans="1:10">
      <c r="A81" s="1826" t="s">
        <v>618</v>
      </c>
      <c r="B81" s="1826"/>
      <c r="C81" s="1826"/>
      <c r="D81" s="53">
        <f>SUM(D4:D80)</f>
        <v>100</v>
      </c>
      <c r="E81" s="53"/>
      <c r="F81" s="59">
        <f>SUM(F4:F80)</f>
        <v>87</v>
      </c>
      <c r="G81" s="53"/>
      <c r="H81" s="59">
        <v>88</v>
      </c>
      <c r="I81" s="329"/>
      <c r="J81" s="59">
        <v>88</v>
      </c>
    </row>
    <row r="82" spans="1:10">
      <c r="A82" s="230"/>
      <c r="B82" s="242" t="s">
        <v>1590</v>
      </c>
      <c r="C82" s="230"/>
      <c r="D82" s="53"/>
      <c r="E82" s="53"/>
      <c r="F82" s="59">
        <f>F81*100%</f>
        <v>87</v>
      </c>
      <c r="G82" s="241"/>
      <c r="H82" s="59">
        <f>H81*100%</f>
        <v>88</v>
      </c>
      <c r="J82" s="59">
        <f>J81*100%</f>
        <v>88</v>
      </c>
    </row>
    <row r="83" spans="1:10">
      <c r="A83" s="230"/>
      <c r="B83" s="242" t="s">
        <v>1591</v>
      </c>
      <c r="C83" s="230"/>
      <c r="D83" s="53"/>
      <c r="E83" s="53"/>
      <c r="F83" s="59">
        <f>F82/9</f>
        <v>9.6666666666666661</v>
      </c>
      <c r="G83" s="241"/>
      <c r="H83" s="59">
        <f>H82/9</f>
        <v>9.7777777777777786</v>
      </c>
      <c r="J83" s="59">
        <f>J82/9</f>
        <v>9.7777777777777786</v>
      </c>
    </row>
    <row r="84" spans="1:10">
      <c r="A84" s="230"/>
      <c r="B84" s="242" t="s">
        <v>1589</v>
      </c>
      <c r="C84" s="230"/>
      <c r="D84" s="53"/>
      <c r="E84" s="53"/>
      <c r="F84" s="59">
        <f>F83/2</f>
        <v>4.833333333333333</v>
      </c>
      <c r="G84" s="241"/>
      <c r="H84" s="59">
        <f>H83/2</f>
        <v>4.8888888888888893</v>
      </c>
      <c r="J84" s="59">
        <f>J83/2</f>
        <v>4.8888888888888893</v>
      </c>
    </row>
    <row r="85" spans="1:10">
      <c r="A85" s="1827" t="s">
        <v>619</v>
      </c>
      <c r="B85" s="1827"/>
      <c r="C85" s="1827"/>
      <c r="D85" s="1827"/>
      <c r="E85" s="1827"/>
      <c r="F85" s="1827"/>
      <c r="G85" s="219"/>
    </row>
    <row r="86" spans="1:10">
      <c r="A86" s="1822" t="s">
        <v>620</v>
      </c>
      <c r="B86" s="1822"/>
      <c r="C86" s="1822"/>
      <c r="D86" s="1822"/>
      <c r="E86" s="1822"/>
      <c r="F86" s="1822"/>
      <c r="G86" s="220"/>
    </row>
    <row r="87" spans="1:10">
      <c r="A87" s="1822" t="s">
        <v>621</v>
      </c>
      <c r="B87" s="1822"/>
      <c r="C87" s="1822"/>
      <c r="D87" s="1822"/>
      <c r="E87" s="1822"/>
      <c r="F87" s="1822"/>
      <c r="G87" s="220"/>
    </row>
    <row r="88" spans="1:10">
      <c r="A88" s="1822" t="s">
        <v>622</v>
      </c>
      <c r="B88" s="1822"/>
      <c r="C88" s="1822"/>
      <c r="D88" s="1822"/>
      <c r="E88" s="1822"/>
      <c r="F88" s="1822"/>
      <c r="G88" s="220"/>
    </row>
    <row r="89" spans="1:10">
      <c r="A89" s="1822" t="s">
        <v>623</v>
      </c>
      <c r="B89" s="1822"/>
      <c r="C89" s="1822"/>
      <c r="D89" s="1822"/>
      <c r="E89" s="1822"/>
      <c r="F89" s="1822"/>
      <c r="G89" s="220"/>
    </row>
    <row r="90" spans="1:10">
      <c r="A90" s="1822" t="s">
        <v>624</v>
      </c>
      <c r="B90" s="1822"/>
      <c r="C90" s="1822"/>
      <c r="D90" s="1822"/>
      <c r="E90" s="1822"/>
      <c r="F90" s="1822"/>
      <c r="G90" s="220"/>
    </row>
    <row r="91" spans="1:10">
      <c r="A91" s="1822" t="s">
        <v>625</v>
      </c>
      <c r="B91" s="1822"/>
      <c r="C91" s="1822"/>
      <c r="D91" s="1822"/>
      <c r="E91" s="1822"/>
      <c r="F91" s="1822"/>
      <c r="G91" s="220"/>
    </row>
    <row r="92" spans="1:10">
      <c r="A92" s="1822" t="s">
        <v>626</v>
      </c>
      <c r="B92" s="1822"/>
      <c r="C92" s="1822"/>
      <c r="D92" s="1822"/>
      <c r="E92" s="1822"/>
      <c r="F92" s="1822"/>
      <c r="G92" s="220"/>
    </row>
    <row r="93" spans="1:10">
      <c r="A93" s="1822" t="s">
        <v>627</v>
      </c>
      <c r="B93" s="1822"/>
      <c r="C93" s="1822"/>
      <c r="D93" s="1822"/>
      <c r="E93" s="1822"/>
      <c r="F93" s="1822"/>
      <c r="G93" s="220"/>
    </row>
    <row r="94" spans="1:10">
      <c r="A94" s="1823" t="s">
        <v>628</v>
      </c>
      <c r="B94" s="1823"/>
      <c r="C94" s="1823"/>
      <c r="D94" s="1823"/>
      <c r="E94" s="1823"/>
      <c r="F94" s="1823"/>
      <c r="G94" s="221"/>
    </row>
    <row r="95" spans="1:10">
      <c r="A95" s="1823" t="s">
        <v>629</v>
      </c>
      <c r="B95" s="1823"/>
      <c r="C95" s="1823"/>
      <c r="D95" s="1823"/>
      <c r="E95" s="1823"/>
      <c r="F95" s="1823"/>
      <c r="G95" s="221"/>
    </row>
    <row r="96" spans="1:10">
      <c r="A96" s="1821" t="s">
        <v>630</v>
      </c>
      <c r="B96" s="1821"/>
      <c r="C96" s="1821"/>
      <c r="D96" s="1821"/>
      <c r="E96" s="1821"/>
      <c r="F96" s="1821"/>
      <c r="G96" s="222"/>
    </row>
    <row r="101" spans="1:1">
      <c r="A101" s="243" t="s">
        <v>1592</v>
      </c>
    </row>
    <row r="102" spans="1:1">
      <c r="A102" s="270" t="s">
        <v>1636</v>
      </c>
    </row>
  </sheetData>
  <mergeCells count="47">
    <mergeCell ref="G2:H2"/>
    <mergeCell ref="E2:F2"/>
    <mergeCell ref="A4:A10"/>
    <mergeCell ref="B5:B6"/>
    <mergeCell ref="B7:B8"/>
    <mergeCell ref="A11:A20"/>
    <mergeCell ref="B11:B12"/>
    <mergeCell ref="B13:B14"/>
    <mergeCell ref="B16:B17"/>
    <mergeCell ref="B19:B20"/>
    <mergeCell ref="A21:A25"/>
    <mergeCell ref="B21:B22"/>
    <mergeCell ref="B23:B25"/>
    <mergeCell ref="A26:A50"/>
    <mergeCell ref="B26:B28"/>
    <mergeCell ref="B29:B30"/>
    <mergeCell ref="B32:B34"/>
    <mergeCell ref="B36:B37"/>
    <mergeCell ref="B39:B42"/>
    <mergeCell ref="B43:B47"/>
    <mergeCell ref="B48:B50"/>
    <mergeCell ref="A85:F85"/>
    <mergeCell ref="A86:F86"/>
    <mergeCell ref="A87:F87"/>
    <mergeCell ref="A88:F88"/>
    <mergeCell ref="A51:A59"/>
    <mergeCell ref="B52:B56"/>
    <mergeCell ref="B57:B59"/>
    <mergeCell ref="A60:A67"/>
    <mergeCell ref="B61:B62"/>
    <mergeCell ref="B64:B65"/>
    <mergeCell ref="I2:J2"/>
    <mergeCell ref="A96:F96"/>
    <mergeCell ref="A90:F90"/>
    <mergeCell ref="A91:F91"/>
    <mergeCell ref="A92:F92"/>
    <mergeCell ref="A93:F93"/>
    <mergeCell ref="A94:F94"/>
    <mergeCell ref="A95:F95"/>
    <mergeCell ref="A89:F89"/>
    <mergeCell ref="A68:A75"/>
    <mergeCell ref="B68:B69"/>
    <mergeCell ref="B71:B72"/>
    <mergeCell ref="B74:B75"/>
    <mergeCell ref="A76:A80"/>
    <mergeCell ref="B79:B80"/>
    <mergeCell ref="A81:C81"/>
  </mergeCells>
  <phoneticPr fontId="3" type="noConversion"/>
  <hyperlinks>
    <hyperlink ref="A101" location="权重!A1" display="权重!A1"/>
    <hyperlink ref="A102" location="目录!A1" display="目录!A1"/>
  </hyperlinks>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42"/>
  <sheetViews>
    <sheetView workbookViewId="0">
      <pane xSplit="1" ySplit="2" topLeftCell="B7" activePane="bottomRight" state="frozen"/>
      <selection activeCell="A3" sqref="A3:B3"/>
      <selection pane="topRight" activeCell="A3" sqref="A3:B3"/>
      <selection pane="bottomLeft" activeCell="A3" sqref="A3:B3"/>
      <selection pane="bottomRight" activeCell="G3" sqref="G3:G31"/>
    </sheetView>
  </sheetViews>
  <sheetFormatPr defaultColWidth="8.875" defaultRowHeight="13.5"/>
  <cols>
    <col min="1" max="1" width="12.875" bestFit="1" customWidth="1"/>
    <col min="2" max="2" width="9.75" bestFit="1" customWidth="1"/>
    <col min="3" max="3" width="28" style="86" bestFit="1" customWidth="1"/>
    <col min="4" max="4" width="9.875" customWidth="1"/>
    <col min="5" max="5" width="7" style="14" bestFit="1" customWidth="1"/>
    <col min="6" max="6" width="6" customWidth="1"/>
    <col min="7" max="7" width="7" bestFit="1" customWidth="1"/>
  </cols>
  <sheetData>
    <row r="1" spans="1:7" ht="30" customHeight="1">
      <c r="A1" s="1829" t="s">
        <v>956</v>
      </c>
      <c r="B1" s="1829"/>
      <c r="C1" s="1829"/>
      <c r="D1" s="1829"/>
      <c r="E1" s="1829"/>
      <c r="F1" s="100"/>
      <c r="G1" s="100"/>
    </row>
    <row r="2" spans="1:7" s="84" customFormat="1" ht="30" customHeight="1">
      <c r="A2" s="83" t="s">
        <v>410</v>
      </c>
      <c r="B2" s="83" t="s">
        <v>957</v>
      </c>
      <c r="C2" s="83" t="s">
        <v>958</v>
      </c>
      <c r="D2" s="83" t="s">
        <v>411</v>
      </c>
      <c r="E2" s="83" t="s">
        <v>1403</v>
      </c>
      <c r="F2" s="83" t="s">
        <v>455</v>
      </c>
      <c r="G2" s="83" t="s">
        <v>2106</v>
      </c>
    </row>
    <row r="3" spans="1:7" s="84" customFormat="1" ht="27">
      <c r="A3" s="1798" t="s">
        <v>959</v>
      </c>
      <c r="B3" s="30" t="s">
        <v>960</v>
      </c>
      <c r="C3" s="79" t="s">
        <v>961</v>
      </c>
      <c r="D3" s="30">
        <v>2</v>
      </c>
      <c r="E3" s="101">
        <v>2</v>
      </c>
      <c r="F3" s="123">
        <f>D3-E3</f>
        <v>0</v>
      </c>
      <c r="G3" s="183">
        <v>2</v>
      </c>
    </row>
    <row r="4" spans="1:7" s="84" customFormat="1">
      <c r="A4" s="1799"/>
      <c r="B4" s="30" t="s">
        <v>962</v>
      </c>
      <c r="C4" s="330" t="s">
        <v>2104</v>
      </c>
      <c r="D4" s="30">
        <v>4</v>
      </c>
      <c r="E4" s="102">
        <v>0</v>
      </c>
      <c r="F4" s="123">
        <f>D4-E4</f>
        <v>4</v>
      </c>
      <c r="G4" s="184">
        <v>2</v>
      </c>
    </row>
    <row r="5" spans="1:7" s="84" customFormat="1">
      <c r="A5" s="1828" t="s">
        <v>963</v>
      </c>
      <c r="B5" s="30" t="s">
        <v>964</v>
      </c>
      <c r="C5" s="79" t="s">
        <v>965</v>
      </c>
      <c r="D5" s="30">
        <v>2</v>
      </c>
      <c r="E5" s="101">
        <v>2</v>
      </c>
      <c r="F5" s="123">
        <f t="shared" ref="F5:F32" si="0">D5-E5</f>
        <v>0</v>
      </c>
      <c r="G5" s="183">
        <v>2</v>
      </c>
    </row>
    <row r="6" spans="1:7" s="84" customFormat="1" ht="40.5">
      <c r="A6" s="1828"/>
      <c r="B6" s="30" t="s">
        <v>966</v>
      </c>
      <c r="C6" s="330" t="s">
        <v>2105</v>
      </c>
      <c r="D6" s="30">
        <v>4</v>
      </c>
      <c r="E6" s="101">
        <v>4</v>
      </c>
      <c r="F6" s="123">
        <f t="shared" si="0"/>
        <v>0</v>
      </c>
      <c r="G6" s="183">
        <v>4</v>
      </c>
    </row>
    <row r="7" spans="1:7" s="84" customFormat="1" ht="27">
      <c r="A7" s="1828"/>
      <c r="B7" s="30" t="s">
        <v>967</v>
      </c>
      <c r="C7" s="79" t="s">
        <v>968</v>
      </c>
      <c r="D7" s="30">
        <v>2</v>
      </c>
      <c r="E7" s="101">
        <v>2</v>
      </c>
      <c r="F7" s="123">
        <f t="shared" si="0"/>
        <v>0</v>
      </c>
      <c r="G7" s="183">
        <v>2</v>
      </c>
    </row>
    <row r="8" spans="1:7" s="84" customFormat="1" ht="27">
      <c r="A8" s="1828"/>
      <c r="B8" s="30" t="s">
        <v>969</v>
      </c>
      <c r="C8" s="79" t="s">
        <v>970</v>
      </c>
      <c r="D8" s="30">
        <v>2</v>
      </c>
      <c r="E8" s="101">
        <v>2</v>
      </c>
      <c r="F8" s="123">
        <f t="shared" si="0"/>
        <v>0</v>
      </c>
      <c r="G8" s="183">
        <v>2</v>
      </c>
    </row>
    <row r="9" spans="1:7" s="84" customFormat="1">
      <c r="A9" s="1828"/>
      <c r="B9" s="29" t="s">
        <v>971</v>
      </c>
      <c r="C9" s="78"/>
      <c r="D9" s="29">
        <v>2</v>
      </c>
      <c r="E9" s="101">
        <v>2</v>
      </c>
      <c r="F9" s="123">
        <f t="shared" si="0"/>
        <v>0</v>
      </c>
      <c r="G9" s="183">
        <v>2</v>
      </c>
    </row>
    <row r="10" spans="1:7" s="84" customFormat="1">
      <c r="A10" s="1828"/>
      <c r="B10" s="29" t="s">
        <v>972</v>
      </c>
      <c r="C10" s="78"/>
      <c r="D10" s="29">
        <v>2</v>
      </c>
      <c r="E10" s="101">
        <v>2</v>
      </c>
      <c r="F10" s="123">
        <f t="shared" si="0"/>
        <v>0</v>
      </c>
      <c r="G10" s="183">
        <v>2</v>
      </c>
    </row>
    <row r="11" spans="1:7" s="84" customFormat="1">
      <c r="A11" s="1828"/>
      <c r="B11" s="29" t="s">
        <v>973</v>
      </c>
      <c r="C11" s="78"/>
      <c r="D11" s="29">
        <v>2</v>
      </c>
      <c r="E11" s="101">
        <v>2</v>
      </c>
      <c r="F11" s="123">
        <f t="shared" si="0"/>
        <v>0</v>
      </c>
      <c r="G11" s="183">
        <v>2</v>
      </c>
    </row>
    <row r="12" spans="1:7" s="84" customFormat="1">
      <c r="A12" s="1828"/>
      <c r="B12" s="29" t="s">
        <v>974</v>
      </c>
      <c r="C12" s="78"/>
      <c r="D12" s="29">
        <v>2</v>
      </c>
      <c r="E12" s="101">
        <v>2</v>
      </c>
      <c r="F12" s="123">
        <f t="shared" si="0"/>
        <v>0</v>
      </c>
      <c r="G12" s="183">
        <v>2</v>
      </c>
    </row>
    <row r="13" spans="1:7" s="84" customFormat="1">
      <c r="A13" s="1828"/>
      <c r="B13" s="29" t="s">
        <v>975</v>
      </c>
      <c r="C13" s="78"/>
      <c r="D13" s="29">
        <v>2</v>
      </c>
      <c r="E13" s="101">
        <v>2</v>
      </c>
      <c r="F13" s="123">
        <f t="shared" si="0"/>
        <v>0</v>
      </c>
      <c r="G13" s="183">
        <v>2</v>
      </c>
    </row>
    <row r="14" spans="1:7" s="84" customFormat="1">
      <c r="A14" s="1828" t="s">
        <v>976</v>
      </c>
      <c r="B14" s="30" t="s">
        <v>977</v>
      </c>
      <c r="C14" s="79" t="s">
        <v>978</v>
      </c>
      <c r="D14" s="30">
        <v>1</v>
      </c>
      <c r="E14" s="101">
        <v>1</v>
      </c>
      <c r="F14" s="123">
        <f t="shared" si="0"/>
        <v>0</v>
      </c>
      <c r="G14" s="183">
        <v>1</v>
      </c>
    </row>
    <row r="15" spans="1:7" s="84" customFormat="1">
      <c r="A15" s="1828"/>
      <c r="B15" s="1830" t="s">
        <v>979</v>
      </c>
      <c r="C15" s="79" t="s">
        <v>980</v>
      </c>
      <c r="D15" s="30">
        <v>1</v>
      </c>
      <c r="E15" s="101">
        <v>1</v>
      </c>
      <c r="F15" s="123">
        <f t="shared" si="0"/>
        <v>0</v>
      </c>
      <c r="G15" s="183">
        <v>1</v>
      </c>
    </row>
    <row r="16" spans="1:7" s="84" customFormat="1">
      <c r="A16" s="1828"/>
      <c r="B16" s="1830"/>
      <c r="C16" s="79" t="s">
        <v>981</v>
      </c>
      <c r="D16" s="30">
        <v>2</v>
      </c>
      <c r="E16" s="101">
        <v>2</v>
      </c>
      <c r="F16" s="123">
        <f t="shared" si="0"/>
        <v>0</v>
      </c>
      <c r="G16" s="183">
        <v>2</v>
      </c>
    </row>
    <row r="17" spans="1:7" s="84" customFormat="1">
      <c r="A17" s="1828"/>
      <c r="B17" s="1830"/>
      <c r="C17" s="79" t="s">
        <v>982</v>
      </c>
      <c r="D17" s="30">
        <v>2</v>
      </c>
      <c r="E17" s="101" t="s">
        <v>1068</v>
      </c>
      <c r="F17" s="123" t="e">
        <f t="shared" si="0"/>
        <v>#VALUE!</v>
      </c>
      <c r="G17" s="183" t="s">
        <v>1460</v>
      </c>
    </row>
    <row r="18" spans="1:7" s="84" customFormat="1">
      <c r="A18" s="30" t="s">
        <v>983</v>
      </c>
      <c r="B18" s="30" t="s">
        <v>984</v>
      </c>
      <c r="C18" s="79" t="s">
        <v>985</v>
      </c>
      <c r="D18" s="30">
        <v>5</v>
      </c>
      <c r="E18" s="101">
        <v>5</v>
      </c>
      <c r="F18" s="123">
        <f t="shared" si="0"/>
        <v>0</v>
      </c>
      <c r="G18" s="183">
        <v>5</v>
      </c>
    </row>
    <row r="19" spans="1:7" s="84" customFormat="1">
      <c r="A19" s="1828" t="s">
        <v>986</v>
      </c>
      <c r="B19" s="1828" t="s">
        <v>987</v>
      </c>
      <c r="C19" s="79" t="s">
        <v>988</v>
      </c>
      <c r="D19" s="30">
        <v>5</v>
      </c>
      <c r="E19" s="101">
        <v>5</v>
      </c>
      <c r="F19" s="123">
        <f t="shared" si="0"/>
        <v>0</v>
      </c>
      <c r="G19" s="183">
        <v>5</v>
      </c>
    </row>
    <row r="20" spans="1:7" s="84" customFormat="1">
      <c r="A20" s="1828"/>
      <c r="B20" s="1828"/>
      <c r="C20" s="79" t="s">
        <v>989</v>
      </c>
      <c r="D20" s="30">
        <v>1</v>
      </c>
      <c r="E20" s="101">
        <v>1</v>
      </c>
      <c r="F20" s="123">
        <f t="shared" si="0"/>
        <v>0</v>
      </c>
      <c r="G20" s="183">
        <v>1</v>
      </c>
    </row>
    <row r="21" spans="1:7" s="84" customFormat="1">
      <c r="A21" s="1828"/>
      <c r="B21" s="30" t="s">
        <v>990</v>
      </c>
      <c r="C21" s="79" t="s">
        <v>991</v>
      </c>
      <c r="D21" s="30">
        <v>5</v>
      </c>
      <c r="E21" s="101">
        <v>5</v>
      </c>
      <c r="F21" s="123">
        <f t="shared" si="0"/>
        <v>0</v>
      </c>
      <c r="G21" s="183">
        <v>5</v>
      </c>
    </row>
    <row r="22" spans="1:7" s="84" customFormat="1">
      <c r="A22" s="1828"/>
      <c r="B22" s="30" t="s">
        <v>992</v>
      </c>
      <c r="C22" s="79" t="s">
        <v>993</v>
      </c>
      <c r="D22" s="30">
        <v>5</v>
      </c>
      <c r="E22" s="101">
        <v>5</v>
      </c>
      <c r="F22" s="123">
        <f t="shared" si="0"/>
        <v>0</v>
      </c>
      <c r="G22" s="96">
        <v>5</v>
      </c>
    </row>
    <row r="23" spans="1:7" s="84" customFormat="1">
      <c r="A23" s="1828"/>
      <c r="B23" s="1828" t="s">
        <v>994</v>
      </c>
      <c r="C23" s="79" t="s">
        <v>995</v>
      </c>
      <c r="D23" s="30">
        <v>2</v>
      </c>
      <c r="E23" s="101">
        <v>2</v>
      </c>
      <c r="F23" s="123">
        <f t="shared" si="0"/>
        <v>0</v>
      </c>
      <c r="G23" s="96">
        <v>2</v>
      </c>
    </row>
    <row r="24" spans="1:7" s="84" customFormat="1">
      <c r="A24" s="1828"/>
      <c r="B24" s="1828"/>
      <c r="C24" s="79" t="s">
        <v>996</v>
      </c>
      <c r="D24" s="30">
        <v>6</v>
      </c>
      <c r="E24" s="101">
        <v>6</v>
      </c>
      <c r="F24" s="123">
        <f t="shared" si="0"/>
        <v>0</v>
      </c>
      <c r="G24" s="96">
        <v>6</v>
      </c>
    </row>
    <row r="25" spans="1:7" s="84" customFormat="1" ht="27">
      <c r="A25" s="1828"/>
      <c r="B25" s="1828" t="s">
        <v>997</v>
      </c>
      <c r="C25" s="79" t="s">
        <v>998</v>
      </c>
      <c r="D25" s="30">
        <v>3</v>
      </c>
      <c r="E25" s="101">
        <v>3</v>
      </c>
      <c r="F25" s="123">
        <f t="shared" si="0"/>
        <v>0</v>
      </c>
      <c r="G25" s="96">
        <v>3</v>
      </c>
    </row>
    <row r="26" spans="1:7" s="84" customFormat="1">
      <c r="A26" s="1828"/>
      <c r="B26" s="1828"/>
      <c r="C26" s="79" t="s">
        <v>999</v>
      </c>
      <c r="D26" s="30">
        <v>5</v>
      </c>
      <c r="E26" s="101">
        <v>5</v>
      </c>
      <c r="F26" s="123">
        <f t="shared" si="0"/>
        <v>0</v>
      </c>
      <c r="G26" s="96">
        <v>5</v>
      </c>
    </row>
    <row r="27" spans="1:7" s="84" customFormat="1" ht="27">
      <c r="A27" s="1828" t="s">
        <v>1000</v>
      </c>
      <c r="B27" s="85" t="s">
        <v>1001</v>
      </c>
      <c r="C27" s="79" t="s">
        <v>1002</v>
      </c>
      <c r="D27" s="30">
        <v>2</v>
      </c>
      <c r="E27" s="101">
        <v>2</v>
      </c>
      <c r="F27" s="123">
        <f t="shared" si="0"/>
        <v>0</v>
      </c>
      <c r="G27" s="96">
        <v>2</v>
      </c>
    </row>
    <row r="28" spans="1:7" s="84" customFormat="1">
      <c r="A28" s="1828"/>
      <c r="B28" s="85" t="s">
        <v>1003</v>
      </c>
      <c r="C28" s="79" t="s">
        <v>1004</v>
      </c>
      <c r="D28" s="30">
        <v>2</v>
      </c>
      <c r="E28" s="101" t="s">
        <v>1068</v>
      </c>
      <c r="F28" s="123" t="e">
        <f t="shared" si="0"/>
        <v>#VALUE!</v>
      </c>
      <c r="G28" s="183" t="s">
        <v>1460</v>
      </c>
    </row>
    <row r="29" spans="1:7" s="84" customFormat="1">
      <c r="A29" s="1828"/>
      <c r="B29" s="1828" t="s">
        <v>1005</v>
      </c>
      <c r="C29" s="79" t="s">
        <v>1006</v>
      </c>
      <c r="D29" s="30">
        <v>6</v>
      </c>
      <c r="E29" s="101">
        <v>6</v>
      </c>
      <c r="F29" s="123">
        <f t="shared" si="0"/>
        <v>0</v>
      </c>
      <c r="G29" s="183">
        <v>6</v>
      </c>
    </row>
    <row r="30" spans="1:7" s="84" customFormat="1" ht="40.5">
      <c r="A30" s="1828"/>
      <c r="B30" s="1828"/>
      <c r="C30" s="79" t="s">
        <v>1007</v>
      </c>
      <c r="D30" s="30">
        <v>6</v>
      </c>
      <c r="E30" s="101">
        <v>6</v>
      </c>
      <c r="F30" s="123">
        <f t="shared" si="0"/>
        <v>0</v>
      </c>
      <c r="G30" s="183">
        <v>6</v>
      </c>
    </row>
    <row r="31" spans="1:7" s="84" customFormat="1" ht="27">
      <c r="A31" s="30" t="s">
        <v>1008</v>
      </c>
      <c r="B31" s="85" t="s">
        <v>1009</v>
      </c>
      <c r="C31" s="79" t="s">
        <v>1010</v>
      </c>
      <c r="D31" s="30">
        <v>15</v>
      </c>
      <c r="E31" s="101">
        <v>15</v>
      </c>
      <c r="F31" s="123">
        <f t="shared" si="0"/>
        <v>0</v>
      </c>
      <c r="G31" s="183">
        <v>15</v>
      </c>
    </row>
    <row r="32" spans="1:7">
      <c r="A32" s="1830" t="s">
        <v>408</v>
      </c>
      <c r="B32" s="1830"/>
      <c r="C32" s="85"/>
      <c r="D32" s="85">
        <f>SUM(D3:D31)</f>
        <v>100</v>
      </c>
      <c r="E32" s="85">
        <f>SUM(E3:E31)</f>
        <v>92</v>
      </c>
      <c r="F32" s="123">
        <f t="shared" si="0"/>
        <v>8</v>
      </c>
      <c r="G32" s="183">
        <f>SUM(G3:G31)</f>
        <v>94</v>
      </c>
    </row>
    <row r="35" spans="1:7" ht="14.25">
      <c r="B35" s="7" t="s">
        <v>228</v>
      </c>
      <c r="E35" s="111">
        <f>E32</f>
        <v>92</v>
      </c>
      <c r="G35" s="111">
        <f>G32</f>
        <v>94</v>
      </c>
    </row>
    <row r="36" spans="1:7" ht="14.25">
      <c r="B36" s="7"/>
    </row>
    <row r="37" spans="1:7" ht="14.25">
      <c r="B37" s="7"/>
    </row>
    <row r="38" spans="1:7" ht="14.25">
      <c r="B38" s="7"/>
    </row>
    <row r="39" spans="1:7" ht="14.25">
      <c r="B39" s="7"/>
    </row>
    <row r="41" spans="1:7">
      <c r="A41" s="243" t="s">
        <v>1592</v>
      </c>
    </row>
    <row r="42" spans="1:7">
      <c r="A42" s="270" t="s">
        <v>1636</v>
      </c>
    </row>
  </sheetData>
  <mergeCells count="12">
    <mergeCell ref="A27:A30"/>
    <mergeCell ref="B29:B30"/>
    <mergeCell ref="A1:E1"/>
    <mergeCell ref="A32:B32"/>
    <mergeCell ref="A3:A4"/>
    <mergeCell ref="A5:A13"/>
    <mergeCell ref="A14:A17"/>
    <mergeCell ref="B15:B17"/>
    <mergeCell ref="A19:A26"/>
    <mergeCell ref="B19:B20"/>
    <mergeCell ref="B23:B24"/>
    <mergeCell ref="B25:B26"/>
  </mergeCells>
  <phoneticPr fontId="3" type="noConversion"/>
  <conditionalFormatting sqref="F3:F32">
    <cfRule type="cellIs" dxfId="0" priority="1" operator="greaterThan">
      <formula>0</formula>
    </cfRule>
  </conditionalFormatting>
  <hyperlinks>
    <hyperlink ref="A41" location="权重!A1" display="权重!A1"/>
    <hyperlink ref="A42" location="目录!A1" display="目录!A1"/>
  </hyperlinks>
  <pageMargins left="0.70866141732283472" right="0.39370078740157483" top="0.74803149606299213" bottom="0.74803149606299213" header="0.31496062992125984" footer="0.31496062992125984"/>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55"/>
  <sheetViews>
    <sheetView workbookViewId="0">
      <selection activeCell="H9" sqref="H9"/>
    </sheetView>
  </sheetViews>
  <sheetFormatPr defaultRowHeight="13.5"/>
  <cols>
    <col min="1" max="1" width="5.75" style="667" bestFit="1" customWidth="1"/>
    <col min="2" max="2" width="11" style="667" customWidth="1"/>
    <col min="3" max="3" width="36.5" style="86" customWidth="1"/>
    <col min="4" max="4" width="12.625" style="86" customWidth="1"/>
    <col min="5" max="5" width="27.75" style="1266" customWidth="1"/>
    <col min="6" max="6" width="11.875" style="667" bestFit="1" customWidth="1"/>
    <col min="7" max="7" width="11" style="667" bestFit="1" customWidth="1"/>
    <col min="8" max="8" width="16.875" style="1266" customWidth="1"/>
    <col min="9" max="9" width="5.75" style="667" bestFit="1" customWidth="1"/>
    <col min="10" max="10" width="21.5" style="514" bestFit="1" customWidth="1"/>
    <col min="11" max="11" width="5.75" style="667" bestFit="1" customWidth="1"/>
    <col min="12" max="14" width="9" style="514"/>
    <col min="15" max="15" width="7.5" style="514" bestFit="1" customWidth="1"/>
    <col min="16" max="16384" width="9" style="514"/>
  </cols>
  <sheetData>
    <row r="1" spans="1:17" ht="27" customHeight="1">
      <c r="A1" s="1347" t="s">
        <v>2224</v>
      </c>
      <c r="B1" s="1346" t="s">
        <v>2225</v>
      </c>
      <c r="C1" s="1346" t="s">
        <v>2226</v>
      </c>
      <c r="D1" s="1346" t="s">
        <v>2227</v>
      </c>
      <c r="E1" s="1347" t="s">
        <v>2228</v>
      </c>
      <c r="F1" s="1346" t="s">
        <v>2229</v>
      </c>
      <c r="G1" s="1346" t="s">
        <v>2230</v>
      </c>
      <c r="H1" s="1347" t="s">
        <v>2231</v>
      </c>
      <c r="I1" s="1347" t="s">
        <v>2232</v>
      </c>
      <c r="J1" s="1347" t="s">
        <v>2233</v>
      </c>
      <c r="K1" s="1347" t="s">
        <v>2232</v>
      </c>
      <c r="L1" s="851"/>
      <c r="P1" s="1266"/>
      <c r="Q1" s="1266"/>
    </row>
    <row r="2" spans="1:17" ht="27" customHeight="1">
      <c r="A2" s="1352" t="s">
        <v>2355</v>
      </c>
      <c r="B2" s="1348" t="s">
        <v>2356</v>
      </c>
      <c r="C2" s="1359" t="s">
        <v>2371</v>
      </c>
      <c r="D2" s="1278" t="s">
        <v>2243</v>
      </c>
      <c r="E2" s="1349" t="s">
        <v>2370</v>
      </c>
      <c r="F2" s="815" t="s">
        <v>1083</v>
      </c>
      <c r="G2" s="815" t="s">
        <v>1398</v>
      </c>
      <c r="H2" s="1274" t="s">
        <v>2239</v>
      </c>
      <c r="I2" s="1273">
        <v>0</v>
      </c>
      <c r="J2" s="1274" t="s">
        <v>2223</v>
      </c>
      <c r="K2" s="1273">
        <v>1</v>
      </c>
      <c r="L2" s="665"/>
      <c r="P2" s="1266"/>
      <c r="Q2" s="1266"/>
    </row>
    <row r="3" spans="1:17" ht="27" customHeight="1">
      <c r="A3" s="1352" t="s">
        <v>2355</v>
      </c>
      <c r="B3" s="1348" t="s">
        <v>2356</v>
      </c>
      <c r="C3" s="1359" t="s">
        <v>2361</v>
      </c>
      <c r="D3" s="1278" t="s">
        <v>2243</v>
      </c>
      <c r="E3" s="1279" t="s">
        <v>2369</v>
      </c>
      <c r="F3" s="815" t="s">
        <v>1088</v>
      </c>
      <c r="G3" s="815" t="s">
        <v>1398</v>
      </c>
      <c r="H3" s="1354" t="s">
        <v>2255</v>
      </c>
      <c r="I3" s="661">
        <v>2</v>
      </c>
      <c r="J3" s="1274" t="s">
        <v>2239</v>
      </c>
      <c r="K3" s="1273">
        <v>0</v>
      </c>
      <c r="L3" s="665"/>
      <c r="P3" s="1266"/>
      <c r="Q3" s="1266"/>
    </row>
    <row r="4" spans="1:17" s="1350" customFormat="1" ht="27" customHeight="1">
      <c r="A4" s="1352" t="s">
        <v>2355</v>
      </c>
      <c r="B4" s="1348" t="s">
        <v>2356</v>
      </c>
      <c r="C4" s="1359" t="s">
        <v>2361</v>
      </c>
      <c r="D4" s="1278" t="s">
        <v>2243</v>
      </c>
      <c r="E4" s="1358" t="s">
        <v>2368</v>
      </c>
      <c r="F4" s="1353" t="s">
        <v>2367</v>
      </c>
      <c r="G4" s="1353" t="s">
        <v>2362</v>
      </c>
      <c r="H4" s="1267" t="s">
        <v>2255</v>
      </c>
      <c r="I4" s="661">
        <v>1</v>
      </c>
      <c r="J4" s="1274" t="s">
        <v>2239</v>
      </c>
      <c r="K4" s="1273">
        <v>0</v>
      </c>
      <c r="P4" s="1351"/>
      <c r="Q4" s="1351"/>
    </row>
    <row r="5" spans="1:17" ht="24" customHeight="1">
      <c r="A5" s="815" t="s">
        <v>2355</v>
      </c>
      <c r="B5" s="815" t="s">
        <v>2356</v>
      </c>
      <c r="C5" s="1359" t="s">
        <v>2361</v>
      </c>
      <c r="D5" s="1279" t="s">
        <v>2243</v>
      </c>
      <c r="E5" s="1274" t="s">
        <v>2365</v>
      </c>
      <c r="F5" s="815" t="s">
        <v>1085</v>
      </c>
      <c r="G5" s="1268" t="s">
        <v>1398</v>
      </c>
      <c r="H5" s="1267" t="s">
        <v>2255</v>
      </c>
      <c r="I5" s="661">
        <v>1</v>
      </c>
      <c r="J5" s="851" t="s">
        <v>2207</v>
      </c>
      <c r="K5" s="1349">
        <v>1</v>
      </c>
    </row>
    <row r="6" spans="1:17" ht="27" customHeight="1">
      <c r="A6" s="1349" t="s">
        <v>2234</v>
      </c>
      <c r="B6" s="1348" t="s">
        <v>2356</v>
      </c>
      <c r="C6" s="1359" t="s">
        <v>2361</v>
      </c>
      <c r="D6" s="1278" t="s">
        <v>2243</v>
      </c>
      <c r="E6" s="1282" t="s">
        <v>2363</v>
      </c>
      <c r="F6" s="1348" t="s">
        <v>2364</v>
      </c>
      <c r="G6" s="1348" t="s">
        <v>2362</v>
      </c>
      <c r="H6" s="1274" t="s">
        <v>2206</v>
      </c>
      <c r="I6" s="1349">
        <v>1</v>
      </c>
      <c r="J6" s="1274" t="s">
        <v>2239</v>
      </c>
      <c r="K6" s="1273">
        <v>0</v>
      </c>
      <c r="P6" s="1266"/>
      <c r="Q6" s="1266"/>
    </row>
    <row r="7" spans="1:17" s="1350" customFormat="1" ht="27" customHeight="1">
      <c r="A7" s="1349" t="s">
        <v>2234</v>
      </c>
      <c r="B7" s="1348" t="s">
        <v>2356</v>
      </c>
      <c r="C7" s="1359" t="s">
        <v>2361</v>
      </c>
      <c r="D7" s="1278" t="s">
        <v>2243</v>
      </c>
      <c r="E7" s="1282" t="s">
        <v>2359</v>
      </c>
      <c r="F7" s="1348" t="s">
        <v>2360</v>
      </c>
      <c r="G7" s="1348" t="s">
        <v>2362</v>
      </c>
      <c r="H7" s="1274" t="s">
        <v>2206</v>
      </c>
      <c r="I7" s="1349">
        <v>1</v>
      </c>
      <c r="J7" s="851" t="s">
        <v>2207</v>
      </c>
      <c r="K7" s="1349">
        <v>1</v>
      </c>
      <c r="P7" s="1351"/>
      <c r="Q7" s="1351"/>
    </row>
    <row r="8" spans="1:17" ht="42" customHeight="1">
      <c r="A8" s="1268" t="s">
        <v>2234</v>
      </c>
      <c r="B8" s="1268" t="s">
        <v>2356</v>
      </c>
      <c r="C8" s="1279" t="s">
        <v>2235</v>
      </c>
      <c r="D8" s="1279" t="s">
        <v>2236</v>
      </c>
      <c r="E8" s="1274" t="s">
        <v>2237</v>
      </c>
      <c r="F8" s="1273" t="s">
        <v>2238</v>
      </c>
      <c r="G8" s="1273" t="s">
        <v>2372</v>
      </c>
      <c r="H8" s="1274" t="s">
        <v>2236</v>
      </c>
      <c r="I8" s="1273">
        <v>1</v>
      </c>
      <c r="J8" s="1274" t="s">
        <v>2239</v>
      </c>
      <c r="K8" s="1273">
        <v>0</v>
      </c>
    </row>
    <row r="9" spans="1:17" ht="81">
      <c r="A9" s="661" t="s">
        <v>2240</v>
      </c>
      <c r="B9" s="1356" t="s">
        <v>2241</v>
      </c>
      <c r="C9" s="1279" t="s">
        <v>2242</v>
      </c>
      <c r="D9" s="1278" t="s">
        <v>2243</v>
      </c>
      <c r="E9" s="1274" t="s">
        <v>2244</v>
      </c>
      <c r="F9" s="815" t="s">
        <v>2245</v>
      </c>
      <c r="G9" s="1268" t="s">
        <v>2246</v>
      </c>
      <c r="H9" s="1274" t="s">
        <v>2206</v>
      </c>
      <c r="I9" s="661">
        <v>1</v>
      </c>
      <c r="J9" s="851" t="s">
        <v>2207</v>
      </c>
      <c r="K9" s="661">
        <v>1</v>
      </c>
    </row>
    <row r="10" spans="1:17" ht="27">
      <c r="A10" s="1268" t="s">
        <v>2234</v>
      </c>
      <c r="B10" s="661" t="s">
        <v>2247</v>
      </c>
      <c r="C10" s="1275" t="s">
        <v>2248</v>
      </c>
      <c r="D10" s="1279" t="s">
        <v>2249</v>
      </c>
      <c r="E10" s="1274" t="s">
        <v>2248</v>
      </c>
      <c r="F10" s="815" t="s">
        <v>2245</v>
      </c>
      <c r="G10" s="1268" t="s">
        <v>2246</v>
      </c>
      <c r="H10" s="1274" t="s">
        <v>2250</v>
      </c>
      <c r="I10" s="661">
        <v>1</v>
      </c>
      <c r="J10" s="851" t="s">
        <v>2209</v>
      </c>
      <c r="K10" s="661">
        <v>0</v>
      </c>
    </row>
    <row r="11" spans="1:17" ht="27">
      <c r="A11" s="815" t="s">
        <v>2240</v>
      </c>
      <c r="B11" s="815" t="s">
        <v>2251</v>
      </c>
      <c r="C11" s="1275" t="s">
        <v>2252</v>
      </c>
      <c r="D11" s="1279" t="s">
        <v>2243</v>
      </c>
      <c r="E11" s="1274" t="s">
        <v>2253</v>
      </c>
      <c r="F11" s="815" t="s">
        <v>2254</v>
      </c>
      <c r="G11" s="1268" t="s">
        <v>2246</v>
      </c>
      <c r="H11" s="1267" t="s">
        <v>2255</v>
      </c>
      <c r="I11" s="661">
        <v>1</v>
      </c>
      <c r="J11" s="851" t="s">
        <v>2256</v>
      </c>
      <c r="K11" s="661">
        <v>0</v>
      </c>
    </row>
    <row r="12" spans="1:17" ht="40.5">
      <c r="A12" s="815" t="s">
        <v>2240</v>
      </c>
      <c r="B12" s="815" t="s">
        <v>2257</v>
      </c>
      <c r="C12" s="1276" t="s">
        <v>2258</v>
      </c>
      <c r="D12" s="1275" t="s">
        <v>2243</v>
      </c>
      <c r="E12" s="1274" t="s">
        <v>2259</v>
      </c>
      <c r="F12" s="815" t="s">
        <v>2260</v>
      </c>
      <c r="G12" s="1268" t="s">
        <v>2246</v>
      </c>
      <c r="H12" s="1267" t="s">
        <v>2255</v>
      </c>
      <c r="I12" s="661">
        <v>1</v>
      </c>
      <c r="J12" s="315" t="s">
        <v>2256</v>
      </c>
      <c r="K12" s="815">
        <v>0</v>
      </c>
    </row>
    <row r="13" spans="1:17" ht="28.5" customHeight="1">
      <c r="A13" s="815" t="s">
        <v>2240</v>
      </c>
      <c r="B13" s="1268" t="s">
        <v>2257</v>
      </c>
      <c r="C13" s="1279" t="s">
        <v>2366</v>
      </c>
      <c r="D13" s="1279" t="s">
        <v>2243</v>
      </c>
      <c r="E13" s="1274" t="s">
        <v>2261</v>
      </c>
      <c r="F13" s="815" t="s">
        <v>2262</v>
      </c>
      <c r="G13" s="1268" t="s">
        <v>2246</v>
      </c>
      <c r="H13" s="1267" t="s">
        <v>2255</v>
      </c>
      <c r="I13" s="661">
        <v>1</v>
      </c>
      <c r="J13" s="315" t="s">
        <v>2256</v>
      </c>
      <c r="K13" s="815">
        <v>0</v>
      </c>
    </row>
    <row r="14" spans="1:17" ht="17.25" customHeight="1">
      <c r="A14" s="1273" t="s">
        <v>2240</v>
      </c>
      <c r="B14" s="1273" t="s">
        <v>2257</v>
      </c>
      <c r="C14" s="1276" t="s">
        <v>2263</v>
      </c>
      <c r="D14" s="1279" t="s">
        <v>2264</v>
      </c>
      <c r="E14" s="1274" t="s">
        <v>2265</v>
      </c>
      <c r="F14" s="1268" t="s">
        <v>2245</v>
      </c>
      <c r="G14" s="1268" t="s">
        <v>2246</v>
      </c>
      <c r="H14" s="1274" t="s">
        <v>2255</v>
      </c>
      <c r="I14" s="1273">
        <v>1</v>
      </c>
      <c r="J14" s="1274" t="s">
        <v>2223</v>
      </c>
      <c r="K14" s="1273">
        <v>1</v>
      </c>
    </row>
    <row r="15" spans="1:17" ht="27.75" customHeight="1">
      <c r="A15" s="1273" t="s">
        <v>2240</v>
      </c>
      <c r="B15" s="1273" t="s">
        <v>2257</v>
      </c>
      <c r="C15" s="1276" t="s">
        <v>2263</v>
      </c>
      <c r="D15" s="1279" t="s">
        <v>2264</v>
      </c>
      <c r="E15" s="1274" t="s">
        <v>2266</v>
      </c>
      <c r="F15" s="1268" t="s">
        <v>2245</v>
      </c>
      <c r="G15" s="1268" t="s">
        <v>2246</v>
      </c>
      <c r="H15" s="1274" t="s">
        <v>2206</v>
      </c>
      <c r="I15" s="1273">
        <v>2</v>
      </c>
      <c r="J15" s="1274" t="s">
        <v>2223</v>
      </c>
      <c r="K15" s="1273">
        <v>1</v>
      </c>
    </row>
    <row r="16" spans="1:17" ht="31.5" customHeight="1">
      <c r="A16" s="661" t="s">
        <v>2240</v>
      </c>
      <c r="B16" s="661" t="s">
        <v>2257</v>
      </c>
      <c r="C16" s="1276" t="s">
        <v>2263</v>
      </c>
      <c r="D16" s="1276" t="s">
        <v>2267</v>
      </c>
      <c r="E16" s="1274"/>
      <c r="F16" s="815" t="s">
        <v>2245</v>
      </c>
      <c r="G16" s="1268" t="s">
        <v>2268</v>
      </c>
      <c r="H16" s="1282" t="s">
        <v>2269</v>
      </c>
      <c r="I16" s="661"/>
      <c r="J16" s="851" t="s">
        <v>2256</v>
      </c>
      <c r="K16" s="661">
        <v>0</v>
      </c>
    </row>
    <row r="17" spans="1:11" ht="81">
      <c r="A17" s="815" t="s">
        <v>2240</v>
      </c>
      <c r="B17" s="661" t="s">
        <v>2357</v>
      </c>
      <c r="C17" s="1275" t="s">
        <v>2270</v>
      </c>
      <c r="D17" s="1276" t="s">
        <v>2243</v>
      </c>
      <c r="E17" s="1274" t="s">
        <v>2271</v>
      </c>
      <c r="F17" s="661" t="s">
        <v>2272</v>
      </c>
      <c r="G17" s="1273" t="s">
        <v>2246</v>
      </c>
      <c r="H17" s="1274" t="s">
        <v>2206</v>
      </c>
      <c r="I17" s="661">
        <v>1</v>
      </c>
      <c r="J17" s="851" t="s">
        <v>2209</v>
      </c>
      <c r="K17" s="661">
        <v>0</v>
      </c>
    </row>
    <row r="18" spans="1:11" ht="40.5">
      <c r="A18" s="815" t="s">
        <v>2240</v>
      </c>
      <c r="B18" s="661" t="s">
        <v>2358</v>
      </c>
      <c r="C18" s="1275" t="s">
        <v>2270</v>
      </c>
      <c r="D18" s="1276" t="s">
        <v>2243</v>
      </c>
      <c r="E18" s="1274" t="s">
        <v>2273</v>
      </c>
      <c r="F18" s="661" t="s">
        <v>2272</v>
      </c>
      <c r="G18" s="1273" t="s">
        <v>2246</v>
      </c>
      <c r="H18" s="1274" t="s">
        <v>2206</v>
      </c>
      <c r="I18" s="661">
        <v>1</v>
      </c>
      <c r="J18" s="851" t="s">
        <v>2209</v>
      </c>
      <c r="K18" s="661">
        <v>0</v>
      </c>
    </row>
    <row r="19" spans="1:11" ht="40.5">
      <c r="A19" s="815" t="s">
        <v>2240</v>
      </c>
      <c r="B19" s="661" t="s">
        <v>2358</v>
      </c>
      <c r="C19" s="1275" t="s">
        <v>2270</v>
      </c>
      <c r="D19" s="1276" t="s">
        <v>2243</v>
      </c>
      <c r="E19" s="1274" t="s">
        <v>2274</v>
      </c>
      <c r="F19" s="661" t="s">
        <v>2272</v>
      </c>
      <c r="G19" s="1273" t="s">
        <v>2246</v>
      </c>
      <c r="H19" s="1274" t="s">
        <v>2206</v>
      </c>
      <c r="I19" s="661">
        <v>1</v>
      </c>
      <c r="J19" s="851" t="s">
        <v>2209</v>
      </c>
      <c r="K19" s="661">
        <v>0</v>
      </c>
    </row>
    <row r="20" spans="1:11" ht="54" hidden="1">
      <c r="A20" s="815" t="s">
        <v>2281</v>
      </c>
      <c r="B20" s="815" t="s">
        <v>2275</v>
      </c>
      <c r="C20" s="1275" t="s">
        <v>2276</v>
      </c>
      <c r="D20" s="1278" t="s">
        <v>2243</v>
      </c>
      <c r="E20" s="1267" t="s">
        <v>2277</v>
      </c>
      <c r="F20" s="815" t="s">
        <v>2245</v>
      </c>
      <c r="G20" s="815" t="s">
        <v>2246</v>
      </c>
      <c r="H20" s="1274" t="s">
        <v>2206</v>
      </c>
      <c r="I20" s="1268">
        <v>1</v>
      </c>
      <c r="J20" s="851" t="s">
        <v>2207</v>
      </c>
      <c r="K20" s="661">
        <v>1</v>
      </c>
    </row>
    <row r="21" spans="1:11" ht="189" hidden="1">
      <c r="A21" s="815" t="s">
        <v>2281</v>
      </c>
      <c r="B21" s="815" t="s">
        <v>2275</v>
      </c>
      <c r="C21" s="1276" t="s">
        <v>2219</v>
      </c>
      <c r="D21" s="1279" t="s">
        <v>2243</v>
      </c>
      <c r="E21" s="1274" t="s">
        <v>2278</v>
      </c>
      <c r="F21" s="815" t="s">
        <v>2262</v>
      </c>
      <c r="G21" s="1268" t="s">
        <v>2246</v>
      </c>
      <c r="H21" s="1267" t="s">
        <v>2255</v>
      </c>
      <c r="I21" s="815">
        <v>1</v>
      </c>
      <c r="J21" s="851" t="s">
        <v>2207</v>
      </c>
      <c r="K21" s="661">
        <v>1</v>
      </c>
    </row>
    <row r="22" spans="1:11" ht="40.5" hidden="1">
      <c r="A22" s="815" t="s">
        <v>2281</v>
      </c>
      <c r="B22" s="815" t="s">
        <v>2275</v>
      </c>
      <c r="C22" s="1275" t="s">
        <v>2276</v>
      </c>
      <c r="D22" s="1279" t="s">
        <v>2249</v>
      </c>
      <c r="E22" s="1274" t="s">
        <v>2279</v>
      </c>
      <c r="F22" s="815" t="s">
        <v>2260</v>
      </c>
      <c r="G22" s="1268" t="s">
        <v>2246</v>
      </c>
      <c r="H22" s="1274" t="s">
        <v>2250</v>
      </c>
      <c r="I22" s="661">
        <v>1</v>
      </c>
      <c r="J22" s="315" t="s">
        <v>2280</v>
      </c>
      <c r="K22" s="815">
        <v>1</v>
      </c>
    </row>
    <row r="23" spans="1:11" ht="135" hidden="1">
      <c r="A23" s="1355" t="s">
        <v>2281</v>
      </c>
      <c r="B23" s="1357" t="s">
        <v>2282</v>
      </c>
      <c r="C23" s="1360" t="s">
        <v>2283</v>
      </c>
      <c r="D23" s="1271" t="s">
        <v>2284</v>
      </c>
      <c r="E23" s="1270" t="s">
        <v>2285</v>
      </c>
      <c r="F23" s="1269" t="s">
        <v>2286</v>
      </c>
      <c r="G23" s="1272" t="s">
        <v>2287</v>
      </c>
      <c r="H23" s="1270" t="s">
        <v>2256</v>
      </c>
      <c r="I23" s="1272">
        <v>0</v>
      </c>
      <c r="J23" s="1270" t="s">
        <v>2284</v>
      </c>
      <c r="K23" s="661">
        <v>1</v>
      </c>
    </row>
    <row r="24" spans="1:11" ht="57.75" hidden="1" customHeight="1">
      <c r="A24" s="661" t="s">
        <v>2281</v>
      </c>
      <c r="B24" s="815" t="s">
        <v>2282</v>
      </c>
      <c r="C24" s="1275" t="s">
        <v>2276</v>
      </c>
      <c r="D24" s="1276" t="s">
        <v>2243</v>
      </c>
      <c r="E24" s="1274" t="s">
        <v>2208</v>
      </c>
      <c r="F24" s="661" t="s">
        <v>2288</v>
      </c>
      <c r="G24" s="1273" t="s">
        <v>2246</v>
      </c>
      <c r="H24" s="1274" t="s">
        <v>2206</v>
      </c>
      <c r="I24" s="661">
        <v>1</v>
      </c>
      <c r="J24" s="851" t="s">
        <v>2209</v>
      </c>
      <c r="K24" s="661">
        <v>0</v>
      </c>
    </row>
    <row r="25" spans="1:11" ht="81" hidden="1">
      <c r="A25" s="661" t="s">
        <v>2281</v>
      </c>
      <c r="B25" s="815" t="s">
        <v>2282</v>
      </c>
      <c r="C25" s="1275" t="s">
        <v>2276</v>
      </c>
      <c r="D25" s="1276" t="s">
        <v>2243</v>
      </c>
      <c r="E25" s="1274" t="s">
        <v>2271</v>
      </c>
      <c r="F25" s="661" t="s">
        <v>2272</v>
      </c>
      <c r="G25" s="1273" t="s">
        <v>2246</v>
      </c>
      <c r="H25" s="1274" t="s">
        <v>2206</v>
      </c>
      <c r="I25" s="661">
        <v>1</v>
      </c>
      <c r="J25" s="851" t="s">
        <v>2209</v>
      </c>
      <c r="K25" s="661">
        <v>0</v>
      </c>
    </row>
    <row r="26" spans="1:11" ht="40.5" hidden="1">
      <c r="A26" s="661" t="s">
        <v>2281</v>
      </c>
      <c r="B26" s="815" t="s">
        <v>2282</v>
      </c>
      <c r="C26" s="1275" t="s">
        <v>2276</v>
      </c>
      <c r="D26" s="1276" t="s">
        <v>2243</v>
      </c>
      <c r="E26" s="1274" t="s">
        <v>2273</v>
      </c>
      <c r="F26" s="661" t="s">
        <v>2272</v>
      </c>
      <c r="G26" s="1273" t="s">
        <v>2246</v>
      </c>
      <c r="H26" s="1274" t="s">
        <v>2206</v>
      </c>
      <c r="I26" s="661">
        <v>1</v>
      </c>
      <c r="J26" s="851" t="s">
        <v>2209</v>
      </c>
      <c r="K26" s="661">
        <v>0</v>
      </c>
    </row>
    <row r="27" spans="1:11" ht="40.5" hidden="1">
      <c r="A27" s="661" t="s">
        <v>2281</v>
      </c>
      <c r="B27" s="815" t="s">
        <v>2282</v>
      </c>
      <c r="C27" s="1275" t="s">
        <v>2276</v>
      </c>
      <c r="D27" s="1276" t="s">
        <v>2243</v>
      </c>
      <c r="E27" s="1274" t="s">
        <v>2274</v>
      </c>
      <c r="F27" s="661" t="s">
        <v>2272</v>
      </c>
      <c r="G27" s="1273" t="s">
        <v>2246</v>
      </c>
      <c r="H27" s="1274" t="s">
        <v>2206</v>
      </c>
      <c r="I27" s="661">
        <v>1</v>
      </c>
      <c r="J27" s="851" t="s">
        <v>2209</v>
      </c>
      <c r="K27" s="661">
        <v>0</v>
      </c>
    </row>
    <row r="28" spans="1:11" ht="94.5" hidden="1">
      <c r="A28" s="815" t="s">
        <v>2281</v>
      </c>
      <c r="B28" s="815" t="s">
        <v>2282</v>
      </c>
      <c r="C28" s="1275" t="s">
        <v>2276</v>
      </c>
      <c r="D28" s="1276" t="s">
        <v>2243</v>
      </c>
      <c r="E28" s="1274" t="s">
        <v>2210</v>
      </c>
      <c r="F28" s="661" t="s">
        <v>2289</v>
      </c>
      <c r="G28" s="1273" t="s">
        <v>2246</v>
      </c>
      <c r="H28" s="1274" t="s">
        <v>2206</v>
      </c>
      <c r="I28" s="661">
        <v>1</v>
      </c>
      <c r="J28" s="851" t="s">
        <v>2207</v>
      </c>
      <c r="K28" s="661">
        <v>1</v>
      </c>
    </row>
    <row r="29" spans="1:11" ht="337.5" hidden="1">
      <c r="A29" s="815" t="s">
        <v>2281</v>
      </c>
      <c r="B29" s="815" t="s">
        <v>2282</v>
      </c>
      <c r="C29" s="1275" t="s">
        <v>2276</v>
      </c>
      <c r="D29" s="1276" t="s">
        <v>2243</v>
      </c>
      <c r="E29" s="1277" t="s">
        <v>2290</v>
      </c>
      <c r="F29" s="661" t="s">
        <v>2262</v>
      </c>
      <c r="G29" s="1273" t="s">
        <v>2246</v>
      </c>
      <c r="H29" s="1274" t="s">
        <v>2206</v>
      </c>
      <c r="I29" s="661">
        <v>1</v>
      </c>
      <c r="J29" s="851" t="s">
        <v>2291</v>
      </c>
      <c r="K29" s="661">
        <v>2</v>
      </c>
    </row>
    <row r="30" spans="1:11" ht="40.5" hidden="1">
      <c r="A30" s="815" t="s">
        <v>2281</v>
      </c>
      <c r="B30" s="815" t="s">
        <v>2282</v>
      </c>
      <c r="C30" s="1275" t="s">
        <v>2276</v>
      </c>
      <c r="D30" s="1276" t="s">
        <v>2243</v>
      </c>
      <c r="E30" s="1274" t="s">
        <v>2292</v>
      </c>
      <c r="F30" s="661" t="s">
        <v>2260</v>
      </c>
      <c r="G30" s="1273" t="s">
        <v>2246</v>
      </c>
      <c r="H30" s="1274" t="s">
        <v>2206</v>
      </c>
      <c r="I30" s="661">
        <v>1</v>
      </c>
      <c r="J30" s="851" t="s">
        <v>2207</v>
      </c>
      <c r="K30" s="661">
        <v>1</v>
      </c>
    </row>
    <row r="31" spans="1:11" ht="67.5" hidden="1">
      <c r="A31" s="815" t="s">
        <v>2281</v>
      </c>
      <c r="B31" s="815" t="s">
        <v>2282</v>
      </c>
      <c r="C31" s="1275" t="s">
        <v>2276</v>
      </c>
      <c r="D31" s="1276" t="s">
        <v>2243</v>
      </c>
      <c r="E31" s="1274" t="s">
        <v>2211</v>
      </c>
      <c r="F31" s="661" t="s">
        <v>2286</v>
      </c>
      <c r="G31" s="1273" t="s">
        <v>2268</v>
      </c>
      <c r="H31" s="1274" t="s">
        <v>2206</v>
      </c>
      <c r="I31" s="661">
        <v>1</v>
      </c>
      <c r="J31" s="851" t="s">
        <v>2209</v>
      </c>
      <c r="K31" s="661">
        <v>0</v>
      </c>
    </row>
    <row r="32" spans="1:11" ht="81" hidden="1">
      <c r="A32" s="815" t="s">
        <v>2281</v>
      </c>
      <c r="B32" s="815" t="s">
        <v>2282</v>
      </c>
      <c r="C32" s="1275" t="s">
        <v>2276</v>
      </c>
      <c r="D32" s="1276" t="s">
        <v>2243</v>
      </c>
      <c r="E32" s="1274" t="s">
        <v>2212</v>
      </c>
      <c r="F32" s="661" t="s">
        <v>2286</v>
      </c>
      <c r="G32" s="1273" t="s">
        <v>2246</v>
      </c>
      <c r="H32" s="1274" t="s">
        <v>2206</v>
      </c>
      <c r="I32" s="661">
        <v>1</v>
      </c>
      <c r="J32" s="851" t="s">
        <v>2207</v>
      </c>
      <c r="K32" s="661">
        <v>1</v>
      </c>
    </row>
    <row r="33" spans="1:11" ht="135" hidden="1">
      <c r="A33" s="815" t="s">
        <v>2281</v>
      </c>
      <c r="B33" s="815" t="s">
        <v>2282</v>
      </c>
      <c r="C33" s="1275" t="s">
        <v>2276</v>
      </c>
      <c r="D33" s="1276" t="s">
        <v>2243</v>
      </c>
      <c r="E33" s="1274" t="s">
        <v>2213</v>
      </c>
      <c r="F33" s="661" t="s">
        <v>2254</v>
      </c>
      <c r="G33" s="1273" t="s">
        <v>2246</v>
      </c>
      <c r="H33" s="1274" t="s">
        <v>2206</v>
      </c>
      <c r="I33" s="661">
        <v>1</v>
      </c>
      <c r="J33" s="851" t="s">
        <v>2256</v>
      </c>
      <c r="K33" s="661">
        <v>0</v>
      </c>
    </row>
    <row r="34" spans="1:11" ht="135" hidden="1">
      <c r="A34" s="815" t="s">
        <v>2281</v>
      </c>
      <c r="B34" s="815" t="s">
        <v>2282</v>
      </c>
      <c r="C34" s="1275" t="s">
        <v>2293</v>
      </c>
      <c r="D34" s="1276" t="s">
        <v>2294</v>
      </c>
      <c r="E34" s="1274" t="s">
        <v>2295</v>
      </c>
      <c r="F34" s="661" t="s">
        <v>2272</v>
      </c>
      <c r="G34" s="1273" t="s">
        <v>2296</v>
      </c>
      <c r="H34" s="1274" t="s">
        <v>2294</v>
      </c>
      <c r="I34" s="661">
        <v>1</v>
      </c>
      <c r="J34" s="851" t="s">
        <v>2256</v>
      </c>
      <c r="K34" s="661">
        <v>0</v>
      </c>
    </row>
    <row r="35" spans="1:11" ht="65.25" hidden="1" customHeight="1">
      <c r="A35" s="815" t="s">
        <v>2281</v>
      </c>
      <c r="B35" s="815" t="s">
        <v>2282</v>
      </c>
      <c r="C35" s="1275" t="s">
        <v>2293</v>
      </c>
      <c r="D35" s="1276" t="s">
        <v>2294</v>
      </c>
      <c r="E35" s="1274" t="s">
        <v>2297</v>
      </c>
      <c r="F35" s="661" t="s">
        <v>2298</v>
      </c>
      <c r="G35" s="1273" t="s">
        <v>2299</v>
      </c>
      <c r="H35" s="1274" t="s">
        <v>2256</v>
      </c>
      <c r="I35" s="661">
        <v>0</v>
      </c>
      <c r="J35" s="851" t="s">
        <v>2294</v>
      </c>
      <c r="K35" s="661">
        <v>1</v>
      </c>
    </row>
    <row r="36" spans="1:11" ht="47.25" hidden="1" customHeight="1">
      <c r="A36" s="815" t="s">
        <v>2281</v>
      </c>
      <c r="B36" s="815" t="s">
        <v>2282</v>
      </c>
      <c r="C36" s="1275" t="s">
        <v>2276</v>
      </c>
      <c r="D36" s="1276" t="s">
        <v>2300</v>
      </c>
      <c r="E36" s="1274" t="s">
        <v>2301</v>
      </c>
      <c r="F36" s="815" t="s">
        <v>2260</v>
      </c>
      <c r="G36" s="1273" t="s">
        <v>2268</v>
      </c>
      <c r="H36" s="1274" t="s">
        <v>2300</v>
      </c>
      <c r="I36" s="1273">
        <v>1</v>
      </c>
      <c r="J36" s="851" t="s">
        <v>2256</v>
      </c>
      <c r="K36" s="661">
        <v>0</v>
      </c>
    </row>
    <row r="37" spans="1:11" ht="28.5" hidden="1" customHeight="1">
      <c r="A37" s="815" t="s">
        <v>2281</v>
      </c>
      <c r="B37" s="815" t="s">
        <v>2302</v>
      </c>
      <c r="C37" s="1279" t="s">
        <v>2303</v>
      </c>
      <c r="D37" s="1276" t="s">
        <v>2243</v>
      </c>
      <c r="E37" s="1267" t="s">
        <v>2304</v>
      </c>
      <c r="F37" s="661" t="s">
        <v>2260</v>
      </c>
      <c r="G37" s="1273" t="s">
        <v>2246</v>
      </c>
      <c r="H37" s="1274" t="s">
        <v>2206</v>
      </c>
      <c r="I37" s="661">
        <v>1</v>
      </c>
      <c r="J37" s="851" t="s">
        <v>2209</v>
      </c>
      <c r="K37" s="661">
        <v>0</v>
      </c>
    </row>
    <row r="38" spans="1:11" ht="175.5" hidden="1">
      <c r="A38" s="815" t="s">
        <v>2281</v>
      </c>
      <c r="B38" s="661" t="s">
        <v>2305</v>
      </c>
      <c r="C38" s="1276" t="s">
        <v>2306</v>
      </c>
      <c r="D38" s="1276" t="s">
        <v>2243</v>
      </c>
      <c r="E38" s="1267" t="s">
        <v>2307</v>
      </c>
      <c r="F38" s="661" t="s">
        <v>2262</v>
      </c>
      <c r="G38" s="1273" t="s">
        <v>2246</v>
      </c>
      <c r="H38" s="1274" t="s">
        <v>2206</v>
      </c>
      <c r="I38" s="661">
        <v>1</v>
      </c>
      <c r="J38" s="851" t="s">
        <v>2209</v>
      </c>
      <c r="K38" s="661">
        <v>0</v>
      </c>
    </row>
    <row r="39" spans="1:11" ht="67.5" hidden="1">
      <c r="A39" s="815" t="s">
        <v>2281</v>
      </c>
      <c r="B39" s="815" t="s">
        <v>2305</v>
      </c>
      <c r="C39" s="1279" t="s">
        <v>2308</v>
      </c>
      <c r="D39" s="1276" t="s">
        <v>2243</v>
      </c>
      <c r="E39" s="1267" t="s">
        <v>2309</v>
      </c>
      <c r="F39" s="661" t="s">
        <v>2260</v>
      </c>
      <c r="G39" s="1273" t="s">
        <v>2246</v>
      </c>
      <c r="H39" s="1274" t="s">
        <v>2206</v>
      </c>
      <c r="I39" s="661">
        <v>1</v>
      </c>
      <c r="J39" s="851" t="s">
        <v>2209</v>
      </c>
      <c r="K39" s="661">
        <v>0</v>
      </c>
    </row>
    <row r="40" spans="1:11" ht="40.5" hidden="1">
      <c r="A40" s="815" t="s">
        <v>2281</v>
      </c>
      <c r="B40" s="661" t="s">
        <v>2305</v>
      </c>
      <c r="C40" s="1279" t="s">
        <v>2310</v>
      </c>
      <c r="D40" s="1279" t="s">
        <v>2311</v>
      </c>
      <c r="E40" s="1274" t="s">
        <v>2222</v>
      </c>
      <c r="F40" s="815" t="s">
        <v>2289</v>
      </c>
      <c r="G40" s="1268" t="s">
        <v>2310</v>
      </c>
      <c r="H40" s="1274" t="s">
        <v>2221</v>
      </c>
      <c r="I40" s="1273">
        <v>1</v>
      </c>
      <c r="J40" s="851" t="s">
        <v>2256</v>
      </c>
      <c r="K40" s="661">
        <v>0</v>
      </c>
    </row>
    <row r="41" spans="1:11" ht="162" hidden="1">
      <c r="A41" s="661" t="s">
        <v>2281</v>
      </c>
      <c r="B41" s="661" t="s">
        <v>2312</v>
      </c>
      <c r="C41" s="1276" t="s">
        <v>2313</v>
      </c>
      <c r="D41" s="1276" t="s">
        <v>2243</v>
      </c>
      <c r="E41" s="1274" t="s">
        <v>2314</v>
      </c>
      <c r="F41" s="661" t="s">
        <v>2289</v>
      </c>
      <c r="G41" s="1273" t="s">
        <v>2246</v>
      </c>
      <c r="H41" s="1274" t="s">
        <v>2255</v>
      </c>
      <c r="I41" s="661">
        <v>1</v>
      </c>
      <c r="J41" s="851" t="s">
        <v>2207</v>
      </c>
      <c r="K41" s="661">
        <v>1</v>
      </c>
    </row>
    <row r="42" spans="1:11" ht="409.5" hidden="1">
      <c r="A42" s="661" t="s">
        <v>2281</v>
      </c>
      <c r="B42" s="661" t="s">
        <v>2214</v>
      </c>
      <c r="C42" s="1276" t="s">
        <v>2315</v>
      </c>
      <c r="D42" s="1276" t="s">
        <v>2243</v>
      </c>
      <c r="E42" s="1274" t="s">
        <v>2316</v>
      </c>
      <c r="F42" s="661" t="s">
        <v>2262</v>
      </c>
      <c r="G42" s="1273" t="s">
        <v>2317</v>
      </c>
      <c r="H42" s="1274" t="s">
        <v>2206</v>
      </c>
      <c r="I42" s="661">
        <v>1</v>
      </c>
      <c r="J42" s="851" t="s">
        <v>2209</v>
      </c>
      <c r="K42" s="661">
        <v>0</v>
      </c>
    </row>
    <row r="43" spans="1:11" ht="54" hidden="1">
      <c r="A43" s="661" t="s">
        <v>2281</v>
      </c>
      <c r="B43" s="661" t="s">
        <v>2214</v>
      </c>
      <c r="C43" s="1276" t="s">
        <v>2318</v>
      </c>
      <c r="D43" s="1276" t="s">
        <v>2243</v>
      </c>
      <c r="E43" s="1274" t="s">
        <v>2319</v>
      </c>
      <c r="F43" s="661" t="s">
        <v>2260</v>
      </c>
      <c r="G43" s="1273" t="s">
        <v>2246</v>
      </c>
      <c r="H43" s="1274" t="s">
        <v>2206</v>
      </c>
      <c r="I43" s="661">
        <v>1</v>
      </c>
      <c r="J43" s="851" t="s">
        <v>2207</v>
      </c>
      <c r="K43" s="661">
        <v>1</v>
      </c>
    </row>
    <row r="44" spans="1:11" ht="108" hidden="1">
      <c r="A44" s="661" t="s">
        <v>2281</v>
      </c>
      <c r="B44" s="661" t="s">
        <v>2214</v>
      </c>
      <c r="C44" s="1276" t="s">
        <v>2320</v>
      </c>
      <c r="D44" s="1276" t="s">
        <v>2243</v>
      </c>
      <c r="E44" s="1274" t="s">
        <v>2321</v>
      </c>
      <c r="F44" s="661" t="s">
        <v>2254</v>
      </c>
      <c r="G44" s="1273" t="s">
        <v>2246</v>
      </c>
      <c r="H44" s="1274" t="s">
        <v>2206</v>
      </c>
      <c r="I44" s="661">
        <v>1</v>
      </c>
      <c r="J44" s="851" t="s">
        <v>2209</v>
      </c>
      <c r="K44" s="661">
        <v>0</v>
      </c>
    </row>
    <row r="45" spans="1:11" ht="54" hidden="1">
      <c r="A45" s="1285" t="s">
        <v>2281</v>
      </c>
      <c r="B45" s="1285" t="s">
        <v>2214</v>
      </c>
      <c r="C45" s="1284" t="s">
        <v>2318</v>
      </c>
      <c r="D45" s="1284" t="s">
        <v>2322</v>
      </c>
      <c r="E45" s="1280" t="s">
        <v>2323</v>
      </c>
      <c r="F45" s="1285" t="s">
        <v>2260</v>
      </c>
      <c r="G45" s="1281" t="s">
        <v>2324</v>
      </c>
      <c r="H45" s="1280" t="s">
        <v>2215</v>
      </c>
      <c r="I45" s="1285">
        <v>1</v>
      </c>
      <c r="J45" s="1283" t="s">
        <v>2209</v>
      </c>
      <c r="K45" s="1285">
        <v>0</v>
      </c>
    </row>
    <row r="46" spans="1:11" ht="108" hidden="1">
      <c r="A46" s="661" t="s">
        <v>2281</v>
      </c>
      <c r="B46" s="661" t="s">
        <v>2214</v>
      </c>
      <c r="C46" s="1276" t="s">
        <v>2318</v>
      </c>
      <c r="D46" s="1276" t="s">
        <v>2243</v>
      </c>
      <c r="E46" s="1267" t="s">
        <v>2325</v>
      </c>
      <c r="F46" s="815" t="s">
        <v>2272</v>
      </c>
      <c r="G46" s="1273" t="s">
        <v>2246</v>
      </c>
      <c r="H46" s="1274" t="s">
        <v>2206</v>
      </c>
      <c r="I46" s="661">
        <v>1</v>
      </c>
      <c r="J46" s="851" t="s">
        <v>2209</v>
      </c>
      <c r="K46" s="661">
        <v>0</v>
      </c>
    </row>
    <row r="47" spans="1:11" ht="40.5" hidden="1">
      <c r="A47" s="815" t="s">
        <v>2281</v>
      </c>
      <c r="B47" s="815" t="s">
        <v>2312</v>
      </c>
      <c r="C47" s="1279" t="s">
        <v>2310</v>
      </c>
      <c r="D47" s="1279" t="s">
        <v>2311</v>
      </c>
      <c r="E47" s="1274" t="s">
        <v>2220</v>
      </c>
      <c r="F47" s="815" t="s">
        <v>2262</v>
      </c>
      <c r="G47" s="1268" t="s">
        <v>2310</v>
      </c>
      <c r="H47" s="1274" t="s">
        <v>2221</v>
      </c>
      <c r="I47" s="1273">
        <v>1</v>
      </c>
      <c r="J47" s="851" t="s">
        <v>2256</v>
      </c>
      <c r="K47" s="661">
        <v>0</v>
      </c>
    </row>
    <row r="48" spans="1:11" ht="27" hidden="1">
      <c r="A48" s="661" t="s">
        <v>2281</v>
      </c>
      <c r="B48" s="661" t="s">
        <v>2216</v>
      </c>
      <c r="C48" s="1276" t="s">
        <v>2326</v>
      </c>
      <c r="D48" s="1276" t="s">
        <v>2243</v>
      </c>
      <c r="E48" s="1274" t="s">
        <v>2327</v>
      </c>
      <c r="F48" s="661" t="s">
        <v>2286</v>
      </c>
      <c r="G48" s="1273" t="s">
        <v>2268</v>
      </c>
      <c r="H48" s="1274" t="s">
        <v>2206</v>
      </c>
      <c r="I48" s="661">
        <v>1</v>
      </c>
      <c r="J48" s="851" t="s">
        <v>2207</v>
      </c>
      <c r="K48" s="661">
        <v>1</v>
      </c>
    </row>
    <row r="49" spans="1:11" hidden="1">
      <c r="A49" s="661" t="s">
        <v>2281</v>
      </c>
      <c r="B49" s="661" t="s">
        <v>2328</v>
      </c>
      <c r="C49" s="1276" t="s">
        <v>2329</v>
      </c>
      <c r="D49" s="1276" t="s">
        <v>2243</v>
      </c>
      <c r="E49" s="1274" t="s">
        <v>2330</v>
      </c>
      <c r="F49" s="661" t="s">
        <v>2289</v>
      </c>
      <c r="G49" s="1273" t="s">
        <v>2246</v>
      </c>
      <c r="H49" s="1274" t="s">
        <v>2255</v>
      </c>
      <c r="I49" s="661">
        <v>1</v>
      </c>
      <c r="J49" s="851" t="s">
        <v>2207</v>
      </c>
      <c r="K49" s="661">
        <v>1</v>
      </c>
    </row>
    <row r="50" spans="1:11" ht="135" hidden="1">
      <c r="A50" s="661" t="s">
        <v>2281</v>
      </c>
      <c r="B50" s="661" t="s">
        <v>2217</v>
      </c>
      <c r="C50" s="1276" t="s">
        <v>2331</v>
      </c>
      <c r="D50" s="1276" t="s">
        <v>2243</v>
      </c>
      <c r="E50" s="1274" t="s">
        <v>2332</v>
      </c>
      <c r="F50" s="661" t="s">
        <v>2262</v>
      </c>
      <c r="G50" s="1273" t="s">
        <v>2246</v>
      </c>
      <c r="H50" s="1274" t="s">
        <v>2206</v>
      </c>
      <c r="I50" s="661">
        <v>1</v>
      </c>
      <c r="J50" s="851" t="s">
        <v>2209</v>
      </c>
      <c r="K50" s="661">
        <v>0</v>
      </c>
    </row>
    <row r="51" spans="1:11" ht="202.5" hidden="1">
      <c r="A51" s="661" t="s">
        <v>2281</v>
      </c>
      <c r="B51" s="661" t="s">
        <v>2328</v>
      </c>
      <c r="C51" s="1276" t="s">
        <v>2333</v>
      </c>
      <c r="D51" s="1276" t="s">
        <v>2243</v>
      </c>
      <c r="E51" s="1274" t="s">
        <v>2334</v>
      </c>
      <c r="F51" s="661" t="s">
        <v>2262</v>
      </c>
      <c r="G51" s="1273" t="s">
        <v>2335</v>
      </c>
      <c r="H51" s="1274" t="s">
        <v>2206</v>
      </c>
      <c r="I51" s="661"/>
      <c r="J51" s="851" t="s">
        <v>2209</v>
      </c>
      <c r="K51" s="1285">
        <v>0</v>
      </c>
    </row>
    <row r="52" spans="1:11" ht="270" hidden="1">
      <c r="A52" s="661" t="s">
        <v>2281</v>
      </c>
      <c r="B52" s="661" t="s">
        <v>2217</v>
      </c>
      <c r="C52" s="1276" t="s">
        <v>2336</v>
      </c>
      <c r="D52" s="1276" t="s">
        <v>2337</v>
      </c>
      <c r="E52" s="1274" t="s">
        <v>2338</v>
      </c>
      <c r="F52" s="661" t="s">
        <v>2262</v>
      </c>
      <c r="G52" s="1273" t="s">
        <v>2339</v>
      </c>
      <c r="H52" s="1274" t="s">
        <v>2218</v>
      </c>
      <c r="I52" s="661">
        <v>1</v>
      </c>
      <c r="J52" s="851" t="s">
        <v>2209</v>
      </c>
      <c r="K52" s="661">
        <v>0</v>
      </c>
    </row>
    <row r="53" spans="1:11" ht="67.5" hidden="1">
      <c r="A53" s="661" t="s">
        <v>2281</v>
      </c>
      <c r="B53" s="661" t="s">
        <v>2217</v>
      </c>
      <c r="C53" s="1276" t="s">
        <v>2340</v>
      </c>
      <c r="D53" s="1276" t="s">
        <v>2243</v>
      </c>
      <c r="E53" s="1274" t="s">
        <v>2341</v>
      </c>
      <c r="F53" s="661" t="s">
        <v>2260</v>
      </c>
      <c r="G53" s="1273" t="s">
        <v>2246</v>
      </c>
      <c r="H53" s="1274" t="s">
        <v>2206</v>
      </c>
      <c r="I53" s="661">
        <v>1</v>
      </c>
      <c r="J53" s="851" t="s">
        <v>2207</v>
      </c>
      <c r="K53" s="661">
        <v>1</v>
      </c>
    </row>
    <row r="54" spans="1:11" ht="54" hidden="1">
      <c r="A54" s="661" t="s">
        <v>2281</v>
      </c>
      <c r="B54" s="667" t="s">
        <v>2328</v>
      </c>
      <c r="C54" s="1361" t="s">
        <v>2342</v>
      </c>
      <c r="D54" s="1276" t="s">
        <v>2243</v>
      </c>
      <c r="E54" s="1266" t="s">
        <v>2343</v>
      </c>
      <c r="F54" s="661" t="s">
        <v>2260</v>
      </c>
      <c r="G54" s="1273" t="s">
        <v>2246</v>
      </c>
      <c r="H54" s="1274" t="s">
        <v>2206</v>
      </c>
      <c r="I54" s="667">
        <v>1</v>
      </c>
      <c r="J54" s="851" t="s">
        <v>2207</v>
      </c>
      <c r="K54" s="661">
        <v>1</v>
      </c>
    </row>
    <row r="55" spans="1:11" s="1266" customFormat="1" ht="27" hidden="1">
      <c r="A55" s="661" t="s">
        <v>2281</v>
      </c>
      <c r="B55" s="661" t="s">
        <v>2328</v>
      </c>
      <c r="C55" s="1276" t="s">
        <v>2344</v>
      </c>
      <c r="D55" s="1276" t="s">
        <v>2243</v>
      </c>
      <c r="E55" s="1274" t="s">
        <v>2345</v>
      </c>
      <c r="F55" s="661" t="s">
        <v>2254</v>
      </c>
      <c r="G55" s="1273" t="s">
        <v>2246</v>
      </c>
      <c r="H55" s="1274" t="s">
        <v>2206</v>
      </c>
      <c r="I55" s="661">
        <v>1</v>
      </c>
      <c r="J55" s="851" t="s">
        <v>2209</v>
      </c>
      <c r="K55" s="661">
        <v>0</v>
      </c>
    </row>
  </sheetData>
  <autoFilter ref="A1:Q55">
    <filterColumn colId="0">
      <filters>
        <filter val="N"/>
      </filters>
    </filterColumn>
  </autoFilter>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51"/>
  <sheetViews>
    <sheetView workbookViewId="0">
      <selection activeCell="J32" sqref="J32"/>
    </sheetView>
  </sheetViews>
  <sheetFormatPr defaultRowHeight="13.5"/>
  <cols>
    <col min="1" max="2" width="9" style="316"/>
    <col min="3" max="3" width="20" style="316" customWidth="1"/>
    <col min="4" max="4" width="14.625" style="316" customWidth="1"/>
    <col min="5" max="5" width="11.375" style="312" customWidth="1"/>
    <col min="6" max="8" width="9" style="316"/>
    <col min="9" max="9" width="5.25" style="316" customWidth="1"/>
    <col min="10" max="10" width="15.375" style="316" customWidth="1"/>
    <col min="11" max="11" width="28.625" style="316" customWidth="1"/>
    <col min="12" max="12" width="30.625" style="316" bestFit="1" customWidth="1"/>
    <col min="13" max="16384" width="9" style="316"/>
  </cols>
  <sheetData>
    <row r="1" spans="1:11" ht="33" customHeight="1">
      <c r="A1" s="652" t="s">
        <v>2039</v>
      </c>
      <c r="B1" s="652" t="s">
        <v>2040</v>
      </c>
      <c r="C1" s="1509" t="s">
        <v>2045</v>
      </c>
      <c r="D1" s="1509" t="s">
        <v>2046</v>
      </c>
      <c r="E1" s="1094" t="s">
        <v>2047</v>
      </c>
      <c r="F1" s="652" t="s">
        <v>1889</v>
      </c>
      <c r="I1" s="1517"/>
      <c r="J1" s="1517"/>
      <c r="K1" s="1517"/>
    </row>
    <row r="2" spans="1:11">
      <c r="A2" s="1499" t="s">
        <v>1912</v>
      </c>
      <c r="B2" s="1499" t="s">
        <v>1913</v>
      </c>
      <c r="C2" s="1514">
        <v>401</v>
      </c>
      <c r="D2" s="1514">
        <v>401</v>
      </c>
      <c r="E2" s="1095">
        <f t="shared" ref="E2:E9" si="0">C2/D2</f>
        <v>1</v>
      </c>
      <c r="F2" s="1508">
        <f>IF(E2&gt;=0.95,2,IF(E2&gt;=0.9,1,0))</f>
        <v>2</v>
      </c>
      <c r="I2" s="1104"/>
      <c r="J2" s="1104" t="s">
        <v>1927</v>
      </c>
      <c r="K2" s="1104" t="s">
        <v>1928</v>
      </c>
    </row>
    <row r="3" spans="1:11">
      <c r="A3" s="1499" t="s">
        <v>1914</v>
      </c>
      <c r="B3" s="1499" t="s">
        <v>1913</v>
      </c>
      <c r="C3" s="1514">
        <v>0</v>
      </c>
      <c r="D3" s="1514">
        <v>0</v>
      </c>
      <c r="E3" s="1095"/>
      <c r="F3" s="1508"/>
      <c r="I3" s="1093" t="s">
        <v>1843</v>
      </c>
      <c r="J3" s="1419">
        <v>2</v>
      </c>
      <c r="K3" s="1103">
        <v>0.99508252913568529</v>
      </c>
    </row>
    <row r="4" spans="1:11">
      <c r="A4" s="1499" t="s">
        <v>1915</v>
      </c>
      <c r="B4" s="1499" t="s">
        <v>1913</v>
      </c>
      <c r="C4" s="1514">
        <v>8</v>
      </c>
      <c r="D4" s="1514">
        <v>8</v>
      </c>
      <c r="E4" s="1095">
        <f t="shared" si="0"/>
        <v>1</v>
      </c>
      <c r="F4" s="1508">
        <f t="shared" ref="F4:F51" si="1">IF(E4&gt;=0.95,2,IF(E4&gt;=0.9,1,0))</f>
        <v>2</v>
      </c>
      <c r="I4" s="1093" t="s">
        <v>1840</v>
      </c>
      <c r="J4" s="1419">
        <v>2</v>
      </c>
      <c r="K4" s="1103">
        <v>0.99942438619715435</v>
      </c>
    </row>
    <row r="5" spans="1:11">
      <c r="A5" s="1499" t="s">
        <v>1916</v>
      </c>
      <c r="B5" s="1499" t="s">
        <v>1913</v>
      </c>
      <c r="C5" s="1514">
        <v>244</v>
      </c>
      <c r="D5" s="1514">
        <v>244</v>
      </c>
      <c r="E5" s="1095">
        <f t="shared" si="0"/>
        <v>1</v>
      </c>
      <c r="F5" s="1508">
        <f t="shared" si="1"/>
        <v>2</v>
      </c>
      <c r="I5" s="1093" t="s">
        <v>1841</v>
      </c>
      <c r="J5" s="1419">
        <v>1.5</v>
      </c>
      <c r="K5" s="1103">
        <v>0.91666666666666663</v>
      </c>
    </row>
    <row r="6" spans="1:11">
      <c r="A6" s="1499" t="s">
        <v>1917</v>
      </c>
      <c r="B6" s="1499" t="s">
        <v>1913</v>
      </c>
      <c r="C6" s="1514">
        <v>14</v>
      </c>
      <c r="D6" s="1514">
        <v>14</v>
      </c>
      <c r="E6" s="1095">
        <f t="shared" si="0"/>
        <v>1</v>
      </c>
      <c r="F6" s="1508">
        <f t="shared" si="1"/>
        <v>2</v>
      </c>
      <c r="I6" s="1093" t="s">
        <v>1839</v>
      </c>
      <c r="J6" s="1419">
        <v>2</v>
      </c>
      <c r="K6" s="1103">
        <v>1</v>
      </c>
    </row>
    <row r="7" spans="1:11">
      <c r="A7" s="1499" t="s">
        <v>1912</v>
      </c>
      <c r="B7" s="1499" t="s">
        <v>1918</v>
      </c>
      <c r="C7" s="1514">
        <v>1813</v>
      </c>
      <c r="D7" s="1514">
        <v>1814</v>
      </c>
      <c r="E7" s="1095">
        <f t="shared" si="0"/>
        <v>0.9994487320837927</v>
      </c>
      <c r="F7" s="1508">
        <f t="shared" si="1"/>
        <v>2</v>
      </c>
      <c r="I7" s="1093" t="s">
        <v>1842</v>
      </c>
      <c r="J7" s="1419">
        <v>2</v>
      </c>
      <c r="K7" s="1103">
        <v>0.99635749164358467</v>
      </c>
    </row>
    <row r="8" spans="1:11">
      <c r="A8" s="1499" t="s">
        <v>1914</v>
      </c>
      <c r="B8" s="1499" t="s">
        <v>1918</v>
      </c>
      <c r="C8" s="1514">
        <v>7</v>
      </c>
      <c r="D8" s="1514">
        <v>7</v>
      </c>
      <c r="E8" s="1095">
        <f t="shared" si="0"/>
        <v>1</v>
      </c>
      <c r="F8" s="1508">
        <f t="shared" si="1"/>
        <v>2</v>
      </c>
    </row>
    <row r="9" spans="1:11">
      <c r="A9" s="1499" t="s">
        <v>1915</v>
      </c>
      <c r="B9" s="1499" t="s">
        <v>1918</v>
      </c>
      <c r="C9" s="1514">
        <v>357</v>
      </c>
      <c r="D9" s="1514">
        <v>362</v>
      </c>
      <c r="E9" s="1095">
        <f t="shared" si="0"/>
        <v>0.98618784530386738</v>
      </c>
      <c r="F9" s="1508">
        <f t="shared" si="1"/>
        <v>2</v>
      </c>
    </row>
    <row r="10" spans="1:11" ht="14.25">
      <c r="A10" s="1499" t="s">
        <v>1916</v>
      </c>
      <c r="B10" s="1499" t="s">
        <v>1918</v>
      </c>
      <c r="C10" s="656"/>
      <c r="D10" s="656"/>
      <c r="E10" s="1097"/>
      <c r="F10" s="1515"/>
    </row>
    <row r="11" spans="1:11">
      <c r="A11" s="1499" t="s">
        <v>1917</v>
      </c>
      <c r="B11" s="1499" t="s">
        <v>1918</v>
      </c>
      <c r="C11" s="1514">
        <v>29</v>
      </c>
      <c r="D11" s="1514">
        <v>29</v>
      </c>
      <c r="E11" s="1095">
        <f>C11/D11</f>
        <v>1</v>
      </c>
      <c r="F11" s="1508">
        <f t="shared" si="1"/>
        <v>2</v>
      </c>
      <c r="I11" s="316" t="s">
        <v>1935</v>
      </c>
    </row>
    <row r="12" spans="1:11">
      <c r="A12" s="1499" t="s">
        <v>1840</v>
      </c>
      <c r="B12" s="1499" t="s">
        <v>1919</v>
      </c>
      <c r="C12" s="1514">
        <v>2539</v>
      </c>
      <c r="D12" s="1514">
        <v>2539</v>
      </c>
      <c r="E12" s="1095">
        <f t="shared" ref="E12:E51" si="2">C12/D12</f>
        <v>1</v>
      </c>
      <c r="F12" s="1508">
        <f t="shared" si="1"/>
        <v>2</v>
      </c>
      <c r="I12" s="316" t="s">
        <v>1936</v>
      </c>
    </row>
    <row r="13" spans="1:11" ht="14.25">
      <c r="A13" s="1499" t="s">
        <v>1841</v>
      </c>
      <c r="B13" s="1499" t="s">
        <v>1919</v>
      </c>
      <c r="C13" s="656"/>
      <c r="D13" s="656"/>
      <c r="E13" s="1097"/>
      <c r="F13" s="1515"/>
      <c r="I13" s="316" t="s">
        <v>1937</v>
      </c>
    </row>
    <row r="14" spans="1:11" ht="14.25">
      <c r="A14" s="1499" t="s">
        <v>1842</v>
      </c>
      <c r="B14" s="1499" t="s">
        <v>1919</v>
      </c>
      <c r="C14" s="656"/>
      <c r="D14" s="656"/>
      <c r="E14" s="1097"/>
      <c r="F14" s="1515"/>
    </row>
    <row r="15" spans="1:11">
      <c r="A15" s="1499" t="s">
        <v>1843</v>
      </c>
      <c r="B15" s="1499" t="s">
        <v>1919</v>
      </c>
      <c r="C15" s="1514">
        <v>506</v>
      </c>
      <c r="D15" s="1514">
        <v>506</v>
      </c>
      <c r="E15" s="1095">
        <f t="shared" si="2"/>
        <v>1</v>
      </c>
      <c r="F15" s="1508">
        <f t="shared" si="1"/>
        <v>2</v>
      </c>
    </row>
    <row r="16" spans="1:11">
      <c r="A16" s="1499" t="s">
        <v>1839</v>
      </c>
      <c r="B16" s="1499" t="s">
        <v>1919</v>
      </c>
      <c r="C16" s="1514">
        <v>72</v>
      </c>
      <c r="D16" s="1514">
        <v>72</v>
      </c>
      <c r="E16" s="1095">
        <f t="shared" si="2"/>
        <v>1</v>
      </c>
      <c r="F16" s="1508">
        <f t="shared" si="1"/>
        <v>2</v>
      </c>
    </row>
    <row r="17" spans="1:10">
      <c r="A17" s="1098" t="s">
        <v>1912</v>
      </c>
      <c r="B17" s="654" t="s">
        <v>1920</v>
      </c>
      <c r="C17" s="1513">
        <v>358</v>
      </c>
      <c r="D17" s="1513">
        <v>358</v>
      </c>
      <c r="E17" s="1096">
        <f t="shared" si="2"/>
        <v>1</v>
      </c>
      <c r="F17" s="327">
        <f t="shared" si="1"/>
        <v>2</v>
      </c>
    </row>
    <row r="18" spans="1:10" ht="14.25">
      <c r="A18" s="1499" t="s">
        <v>1914</v>
      </c>
      <c r="B18" s="1499" t="s">
        <v>1920</v>
      </c>
      <c r="C18" s="656"/>
      <c r="D18" s="656"/>
      <c r="E18" s="1097"/>
      <c r="F18" s="1515"/>
    </row>
    <row r="19" spans="1:10">
      <c r="A19" s="1499" t="s">
        <v>1915</v>
      </c>
      <c r="B19" s="1499" t="s">
        <v>1920</v>
      </c>
      <c r="C19" s="1514">
        <v>370</v>
      </c>
      <c r="D19" s="1514">
        <v>373</v>
      </c>
      <c r="E19" s="1095">
        <f t="shared" si="2"/>
        <v>0.99195710455764075</v>
      </c>
      <c r="F19" s="1508">
        <f t="shared" si="1"/>
        <v>2</v>
      </c>
      <c r="J19" s="622" t="s">
        <v>1969</v>
      </c>
    </row>
    <row r="20" spans="1:10" ht="14.25">
      <c r="A20" s="1499" t="s">
        <v>1916</v>
      </c>
      <c r="B20" s="1499" t="s">
        <v>1920</v>
      </c>
      <c r="C20" s="656"/>
      <c r="D20" s="656"/>
      <c r="E20" s="1097"/>
      <c r="F20" s="1515"/>
      <c r="J20" s="622" t="s">
        <v>1970</v>
      </c>
    </row>
    <row r="21" spans="1:10">
      <c r="A21" s="1499" t="s">
        <v>1917</v>
      </c>
      <c r="B21" s="1499" t="s">
        <v>1920</v>
      </c>
      <c r="C21" s="1514">
        <v>8</v>
      </c>
      <c r="D21" s="1514">
        <v>8</v>
      </c>
      <c r="E21" s="1095">
        <f t="shared" si="2"/>
        <v>1</v>
      </c>
      <c r="F21" s="1508">
        <f t="shared" si="1"/>
        <v>2</v>
      </c>
      <c r="J21" s="622" t="s">
        <v>1971</v>
      </c>
    </row>
    <row r="22" spans="1:10">
      <c r="A22" s="1499" t="s">
        <v>1912</v>
      </c>
      <c r="B22" s="1499" t="s">
        <v>1921</v>
      </c>
      <c r="C22" s="1514">
        <v>3666</v>
      </c>
      <c r="D22" s="1514">
        <v>3669</v>
      </c>
      <c r="E22" s="1095">
        <f t="shared" si="2"/>
        <v>0.99918233851185612</v>
      </c>
      <c r="F22" s="1508">
        <f t="shared" si="1"/>
        <v>2</v>
      </c>
    </row>
    <row r="23" spans="1:10">
      <c r="A23" s="1499" t="s">
        <v>1914</v>
      </c>
      <c r="B23" s="1499" t="s">
        <v>1921</v>
      </c>
      <c r="C23" s="1514">
        <v>9</v>
      </c>
      <c r="D23" s="1514">
        <v>9</v>
      </c>
      <c r="E23" s="1095">
        <f t="shared" si="2"/>
        <v>1</v>
      </c>
      <c r="F23" s="1508">
        <f t="shared" si="1"/>
        <v>2</v>
      </c>
    </row>
    <row r="24" spans="1:10" ht="14.25">
      <c r="A24" s="1499" t="s">
        <v>1915</v>
      </c>
      <c r="B24" s="1499" t="s">
        <v>1921</v>
      </c>
      <c r="C24" s="656"/>
      <c r="D24" s="656"/>
      <c r="E24" s="1097"/>
      <c r="F24" s="1097"/>
    </row>
    <row r="25" spans="1:10">
      <c r="A25" s="1499" t="s">
        <v>1916</v>
      </c>
      <c r="B25" s="1499" t="s">
        <v>1921</v>
      </c>
      <c r="C25" s="1514">
        <v>897</v>
      </c>
      <c r="D25" s="1514">
        <v>903</v>
      </c>
      <c r="E25" s="1095">
        <f t="shared" si="2"/>
        <v>0.99335548172757471</v>
      </c>
      <c r="F25" s="1508">
        <f t="shared" si="1"/>
        <v>2</v>
      </c>
    </row>
    <row r="26" spans="1:10">
      <c r="A26" s="1499" t="s">
        <v>1917</v>
      </c>
      <c r="B26" s="1499" t="s">
        <v>1921</v>
      </c>
      <c r="C26" s="1514">
        <v>68</v>
      </c>
      <c r="D26" s="1514">
        <v>68</v>
      </c>
      <c r="E26" s="1095">
        <f t="shared" si="2"/>
        <v>1</v>
      </c>
      <c r="F26" s="1508">
        <f t="shared" si="1"/>
        <v>2</v>
      </c>
    </row>
    <row r="27" spans="1:10">
      <c r="A27" s="1499" t="s">
        <v>1912</v>
      </c>
      <c r="B27" s="1499" t="s">
        <v>1922</v>
      </c>
      <c r="C27" s="1514">
        <v>1969</v>
      </c>
      <c r="D27" s="1514">
        <v>1969</v>
      </c>
      <c r="E27" s="1095">
        <f t="shared" si="2"/>
        <v>1</v>
      </c>
      <c r="F27" s="1508">
        <f t="shared" si="1"/>
        <v>2</v>
      </c>
    </row>
    <row r="28" spans="1:10">
      <c r="A28" s="1499" t="s">
        <v>1914</v>
      </c>
      <c r="B28" s="1499" t="s">
        <v>1922</v>
      </c>
      <c r="C28" s="1514">
        <v>13</v>
      </c>
      <c r="D28" s="1514">
        <v>13</v>
      </c>
      <c r="E28" s="1095">
        <f t="shared" si="2"/>
        <v>1</v>
      </c>
      <c r="F28" s="1508">
        <f t="shared" si="1"/>
        <v>2</v>
      </c>
    </row>
    <row r="29" spans="1:10">
      <c r="A29" s="1499" t="s">
        <v>1915</v>
      </c>
      <c r="B29" s="1499" t="s">
        <v>1922</v>
      </c>
      <c r="C29" s="1514">
        <v>488</v>
      </c>
      <c r="D29" s="1514">
        <v>488</v>
      </c>
      <c r="E29" s="1095">
        <f t="shared" si="2"/>
        <v>1</v>
      </c>
      <c r="F29" s="1508">
        <f t="shared" si="1"/>
        <v>2</v>
      </c>
    </row>
    <row r="30" spans="1:10">
      <c r="A30" s="1499" t="s">
        <v>1916</v>
      </c>
      <c r="B30" s="1499" t="s">
        <v>1922</v>
      </c>
      <c r="C30" s="1514">
        <v>1030</v>
      </c>
      <c r="D30" s="1514">
        <v>1030</v>
      </c>
      <c r="E30" s="1095">
        <f t="shared" si="2"/>
        <v>1</v>
      </c>
      <c r="F30" s="1508">
        <f t="shared" si="1"/>
        <v>2</v>
      </c>
    </row>
    <row r="31" spans="1:10">
      <c r="A31" s="1499" t="s">
        <v>1917</v>
      </c>
      <c r="B31" s="1499" t="s">
        <v>1922</v>
      </c>
      <c r="C31" s="1514">
        <v>74</v>
      </c>
      <c r="D31" s="1514">
        <v>74</v>
      </c>
      <c r="E31" s="1095">
        <f t="shared" si="2"/>
        <v>1</v>
      </c>
      <c r="F31" s="1508">
        <f t="shared" si="1"/>
        <v>2</v>
      </c>
    </row>
    <row r="32" spans="1:10">
      <c r="A32" s="1499" t="s">
        <v>1840</v>
      </c>
      <c r="B32" s="1499" t="s">
        <v>1923</v>
      </c>
      <c r="C32" s="1514">
        <v>604</v>
      </c>
      <c r="D32" s="1514">
        <v>604</v>
      </c>
      <c r="E32" s="1095">
        <f t="shared" si="2"/>
        <v>1</v>
      </c>
      <c r="F32" s="1508">
        <f t="shared" si="1"/>
        <v>2</v>
      </c>
    </row>
    <row r="33" spans="1:6" ht="14.25">
      <c r="A33" s="1499" t="s">
        <v>1841</v>
      </c>
      <c r="B33" s="1499" t="s">
        <v>1923</v>
      </c>
      <c r="C33" s="656"/>
      <c r="D33" s="656"/>
      <c r="E33" s="1097"/>
      <c r="F33" s="1515"/>
    </row>
    <row r="34" spans="1:6" ht="14.25">
      <c r="A34" s="1499" t="s">
        <v>1842</v>
      </c>
      <c r="B34" s="1499" t="s">
        <v>1923</v>
      </c>
      <c r="C34" s="656"/>
      <c r="D34" s="656"/>
      <c r="E34" s="1097"/>
      <c r="F34" s="1515"/>
    </row>
    <row r="35" spans="1:6">
      <c r="A35" s="1499" t="s">
        <v>1843</v>
      </c>
      <c r="B35" s="1499" t="s">
        <v>1923</v>
      </c>
      <c r="C35" s="1514">
        <v>69</v>
      </c>
      <c r="D35" s="1514">
        <v>69</v>
      </c>
      <c r="E35" s="1095"/>
      <c r="F35" s="1508"/>
    </row>
    <row r="36" spans="1:6">
      <c r="A36" s="1499" t="s">
        <v>1839</v>
      </c>
      <c r="B36" s="1499" t="s">
        <v>1923</v>
      </c>
      <c r="C36" s="1514">
        <v>12</v>
      </c>
      <c r="D36" s="1514">
        <v>12</v>
      </c>
      <c r="E36" s="1095">
        <f t="shared" si="2"/>
        <v>1</v>
      </c>
      <c r="F36" s="1508">
        <f t="shared" si="1"/>
        <v>2</v>
      </c>
    </row>
    <row r="37" spans="1:6">
      <c r="A37" s="1499" t="s">
        <v>1912</v>
      </c>
      <c r="B37" s="1499" t="s">
        <v>1924</v>
      </c>
      <c r="C37" s="1514">
        <v>1612</v>
      </c>
      <c r="D37" s="1514">
        <v>1612</v>
      </c>
      <c r="E37" s="1095">
        <f t="shared" si="2"/>
        <v>1</v>
      </c>
      <c r="F37" s="1508">
        <f t="shared" si="1"/>
        <v>2</v>
      </c>
    </row>
    <row r="38" spans="1:6" ht="14.25">
      <c r="A38" s="1499" t="s">
        <v>1914</v>
      </c>
      <c r="B38" s="1499" t="s">
        <v>1924</v>
      </c>
      <c r="C38" s="656"/>
      <c r="D38" s="656"/>
      <c r="E38" s="1097"/>
      <c r="F38" s="656"/>
    </row>
    <row r="39" spans="1:6">
      <c r="A39" s="1499" t="s">
        <v>1915</v>
      </c>
      <c r="B39" s="1499" t="s">
        <v>1924</v>
      </c>
      <c r="C39" s="1514">
        <v>316</v>
      </c>
      <c r="D39" s="1514">
        <v>316</v>
      </c>
      <c r="E39" s="1095">
        <f t="shared" si="2"/>
        <v>1</v>
      </c>
      <c r="F39" s="1508">
        <f t="shared" si="1"/>
        <v>2</v>
      </c>
    </row>
    <row r="40" spans="1:6">
      <c r="A40" s="1499" t="s">
        <v>1916</v>
      </c>
      <c r="B40" s="1499" t="s">
        <v>1924</v>
      </c>
      <c r="C40" s="1514">
        <v>204</v>
      </c>
      <c r="D40" s="1514">
        <v>204</v>
      </c>
      <c r="E40" s="1095">
        <f t="shared" si="2"/>
        <v>1</v>
      </c>
      <c r="F40" s="1508">
        <f t="shared" si="1"/>
        <v>2</v>
      </c>
    </row>
    <row r="41" spans="1:6">
      <c r="A41" s="1499" t="s">
        <v>1917</v>
      </c>
      <c r="B41" s="1499" t="s">
        <v>1924</v>
      </c>
      <c r="C41" s="1514">
        <v>46</v>
      </c>
      <c r="D41" s="1514">
        <v>46</v>
      </c>
      <c r="E41" s="1095">
        <f t="shared" si="2"/>
        <v>1</v>
      </c>
      <c r="F41" s="1508">
        <f t="shared" si="1"/>
        <v>2</v>
      </c>
    </row>
    <row r="42" spans="1:6">
      <c r="A42" s="1499" t="s">
        <v>1912</v>
      </c>
      <c r="B42" s="1499" t="s">
        <v>1925</v>
      </c>
      <c r="C42" s="1514">
        <v>572</v>
      </c>
      <c r="D42" s="1514">
        <v>573</v>
      </c>
      <c r="E42" s="1095">
        <f t="shared" si="2"/>
        <v>0.99825479930191974</v>
      </c>
      <c r="F42" s="1508">
        <f t="shared" si="1"/>
        <v>2</v>
      </c>
    </row>
    <row r="43" spans="1:6" ht="14.25">
      <c r="A43" s="1499" t="s">
        <v>1914</v>
      </c>
      <c r="B43" s="1499" t="s">
        <v>1925</v>
      </c>
      <c r="C43" s="656"/>
      <c r="D43" s="656"/>
      <c r="E43" s="1097"/>
      <c r="F43" s="1097"/>
    </row>
    <row r="44" spans="1:6" ht="11.25" customHeight="1">
      <c r="A44" s="1499" t="s">
        <v>1915</v>
      </c>
      <c r="B44" s="1499" t="s">
        <v>1925</v>
      </c>
      <c r="C44" s="656"/>
      <c r="D44" s="656"/>
      <c r="E44" s="1097"/>
      <c r="F44" s="1097"/>
    </row>
    <row r="45" spans="1:6">
      <c r="A45" s="1499" t="s">
        <v>1916</v>
      </c>
      <c r="B45" s="1499" t="s">
        <v>1925</v>
      </c>
      <c r="C45" s="1514">
        <v>210</v>
      </c>
      <c r="D45" s="1514">
        <v>216</v>
      </c>
      <c r="E45" s="1095">
        <f t="shared" si="2"/>
        <v>0.97222222222222221</v>
      </c>
      <c r="F45" s="1508">
        <f t="shared" si="1"/>
        <v>2</v>
      </c>
    </row>
    <row r="46" spans="1:6">
      <c r="A46" s="1499" t="s">
        <v>1917</v>
      </c>
      <c r="B46" s="1499" t="s">
        <v>1925</v>
      </c>
      <c r="C46" s="1514">
        <v>17</v>
      </c>
      <c r="D46" s="1514">
        <v>17</v>
      </c>
      <c r="E46" s="1095">
        <f t="shared" si="2"/>
        <v>1</v>
      </c>
      <c r="F46" s="1508">
        <f t="shared" si="1"/>
        <v>2</v>
      </c>
    </row>
    <row r="47" spans="1:6">
      <c r="A47" s="1499" t="s">
        <v>1840</v>
      </c>
      <c r="B47" s="1499" t="s">
        <v>1926</v>
      </c>
      <c r="C47" s="1514">
        <v>755</v>
      </c>
      <c r="D47" s="1514">
        <v>757</v>
      </c>
      <c r="E47" s="1095">
        <f t="shared" si="2"/>
        <v>0.99735799207397624</v>
      </c>
      <c r="F47" s="1508">
        <f t="shared" si="1"/>
        <v>2</v>
      </c>
    </row>
    <row r="48" spans="1:6">
      <c r="A48" s="1499" t="s">
        <v>1841</v>
      </c>
      <c r="B48" s="1499" t="s">
        <v>1926</v>
      </c>
      <c r="C48" s="1514">
        <v>2</v>
      </c>
      <c r="D48" s="1514">
        <v>3</v>
      </c>
      <c r="E48" s="1095">
        <f t="shared" si="2"/>
        <v>0.66666666666666663</v>
      </c>
      <c r="F48" s="1508">
        <f t="shared" si="1"/>
        <v>0</v>
      </c>
    </row>
    <row r="49" spans="1:6">
      <c r="A49" s="1499" t="s">
        <v>1842</v>
      </c>
      <c r="B49" s="1499" t="s">
        <v>1926</v>
      </c>
      <c r="C49" s="1514">
        <v>1</v>
      </c>
      <c r="D49" s="1514">
        <v>1</v>
      </c>
      <c r="E49" s="1095">
        <f t="shared" si="2"/>
        <v>1</v>
      </c>
      <c r="F49" s="1508">
        <f t="shared" si="1"/>
        <v>2</v>
      </c>
    </row>
    <row r="50" spans="1:6">
      <c r="A50" s="1499" t="s">
        <v>1843</v>
      </c>
      <c r="B50" s="1499" t="s">
        <v>1926</v>
      </c>
      <c r="C50" s="1514">
        <v>429</v>
      </c>
      <c r="D50" s="1514">
        <v>429</v>
      </c>
      <c r="E50" s="1095">
        <f t="shared" si="2"/>
        <v>1</v>
      </c>
      <c r="F50" s="1508">
        <f t="shared" si="1"/>
        <v>2</v>
      </c>
    </row>
    <row r="51" spans="1:6">
      <c r="A51" s="1499" t="s">
        <v>1839</v>
      </c>
      <c r="B51" s="1499" t="s">
        <v>1926</v>
      </c>
      <c r="C51" s="1514">
        <v>22</v>
      </c>
      <c r="D51" s="1514">
        <v>22</v>
      </c>
      <c r="E51" s="1095">
        <f t="shared" si="2"/>
        <v>1</v>
      </c>
      <c r="F51" s="1508">
        <f t="shared" si="1"/>
        <v>2</v>
      </c>
    </row>
  </sheetData>
  <mergeCells count="1">
    <mergeCell ref="I1:K1"/>
  </mergeCells>
  <phoneticPr fontId="3" type="noConversion"/>
  <conditionalFormatting sqref="F2:F9 F11:F12 F15:F17 F19 F25:F32 F45:F51 F21:F23 F36:F37 F39:F42">
    <cfRule type="cellIs" dxfId="418" priority="1" operator="lessThan">
      <formula>2</formula>
    </cfRule>
  </conditionalFormatting>
  <hyperlinks>
    <hyperlink ref="J19" location="'总公司绩效-II'!A1" display="总公司绩效-II"/>
    <hyperlink ref="J20" location="目录!A1" display="目录"/>
    <hyperlink ref="J21" location="'OR04-分公司销售、承保、保全'!A1" display="OR0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P121"/>
  <sheetViews>
    <sheetView workbookViewId="0">
      <selection activeCell="J28" sqref="J28"/>
    </sheetView>
  </sheetViews>
  <sheetFormatPr defaultRowHeight="13.5"/>
  <cols>
    <col min="1" max="1" width="10" style="666" bestFit="1" customWidth="1"/>
    <col min="2" max="2" width="10" style="666" customWidth="1"/>
    <col min="3" max="3" width="9" style="667"/>
    <col min="4" max="5" width="13.875" style="667" bestFit="1" customWidth="1"/>
    <col min="6" max="6" width="9.125" style="1102" bestFit="1" customWidth="1"/>
    <col min="7" max="7" width="9.125" style="316" bestFit="1" customWidth="1"/>
    <col min="8" max="8" width="9.75" style="316" customWidth="1"/>
    <col min="9" max="9" width="22" style="316" customWidth="1"/>
    <col min="10" max="10" width="15.375" style="316" customWidth="1"/>
    <col min="11" max="11" width="15.375" style="316" bestFit="1" customWidth="1"/>
    <col min="12" max="16384" width="9" style="316"/>
  </cols>
  <sheetData>
    <row r="1" spans="1:10">
      <c r="A1" s="655" t="s">
        <v>2021</v>
      </c>
      <c r="B1" s="655" t="s">
        <v>2036</v>
      </c>
      <c r="C1" s="655" t="s">
        <v>2022</v>
      </c>
      <c r="D1" s="655" t="s">
        <v>2023</v>
      </c>
      <c r="E1" s="655" t="s">
        <v>2024</v>
      </c>
      <c r="F1" s="1105" t="s">
        <v>2025</v>
      </c>
      <c r="G1" s="662" t="s">
        <v>2026</v>
      </c>
    </row>
    <row r="2" spans="1:10">
      <c r="A2" s="1511" t="s">
        <v>2495</v>
      </c>
      <c r="B2" s="1511" t="s">
        <v>2496</v>
      </c>
      <c r="C2" s="1511" t="s">
        <v>1839</v>
      </c>
      <c r="D2" s="1512">
        <v>56343</v>
      </c>
      <c r="E2" s="1512">
        <v>67397</v>
      </c>
      <c r="F2" s="1106">
        <f>D2/E2</f>
        <v>0.83598676498953961</v>
      </c>
      <c r="G2" s="663">
        <f>IF(F2&gt;0.9,3,IF(F2&gt;0.8,1.5,0))</f>
        <v>1.5</v>
      </c>
    </row>
    <row r="3" spans="1:10">
      <c r="A3" s="1511" t="s">
        <v>2495</v>
      </c>
      <c r="B3" s="1511" t="s">
        <v>2496</v>
      </c>
      <c r="C3" s="1511" t="s">
        <v>1840</v>
      </c>
      <c r="D3" s="1512">
        <v>5504231</v>
      </c>
      <c r="E3" s="1512">
        <v>5617321</v>
      </c>
      <c r="F3" s="1106">
        <f t="shared" ref="F3:F66" si="0">D3/E3</f>
        <v>0.97986762729066046</v>
      </c>
      <c r="G3" s="663">
        <f t="shared" ref="G3:G66" si="1">IF(F3&gt;0.9,3,IF(F3&gt;0.8,1.5,0))</f>
        <v>3</v>
      </c>
    </row>
    <row r="4" spans="1:10">
      <c r="A4" s="1511" t="s">
        <v>2495</v>
      </c>
      <c r="B4" s="1511" t="s">
        <v>2496</v>
      </c>
      <c r="C4" s="1511" t="s">
        <v>1842</v>
      </c>
      <c r="D4" s="1512">
        <v>796846</v>
      </c>
      <c r="E4" s="1512">
        <v>796846</v>
      </c>
      <c r="F4" s="1106">
        <f t="shared" si="0"/>
        <v>1</v>
      </c>
      <c r="G4" s="663">
        <f t="shared" si="1"/>
        <v>3</v>
      </c>
    </row>
    <row r="5" spans="1:10">
      <c r="A5" s="1511" t="s">
        <v>2495</v>
      </c>
      <c r="B5" s="1511" t="s">
        <v>2496</v>
      </c>
      <c r="C5" s="1511" t="s">
        <v>1843</v>
      </c>
      <c r="D5" s="1512">
        <v>3196630</v>
      </c>
      <c r="E5" s="1512">
        <v>3268679</v>
      </c>
      <c r="F5" s="1106">
        <f t="shared" si="0"/>
        <v>0.97795776214183161</v>
      </c>
      <c r="G5" s="663">
        <f t="shared" si="1"/>
        <v>3</v>
      </c>
      <c r="H5" s="1101"/>
      <c r="I5" s="1108" t="s">
        <v>1932</v>
      </c>
      <c r="J5" s="1101"/>
    </row>
    <row r="6" spans="1:10">
      <c r="A6" s="1511" t="s">
        <v>2495</v>
      </c>
      <c r="B6" s="1511" t="s">
        <v>2497</v>
      </c>
      <c r="C6" s="1511" t="s">
        <v>1839</v>
      </c>
      <c r="D6" s="1512">
        <v>25960</v>
      </c>
      <c r="E6" s="1512">
        <v>25956</v>
      </c>
      <c r="F6" s="1106">
        <f t="shared" si="0"/>
        <v>1.0001541069502236</v>
      </c>
      <c r="G6" s="663">
        <f t="shared" si="1"/>
        <v>3</v>
      </c>
      <c r="H6" s="1108" t="s">
        <v>1930</v>
      </c>
      <c r="I6" s="1101" t="s">
        <v>1933</v>
      </c>
      <c r="J6" s="1101" t="s">
        <v>1927</v>
      </c>
    </row>
    <row r="7" spans="1:10">
      <c r="A7" s="1511" t="s">
        <v>2495</v>
      </c>
      <c r="B7" s="1511" t="s">
        <v>2497</v>
      </c>
      <c r="C7" s="1511" t="s">
        <v>1843</v>
      </c>
      <c r="D7" s="1512">
        <v>509270</v>
      </c>
      <c r="E7" s="1512">
        <v>514770</v>
      </c>
      <c r="F7" s="1106">
        <f t="shared" si="0"/>
        <v>0.98931561668317891</v>
      </c>
      <c r="G7" s="663">
        <f t="shared" si="1"/>
        <v>3</v>
      </c>
      <c r="H7" s="1109" t="s">
        <v>1843</v>
      </c>
      <c r="I7" s="1107">
        <v>0.94932277171362178</v>
      </c>
      <c r="J7" s="1090">
        <v>2.9375</v>
      </c>
    </row>
    <row r="8" spans="1:10">
      <c r="A8" s="1511" t="s">
        <v>2495</v>
      </c>
      <c r="B8" s="1511" t="s">
        <v>2497</v>
      </c>
      <c r="C8" s="1511" t="s">
        <v>1842</v>
      </c>
      <c r="D8" s="1512">
        <v>21161354</v>
      </c>
      <c r="E8" s="1512">
        <v>21645921</v>
      </c>
      <c r="F8" s="1106">
        <f t="shared" si="0"/>
        <v>0.97761393474548852</v>
      </c>
      <c r="G8" s="663">
        <f t="shared" si="1"/>
        <v>3</v>
      </c>
      <c r="H8" s="1109" t="s">
        <v>1840</v>
      </c>
      <c r="I8" s="1107">
        <v>0.93480505326872476</v>
      </c>
      <c r="J8" s="1090">
        <v>2.9</v>
      </c>
    </row>
    <row r="9" spans="1:10">
      <c r="A9" s="1511" t="s">
        <v>2495</v>
      </c>
      <c r="B9" s="1511" t="s">
        <v>2497</v>
      </c>
      <c r="C9" s="1511" t="s">
        <v>1840</v>
      </c>
      <c r="D9" s="1512">
        <v>18738551</v>
      </c>
      <c r="E9" s="1512">
        <v>19721330</v>
      </c>
      <c r="F9" s="1106">
        <f t="shared" si="0"/>
        <v>0.95016669768215434</v>
      </c>
      <c r="G9" s="663">
        <f t="shared" si="1"/>
        <v>3</v>
      </c>
      <c r="H9" s="1109" t="s">
        <v>1842</v>
      </c>
      <c r="I9" s="1107">
        <v>0.97348983651850518</v>
      </c>
      <c r="J9" s="1090">
        <v>3</v>
      </c>
    </row>
    <row r="10" spans="1:10">
      <c r="A10" s="1511" t="s">
        <v>2495</v>
      </c>
      <c r="B10" s="1511" t="s">
        <v>2498</v>
      </c>
      <c r="C10" s="1511" t="s">
        <v>1839</v>
      </c>
      <c r="D10" s="1512">
        <v>63258</v>
      </c>
      <c r="E10" s="1512">
        <v>63273</v>
      </c>
      <c r="F10" s="1106">
        <f t="shared" si="0"/>
        <v>0.99976293205632738</v>
      </c>
      <c r="G10" s="663">
        <f t="shared" si="1"/>
        <v>3</v>
      </c>
      <c r="H10" s="1109" t="s">
        <v>1839</v>
      </c>
      <c r="I10" s="1107">
        <v>0.94207586728497583</v>
      </c>
      <c r="J10" s="1090">
        <v>2.65</v>
      </c>
    </row>
    <row r="11" spans="1:10">
      <c r="A11" s="1511" t="s">
        <v>2495</v>
      </c>
      <c r="B11" s="1511" t="s">
        <v>2498</v>
      </c>
      <c r="C11" s="1511" t="s">
        <v>1840</v>
      </c>
      <c r="D11" s="1512">
        <v>4380490</v>
      </c>
      <c r="E11" s="1512">
        <v>4702742</v>
      </c>
      <c r="F11" s="1106">
        <f t="shared" si="0"/>
        <v>0.93147572203620776</v>
      </c>
      <c r="G11" s="663">
        <f t="shared" si="1"/>
        <v>3</v>
      </c>
      <c r="H11"/>
      <c r="I11"/>
      <c r="J11"/>
    </row>
    <row r="12" spans="1:10">
      <c r="A12" s="1511" t="s">
        <v>2495</v>
      </c>
      <c r="B12" s="1511" t="s">
        <v>2498</v>
      </c>
      <c r="C12" s="1511" t="s">
        <v>1842</v>
      </c>
      <c r="D12" s="1512">
        <v>477496</v>
      </c>
      <c r="E12" s="1512">
        <v>487384</v>
      </c>
      <c r="F12" s="1106">
        <f t="shared" si="0"/>
        <v>0.9797120955960803</v>
      </c>
      <c r="G12" s="663">
        <f t="shared" si="1"/>
        <v>3</v>
      </c>
    </row>
    <row r="13" spans="1:10">
      <c r="A13" s="1511" t="s">
        <v>2495</v>
      </c>
      <c r="B13" s="1511" t="s">
        <v>2498</v>
      </c>
      <c r="C13" s="1511" t="s">
        <v>1843</v>
      </c>
      <c r="D13" s="1512">
        <v>0</v>
      </c>
      <c r="E13" s="1512">
        <v>0</v>
      </c>
      <c r="F13" s="1106"/>
      <c r="G13" s="663"/>
    </row>
    <row r="14" spans="1:10">
      <c r="A14" s="1511" t="s">
        <v>2495</v>
      </c>
      <c r="B14" s="1511" t="s">
        <v>2499</v>
      </c>
      <c r="C14" s="1511" t="s">
        <v>1843</v>
      </c>
      <c r="D14" s="1512">
        <v>4689129</v>
      </c>
      <c r="E14" s="1512">
        <v>4950427</v>
      </c>
      <c r="F14" s="1106">
        <f t="shared" si="0"/>
        <v>0.94721707844596037</v>
      </c>
      <c r="G14" s="663">
        <f t="shared" si="1"/>
        <v>3</v>
      </c>
    </row>
    <row r="15" spans="1:10">
      <c r="A15" s="1511" t="s">
        <v>2495</v>
      </c>
      <c r="B15" s="1511" t="s">
        <v>2499</v>
      </c>
      <c r="C15" s="1511" t="s">
        <v>1842</v>
      </c>
      <c r="D15" s="1512">
        <v>5060444</v>
      </c>
      <c r="E15" s="1512">
        <v>5366116</v>
      </c>
      <c r="F15" s="1106">
        <f t="shared" si="0"/>
        <v>0.94303663953593253</v>
      </c>
      <c r="G15" s="663">
        <f t="shared" si="1"/>
        <v>3</v>
      </c>
    </row>
    <row r="16" spans="1:10">
      <c r="A16" s="1511" t="s">
        <v>2495</v>
      </c>
      <c r="B16" s="1511" t="s">
        <v>2499</v>
      </c>
      <c r="C16" s="1511" t="s">
        <v>1840</v>
      </c>
      <c r="D16" s="1512">
        <v>16793215</v>
      </c>
      <c r="E16" s="1512">
        <v>17672597</v>
      </c>
      <c r="F16" s="1106">
        <f t="shared" si="0"/>
        <v>0.95024036365453246</v>
      </c>
      <c r="G16" s="663">
        <f t="shared" si="1"/>
        <v>3</v>
      </c>
      <c r="H16" s="316" t="s">
        <v>1940</v>
      </c>
    </row>
    <row r="17" spans="1:10">
      <c r="A17" s="1511" t="s">
        <v>2495</v>
      </c>
      <c r="B17" s="1511" t="s">
        <v>2499</v>
      </c>
      <c r="C17" s="1511" t="s">
        <v>1839</v>
      </c>
      <c r="D17" s="1512">
        <v>350409</v>
      </c>
      <c r="E17" s="1512">
        <v>354828</v>
      </c>
      <c r="F17" s="1106">
        <f t="shared" si="0"/>
        <v>0.98754607866346511</v>
      </c>
      <c r="G17" s="663">
        <f t="shared" si="1"/>
        <v>3</v>
      </c>
      <c r="H17" s="316" t="s">
        <v>1939</v>
      </c>
    </row>
    <row r="18" spans="1:10">
      <c r="A18" s="1511" t="s">
        <v>2495</v>
      </c>
      <c r="B18" s="1511" t="s">
        <v>2500</v>
      </c>
      <c r="C18" s="1511" t="s">
        <v>1843</v>
      </c>
      <c r="D18" s="1512">
        <v>5829496</v>
      </c>
      <c r="E18" s="1512">
        <v>6105499</v>
      </c>
      <c r="F18" s="1106">
        <f t="shared" si="0"/>
        <v>0.95479435833172688</v>
      </c>
      <c r="G18" s="663">
        <f t="shared" si="1"/>
        <v>3</v>
      </c>
      <c r="H18" s="316" t="s">
        <v>1937</v>
      </c>
    </row>
    <row r="19" spans="1:10">
      <c r="A19" s="1511" t="s">
        <v>2495</v>
      </c>
      <c r="B19" s="1511" t="s">
        <v>2500</v>
      </c>
      <c r="C19" s="1511" t="s">
        <v>1840</v>
      </c>
      <c r="D19" s="1512">
        <v>19343397</v>
      </c>
      <c r="E19" s="1512">
        <v>20138846</v>
      </c>
      <c r="F19" s="1106">
        <f t="shared" si="0"/>
        <v>0.96050175864098664</v>
      </c>
      <c r="G19" s="663">
        <f t="shared" si="1"/>
        <v>3</v>
      </c>
    </row>
    <row r="20" spans="1:10">
      <c r="A20" s="1511" t="s">
        <v>2495</v>
      </c>
      <c r="B20" s="1511" t="s">
        <v>2500</v>
      </c>
      <c r="C20" s="1511" t="s">
        <v>1839</v>
      </c>
      <c r="D20" s="1512">
        <v>245274</v>
      </c>
      <c r="E20" s="1512">
        <v>246406</v>
      </c>
      <c r="F20" s="1106">
        <f t="shared" si="0"/>
        <v>0.99540595602379811</v>
      </c>
      <c r="G20" s="663">
        <f t="shared" si="1"/>
        <v>3</v>
      </c>
    </row>
    <row r="21" spans="1:10">
      <c r="A21" s="1511" t="s">
        <v>2495</v>
      </c>
      <c r="B21" s="1511" t="s">
        <v>2500</v>
      </c>
      <c r="C21" s="1511" t="s">
        <v>1842</v>
      </c>
      <c r="D21" s="1512">
        <v>1783603</v>
      </c>
      <c r="E21" s="1512">
        <v>1808770</v>
      </c>
      <c r="F21" s="1106">
        <f t="shared" si="0"/>
        <v>0.98608612482515745</v>
      </c>
      <c r="G21" s="663">
        <f t="shared" si="1"/>
        <v>3</v>
      </c>
    </row>
    <row r="22" spans="1:10">
      <c r="A22" s="1511" t="s">
        <v>2495</v>
      </c>
      <c r="B22" s="1511" t="s">
        <v>2501</v>
      </c>
      <c r="C22" s="1511" t="s">
        <v>1843</v>
      </c>
      <c r="D22" s="1512">
        <v>8798848</v>
      </c>
      <c r="E22" s="1512">
        <v>9702731</v>
      </c>
      <c r="F22" s="1106">
        <f t="shared" si="0"/>
        <v>0.90684241374928354</v>
      </c>
      <c r="G22" s="663">
        <f t="shared" si="1"/>
        <v>3</v>
      </c>
      <c r="J22" s="660"/>
    </row>
    <row r="23" spans="1:10">
      <c r="A23" s="1511" t="s">
        <v>2495</v>
      </c>
      <c r="B23" s="1511" t="s">
        <v>2501</v>
      </c>
      <c r="C23" s="1511" t="s">
        <v>1842</v>
      </c>
      <c r="D23" s="1512">
        <v>533391</v>
      </c>
      <c r="E23" s="1512">
        <v>547167</v>
      </c>
      <c r="F23" s="1106">
        <f t="shared" si="0"/>
        <v>0.97482304305632472</v>
      </c>
      <c r="G23" s="663">
        <f t="shared" si="1"/>
        <v>3</v>
      </c>
      <c r="H23" s="622" t="s">
        <v>1972</v>
      </c>
      <c r="J23" s="660"/>
    </row>
    <row r="24" spans="1:10">
      <c r="A24" s="1511" t="s">
        <v>2495</v>
      </c>
      <c r="B24" s="1511" t="s">
        <v>2501</v>
      </c>
      <c r="C24" s="1511" t="s">
        <v>1840</v>
      </c>
      <c r="D24" s="1512">
        <v>16572152</v>
      </c>
      <c r="E24" s="1512">
        <v>17463958</v>
      </c>
      <c r="F24" s="1106">
        <f t="shared" si="0"/>
        <v>0.94893448552727855</v>
      </c>
      <c r="G24" s="663">
        <f t="shared" si="1"/>
        <v>3</v>
      </c>
      <c r="H24" s="622" t="s">
        <v>1970</v>
      </c>
      <c r="J24" s="660"/>
    </row>
    <row r="25" spans="1:10">
      <c r="A25" s="1511" t="s">
        <v>2495</v>
      </c>
      <c r="B25" s="1511" t="s">
        <v>2501</v>
      </c>
      <c r="C25" s="1511" t="s">
        <v>1839</v>
      </c>
      <c r="D25" s="1512">
        <v>152149</v>
      </c>
      <c r="E25" s="1512">
        <v>155735</v>
      </c>
      <c r="F25" s="1106">
        <f t="shared" si="0"/>
        <v>0.97697370533277683</v>
      </c>
      <c r="G25" s="663">
        <f t="shared" si="1"/>
        <v>3</v>
      </c>
      <c r="H25" s="622" t="s">
        <v>1971</v>
      </c>
      <c r="J25" s="660"/>
    </row>
    <row r="26" spans="1:10">
      <c r="A26" s="1511" t="s">
        <v>2495</v>
      </c>
      <c r="B26" s="1511" t="s">
        <v>2502</v>
      </c>
      <c r="C26" s="1511" t="s">
        <v>1839</v>
      </c>
      <c r="D26" s="1512">
        <v>20463</v>
      </c>
      <c r="E26" s="1512">
        <v>22616</v>
      </c>
      <c r="F26" s="1106">
        <f t="shared" si="0"/>
        <v>0.90480191015210465</v>
      </c>
      <c r="G26" s="663">
        <f t="shared" si="1"/>
        <v>3</v>
      </c>
      <c r="J26" s="660"/>
    </row>
    <row r="27" spans="1:10" ht="14.25">
      <c r="A27" s="1511" t="s">
        <v>2495</v>
      </c>
      <c r="B27" s="1511" t="s">
        <v>2502</v>
      </c>
      <c r="C27" s="1511" t="s">
        <v>1840</v>
      </c>
      <c r="D27" s="1512">
        <v>3936473</v>
      </c>
      <c r="E27" s="1512">
        <v>4323170</v>
      </c>
      <c r="F27" s="1106">
        <f t="shared" si="0"/>
        <v>0.91055244184244433</v>
      </c>
      <c r="G27" s="663">
        <f t="shared" si="1"/>
        <v>3</v>
      </c>
      <c r="J27" s="664"/>
    </row>
    <row r="28" spans="1:10" ht="14.25">
      <c r="A28" s="1511" t="s">
        <v>2495</v>
      </c>
      <c r="B28" s="1511" t="s">
        <v>2502</v>
      </c>
      <c r="C28" s="1511" t="s">
        <v>1842</v>
      </c>
      <c r="D28" s="1512">
        <v>1048469</v>
      </c>
      <c r="E28" s="1512">
        <v>1052904</v>
      </c>
      <c r="F28" s="1106">
        <f t="shared" si="0"/>
        <v>0.99578784010698029</v>
      </c>
      <c r="G28" s="663">
        <f t="shared" si="1"/>
        <v>3</v>
      </c>
      <c r="J28" s="664"/>
    </row>
    <row r="29" spans="1:10" ht="14.25">
      <c r="A29" s="1511" t="s">
        <v>2495</v>
      </c>
      <c r="B29" s="1511" t="s">
        <v>2502</v>
      </c>
      <c r="C29" s="1511" t="s">
        <v>1843</v>
      </c>
      <c r="D29" s="1512">
        <v>1627499</v>
      </c>
      <c r="E29" s="1512">
        <v>1706046</v>
      </c>
      <c r="F29" s="1106">
        <f t="shared" si="0"/>
        <v>0.95395962359748798</v>
      </c>
      <c r="G29" s="663">
        <f t="shared" si="1"/>
        <v>3</v>
      </c>
      <c r="J29" s="664"/>
    </row>
    <row r="30" spans="1:10">
      <c r="A30" s="1511" t="s">
        <v>2495</v>
      </c>
      <c r="B30" s="1511" t="s">
        <v>2503</v>
      </c>
      <c r="C30" s="1511" t="s">
        <v>1839</v>
      </c>
      <c r="D30" s="1512">
        <v>53675</v>
      </c>
      <c r="E30" s="1512">
        <v>62666</v>
      </c>
      <c r="F30" s="1106">
        <f t="shared" si="0"/>
        <v>0.85652506941563211</v>
      </c>
      <c r="G30" s="663">
        <f t="shared" si="1"/>
        <v>1.5</v>
      </c>
      <c r="J30" s="660"/>
    </row>
    <row r="31" spans="1:10">
      <c r="A31" s="1511" t="s">
        <v>2495</v>
      </c>
      <c r="B31" s="1511" t="s">
        <v>2503</v>
      </c>
      <c r="C31" s="1511" t="s">
        <v>1843</v>
      </c>
      <c r="D31" s="1512">
        <v>2340586</v>
      </c>
      <c r="E31" s="1512">
        <v>2525096</v>
      </c>
      <c r="F31" s="1106">
        <f t="shared" si="0"/>
        <v>0.92692951079879737</v>
      </c>
      <c r="G31" s="663">
        <f t="shared" si="1"/>
        <v>3</v>
      </c>
      <c r="J31" s="660"/>
    </row>
    <row r="32" spans="1:10">
      <c r="A32" s="1511" t="s">
        <v>2495</v>
      </c>
      <c r="B32" s="1511" t="s">
        <v>2503</v>
      </c>
      <c r="C32" s="1511" t="s">
        <v>1842</v>
      </c>
      <c r="D32" s="1512">
        <v>6271983</v>
      </c>
      <c r="E32" s="1512">
        <v>6477699</v>
      </c>
      <c r="F32" s="1106">
        <f t="shared" si="0"/>
        <v>0.9682424268247104</v>
      </c>
      <c r="G32" s="663">
        <f t="shared" si="1"/>
        <v>3</v>
      </c>
      <c r="J32" s="660"/>
    </row>
    <row r="33" spans="1:16">
      <c r="A33" s="1511" t="s">
        <v>2495</v>
      </c>
      <c r="B33" s="1511" t="s">
        <v>2503</v>
      </c>
      <c r="C33" s="1511" t="s">
        <v>1840</v>
      </c>
      <c r="D33" s="1512">
        <v>10802075</v>
      </c>
      <c r="E33" s="1512">
        <v>11552664</v>
      </c>
      <c r="F33" s="1106">
        <f t="shared" si="0"/>
        <v>0.93502892493021528</v>
      </c>
      <c r="G33" s="663">
        <f t="shared" si="1"/>
        <v>3</v>
      </c>
      <c r="J33" s="660"/>
    </row>
    <row r="34" spans="1:16">
      <c r="A34" s="1511" t="s">
        <v>2495</v>
      </c>
      <c r="B34" s="1511" t="s">
        <v>2504</v>
      </c>
      <c r="C34" s="1511" t="s">
        <v>1839</v>
      </c>
      <c r="D34" s="1512">
        <v>39017</v>
      </c>
      <c r="E34" s="1512">
        <v>39665</v>
      </c>
      <c r="F34" s="1106">
        <f t="shared" si="0"/>
        <v>0.98366317912517331</v>
      </c>
      <c r="G34" s="663">
        <f t="shared" si="1"/>
        <v>3</v>
      </c>
    </row>
    <row r="35" spans="1:16">
      <c r="A35" s="1511" t="s">
        <v>2495</v>
      </c>
      <c r="B35" s="1511" t="s">
        <v>2504</v>
      </c>
      <c r="C35" s="1511" t="s">
        <v>1840</v>
      </c>
      <c r="D35" s="1512">
        <v>2757837</v>
      </c>
      <c r="E35" s="1512">
        <v>2922834</v>
      </c>
      <c r="F35" s="1106">
        <f t="shared" si="0"/>
        <v>0.94354896651674369</v>
      </c>
      <c r="G35" s="663">
        <f t="shared" si="1"/>
        <v>3</v>
      </c>
    </row>
    <row r="36" spans="1:16">
      <c r="A36" s="1511" t="s">
        <v>2495</v>
      </c>
      <c r="B36" s="1511" t="s">
        <v>2504</v>
      </c>
      <c r="C36" s="1511" t="s">
        <v>1842</v>
      </c>
      <c r="D36" s="1512">
        <v>14295958</v>
      </c>
      <c r="E36" s="1512">
        <v>14481680</v>
      </c>
      <c r="F36" s="1106">
        <f t="shared" si="0"/>
        <v>0.98717538296661711</v>
      </c>
      <c r="G36" s="663">
        <f t="shared" si="1"/>
        <v>3</v>
      </c>
    </row>
    <row r="37" spans="1:16">
      <c r="A37" s="1511" t="s">
        <v>2495</v>
      </c>
      <c r="B37" s="1511" t="s">
        <v>2504</v>
      </c>
      <c r="C37" s="1511" t="s">
        <v>1843</v>
      </c>
      <c r="D37" s="1512">
        <v>0</v>
      </c>
      <c r="E37" s="1512">
        <v>0</v>
      </c>
      <c r="F37" s="1106"/>
      <c r="G37" s="663"/>
      <c r="I37" s="665"/>
      <c r="J37" s="665"/>
      <c r="K37" s="665"/>
      <c r="L37" s="665"/>
      <c r="M37" s="665"/>
      <c r="N37" s="665"/>
      <c r="O37" s="665"/>
      <c r="P37" s="665"/>
    </row>
    <row r="38" spans="1:16">
      <c r="A38" s="1511" t="s">
        <v>2495</v>
      </c>
      <c r="B38" s="1511" t="s">
        <v>2505</v>
      </c>
      <c r="C38" s="1511" t="s">
        <v>1843</v>
      </c>
      <c r="D38" s="1512">
        <v>1059354</v>
      </c>
      <c r="E38" s="1512">
        <v>1080626</v>
      </c>
      <c r="F38" s="1106">
        <f t="shared" si="0"/>
        <v>0.98031511364708979</v>
      </c>
      <c r="G38" s="663">
        <f t="shared" si="1"/>
        <v>3</v>
      </c>
      <c r="I38" s="665"/>
      <c r="J38" s="665"/>
      <c r="K38" s="665"/>
      <c r="L38" s="665"/>
      <c r="M38" s="665"/>
      <c r="N38" s="665"/>
      <c r="O38" s="665"/>
      <c r="P38" s="665"/>
    </row>
    <row r="39" spans="1:16">
      <c r="A39" s="1511" t="s">
        <v>2495</v>
      </c>
      <c r="B39" s="1511" t="s">
        <v>2505</v>
      </c>
      <c r="C39" s="1511" t="s">
        <v>1842</v>
      </c>
      <c r="D39" s="1512">
        <v>224182</v>
      </c>
      <c r="E39" s="1512">
        <v>225970</v>
      </c>
      <c r="F39" s="1106">
        <f t="shared" si="0"/>
        <v>0.99208744523609327</v>
      </c>
      <c r="G39" s="663">
        <f t="shared" si="1"/>
        <v>3</v>
      </c>
      <c r="I39" s="660"/>
      <c r="J39" s="660"/>
      <c r="K39" s="660"/>
      <c r="L39" s="665"/>
      <c r="M39" s="665"/>
      <c r="N39" s="665"/>
      <c r="O39" s="665"/>
      <c r="P39" s="665"/>
    </row>
    <row r="40" spans="1:16">
      <c r="A40" s="1511" t="s">
        <v>2495</v>
      </c>
      <c r="B40" s="1511" t="s">
        <v>2505</v>
      </c>
      <c r="C40" s="1511" t="s">
        <v>1840</v>
      </c>
      <c r="D40" s="1512">
        <v>2707185</v>
      </c>
      <c r="E40" s="1512">
        <v>3035881</v>
      </c>
      <c r="F40" s="1106">
        <f t="shared" si="0"/>
        <v>0.89172961654294092</v>
      </c>
      <c r="G40" s="663">
        <f t="shared" si="1"/>
        <v>1.5</v>
      </c>
      <c r="I40" s="660"/>
      <c r="J40" s="660"/>
      <c r="K40" s="660"/>
      <c r="L40" s="665"/>
      <c r="M40" s="665"/>
      <c r="N40" s="665"/>
      <c r="O40" s="665"/>
      <c r="P40" s="665"/>
    </row>
    <row r="41" spans="1:16">
      <c r="A41" s="1511" t="s">
        <v>2495</v>
      </c>
      <c r="B41" s="1511" t="s">
        <v>2505</v>
      </c>
      <c r="C41" s="1511" t="s">
        <v>1839</v>
      </c>
      <c r="D41" s="1512">
        <v>11879</v>
      </c>
      <c r="E41" s="1512">
        <v>13657</v>
      </c>
      <c r="F41" s="1106">
        <f t="shared" si="0"/>
        <v>0.86981035366478732</v>
      </c>
      <c r="G41" s="663">
        <f t="shared" si="1"/>
        <v>1.5</v>
      </c>
      <c r="I41" s="660"/>
      <c r="J41" s="660"/>
      <c r="K41" s="660"/>
      <c r="L41" s="665"/>
      <c r="M41" s="665"/>
      <c r="N41" s="665"/>
      <c r="O41" s="665"/>
      <c r="P41" s="665"/>
    </row>
    <row r="42" spans="1:16">
      <c r="A42" s="1511" t="s">
        <v>2506</v>
      </c>
      <c r="B42" s="1511" t="s">
        <v>2496</v>
      </c>
      <c r="C42" s="1511" t="s">
        <v>1840</v>
      </c>
      <c r="D42" s="1512">
        <v>7862066</v>
      </c>
      <c r="E42" s="1512">
        <v>8327835</v>
      </c>
      <c r="F42" s="1106">
        <f t="shared" si="0"/>
        <v>0.94407081792566738</v>
      </c>
      <c r="G42" s="663">
        <f t="shared" si="1"/>
        <v>3</v>
      </c>
      <c r="I42" s="660"/>
      <c r="J42" s="660"/>
      <c r="K42" s="660"/>
      <c r="L42" s="665"/>
      <c r="M42" s="665"/>
      <c r="N42" s="665"/>
      <c r="O42" s="665"/>
      <c r="P42" s="665"/>
    </row>
    <row r="43" spans="1:16">
      <c r="A43" s="1511" t="s">
        <v>2506</v>
      </c>
      <c r="B43" s="1511" t="s">
        <v>2496</v>
      </c>
      <c r="C43" s="1511" t="s">
        <v>1842</v>
      </c>
      <c r="D43" s="1512">
        <v>555456</v>
      </c>
      <c r="E43" s="1512">
        <v>560056</v>
      </c>
      <c r="F43" s="1106">
        <f t="shared" si="0"/>
        <v>0.99178653563215102</v>
      </c>
      <c r="G43" s="663">
        <f t="shared" si="1"/>
        <v>3</v>
      </c>
      <c r="I43" s="660"/>
      <c r="J43" s="660"/>
      <c r="K43" s="660"/>
      <c r="L43" s="665"/>
      <c r="M43" s="665"/>
      <c r="N43" s="665"/>
      <c r="O43" s="665"/>
      <c r="P43" s="665"/>
    </row>
    <row r="44" spans="1:16">
      <c r="A44" s="1511" t="s">
        <v>2506</v>
      </c>
      <c r="B44" s="1511" t="s">
        <v>2496</v>
      </c>
      <c r="C44" s="1511" t="s">
        <v>1843</v>
      </c>
      <c r="D44" s="1512">
        <v>3119732</v>
      </c>
      <c r="E44" s="1512">
        <v>3193652</v>
      </c>
      <c r="F44" s="1106">
        <f t="shared" si="0"/>
        <v>0.97685408428970966</v>
      </c>
      <c r="G44" s="663">
        <f t="shared" si="1"/>
        <v>3</v>
      </c>
      <c r="I44" s="660"/>
      <c r="J44" s="660"/>
      <c r="K44" s="660"/>
      <c r="L44" s="665"/>
      <c r="M44" s="665"/>
      <c r="N44" s="665"/>
      <c r="O44" s="665"/>
      <c r="P44" s="665"/>
    </row>
    <row r="45" spans="1:16">
      <c r="A45" s="1511" t="s">
        <v>2506</v>
      </c>
      <c r="B45" s="1511" t="s">
        <v>2496</v>
      </c>
      <c r="C45" s="1511" t="s">
        <v>1839</v>
      </c>
      <c r="D45" s="1512">
        <v>174009</v>
      </c>
      <c r="E45" s="1512">
        <v>176264</v>
      </c>
      <c r="F45" s="1106">
        <f t="shared" si="0"/>
        <v>0.98720668996505245</v>
      </c>
      <c r="G45" s="663">
        <f t="shared" si="1"/>
        <v>3</v>
      </c>
      <c r="I45" s="660"/>
      <c r="J45" s="660"/>
      <c r="K45" s="660"/>
      <c r="L45" s="665"/>
      <c r="M45" s="665"/>
      <c r="N45" s="665"/>
      <c r="O45" s="665"/>
      <c r="P45" s="665"/>
    </row>
    <row r="46" spans="1:16">
      <c r="A46" s="1511" t="s">
        <v>2506</v>
      </c>
      <c r="B46" s="1511" t="s">
        <v>2497</v>
      </c>
      <c r="C46" s="1511" t="s">
        <v>1843</v>
      </c>
      <c r="D46" s="1512">
        <v>625562</v>
      </c>
      <c r="E46" s="1512">
        <v>643273</v>
      </c>
      <c r="F46" s="1106">
        <f t="shared" si="0"/>
        <v>0.97246736611050055</v>
      </c>
      <c r="G46" s="663">
        <f t="shared" si="1"/>
        <v>3</v>
      </c>
      <c r="I46" s="660"/>
      <c r="J46" s="660"/>
      <c r="K46" s="660"/>
      <c r="L46" s="665"/>
      <c r="M46" s="665"/>
      <c r="N46" s="665"/>
      <c r="O46" s="665"/>
      <c r="P46" s="665"/>
    </row>
    <row r="47" spans="1:16">
      <c r="A47" s="1511" t="s">
        <v>2506</v>
      </c>
      <c r="B47" s="1511" t="s">
        <v>2497</v>
      </c>
      <c r="C47" s="1511" t="s">
        <v>1842</v>
      </c>
      <c r="D47" s="1512">
        <v>21865093</v>
      </c>
      <c r="E47" s="1512">
        <v>23855846</v>
      </c>
      <c r="F47" s="1106">
        <f t="shared" si="0"/>
        <v>0.91655072723054964</v>
      </c>
      <c r="G47" s="663">
        <f t="shared" si="1"/>
        <v>3</v>
      </c>
      <c r="I47" s="660"/>
      <c r="J47" s="660"/>
      <c r="K47" s="660"/>
      <c r="L47" s="665"/>
      <c r="M47" s="665"/>
      <c r="N47" s="665"/>
      <c r="O47" s="665"/>
      <c r="P47" s="665"/>
    </row>
    <row r="48" spans="1:16">
      <c r="A48" s="1511" t="s">
        <v>2506</v>
      </c>
      <c r="B48" s="1511" t="s">
        <v>2497</v>
      </c>
      <c r="C48" s="1511" t="s">
        <v>1840</v>
      </c>
      <c r="D48" s="1512">
        <v>34048964</v>
      </c>
      <c r="E48" s="1512">
        <v>36757572</v>
      </c>
      <c r="F48" s="1106">
        <f t="shared" si="0"/>
        <v>0.926311563777934</v>
      </c>
      <c r="G48" s="663">
        <f t="shared" si="1"/>
        <v>3</v>
      </c>
      <c r="I48" s="660"/>
      <c r="J48" s="660"/>
      <c r="K48" s="660"/>
      <c r="L48" s="665"/>
      <c r="M48" s="665"/>
      <c r="N48" s="665"/>
      <c r="O48" s="665"/>
      <c r="P48" s="665"/>
    </row>
    <row r="49" spans="1:16">
      <c r="A49" s="1511" t="s">
        <v>2506</v>
      </c>
      <c r="B49" s="1511" t="s">
        <v>2497</v>
      </c>
      <c r="C49" s="1511" t="s">
        <v>1839</v>
      </c>
      <c r="D49" s="1512">
        <v>367129</v>
      </c>
      <c r="E49" s="1512">
        <v>372350</v>
      </c>
      <c r="F49" s="1106">
        <f t="shared" si="0"/>
        <v>0.98597824627366726</v>
      </c>
      <c r="G49" s="663">
        <f t="shared" si="1"/>
        <v>3</v>
      </c>
      <c r="I49" s="660"/>
      <c r="J49" s="660"/>
      <c r="K49" s="660"/>
      <c r="L49" s="665"/>
      <c r="M49" s="665"/>
      <c r="N49" s="665"/>
      <c r="O49" s="665"/>
      <c r="P49" s="665"/>
    </row>
    <row r="50" spans="1:16">
      <c r="A50" s="1511" t="s">
        <v>2506</v>
      </c>
      <c r="B50" s="1511" t="s">
        <v>2498</v>
      </c>
      <c r="C50" s="1511" t="s">
        <v>1843</v>
      </c>
      <c r="D50" s="1512">
        <v>0</v>
      </c>
      <c r="E50" s="1512">
        <v>0</v>
      </c>
      <c r="F50" s="1106"/>
      <c r="G50" s="663"/>
      <c r="I50" s="660"/>
      <c r="J50" s="660"/>
      <c r="K50" s="660"/>
      <c r="L50" s="665"/>
      <c r="M50" s="665"/>
      <c r="N50" s="665"/>
      <c r="O50" s="665"/>
      <c r="P50" s="665"/>
    </row>
    <row r="51" spans="1:16">
      <c r="A51" s="1511" t="s">
        <v>2506</v>
      </c>
      <c r="B51" s="1511" t="s">
        <v>2498</v>
      </c>
      <c r="C51" s="1511" t="s">
        <v>1842</v>
      </c>
      <c r="D51" s="1512">
        <v>434133</v>
      </c>
      <c r="E51" s="1512">
        <v>448797</v>
      </c>
      <c r="F51" s="1106">
        <f t="shared" si="0"/>
        <v>0.9673259847993636</v>
      </c>
      <c r="G51" s="663">
        <f t="shared" si="1"/>
        <v>3</v>
      </c>
      <c r="I51" s="660"/>
      <c r="J51" s="660"/>
      <c r="K51" s="660"/>
      <c r="L51" s="665"/>
      <c r="M51" s="665"/>
      <c r="N51" s="665"/>
      <c r="O51" s="665"/>
      <c r="P51" s="665"/>
    </row>
    <row r="52" spans="1:16">
      <c r="A52" s="1511" t="s">
        <v>2506</v>
      </c>
      <c r="B52" s="1511" t="s">
        <v>2498</v>
      </c>
      <c r="C52" s="1511" t="s">
        <v>1839</v>
      </c>
      <c r="D52" s="1512">
        <v>75448</v>
      </c>
      <c r="E52" s="1512">
        <v>78476</v>
      </c>
      <c r="F52" s="1106">
        <f t="shared" si="0"/>
        <v>0.96141495489066719</v>
      </c>
      <c r="G52" s="663">
        <f t="shared" si="1"/>
        <v>3</v>
      </c>
      <c r="I52" s="660"/>
      <c r="J52" s="660"/>
      <c r="K52" s="660"/>
      <c r="L52" s="665"/>
      <c r="M52" s="665"/>
      <c r="N52" s="665"/>
      <c r="O52" s="665"/>
      <c r="P52" s="665"/>
    </row>
    <row r="53" spans="1:16">
      <c r="A53" s="1511" t="s">
        <v>2506</v>
      </c>
      <c r="B53" s="1511" t="s">
        <v>2498</v>
      </c>
      <c r="C53" s="1511" t="s">
        <v>1840</v>
      </c>
      <c r="D53" s="1512">
        <v>8049180</v>
      </c>
      <c r="E53" s="1512">
        <v>8622099</v>
      </c>
      <c r="F53" s="1106">
        <f t="shared" si="0"/>
        <v>0.93355225914246631</v>
      </c>
      <c r="G53" s="663">
        <f t="shared" si="1"/>
        <v>3</v>
      </c>
      <c r="I53" s="660"/>
      <c r="J53" s="660"/>
      <c r="K53" s="660"/>
      <c r="L53" s="665"/>
      <c r="M53" s="665"/>
      <c r="N53" s="665"/>
      <c r="O53" s="665"/>
      <c r="P53" s="665"/>
    </row>
    <row r="54" spans="1:16">
      <c r="A54" s="1511" t="s">
        <v>2506</v>
      </c>
      <c r="B54" s="1511" t="s">
        <v>2499</v>
      </c>
      <c r="C54" s="1511" t="s">
        <v>1843</v>
      </c>
      <c r="D54" s="1512">
        <v>9513903</v>
      </c>
      <c r="E54" s="1512">
        <v>9998712</v>
      </c>
      <c r="F54" s="1106">
        <f t="shared" si="0"/>
        <v>0.95151285485570547</v>
      </c>
      <c r="G54" s="663">
        <f t="shared" si="1"/>
        <v>3</v>
      </c>
      <c r="I54" s="660"/>
      <c r="J54" s="660"/>
      <c r="K54" s="660"/>
      <c r="L54" s="665"/>
      <c r="M54" s="665"/>
      <c r="N54" s="665"/>
      <c r="O54" s="665"/>
      <c r="P54" s="665"/>
    </row>
    <row r="55" spans="1:16">
      <c r="A55" s="1511" t="s">
        <v>2506</v>
      </c>
      <c r="B55" s="1511" t="s">
        <v>2499</v>
      </c>
      <c r="C55" s="1511" t="s">
        <v>1842</v>
      </c>
      <c r="D55" s="1512">
        <v>5509889</v>
      </c>
      <c r="E55" s="1512">
        <v>5975224</v>
      </c>
      <c r="F55" s="1106">
        <f t="shared" si="0"/>
        <v>0.92212258486041698</v>
      </c>
      <c r="G55" s="663">
        <f t="shared" si="1"/>
        <v>3</v>
      </c>
      <c r="I55" s="660"/>
      <c r="J55" s="660"/>
      <c r="K55" s="660"/>
      <c r="L55" s="665"/>
      <c r="M55" s="665"/>
      <c r="N55" s="665"/>
      <c r="O55" s="665"/>
      <c r="P55" s="665"/>
    </row>
    <row r="56" spans="1:16">
      <c r="A56" s="1511" t="s">
        <v>2506</v>
      </c>
      <c r="B56" s="1511" t="s">
        <v>2499</v>
      </c>
      <c r="C56" s="1511" t="s">
        <v>1840</v>
      </c>
      <c r="D56" s="1512">
        <v>34329100</v>
      </c>
      <c r="E56" s="1512">
        <v>36534951</v>
      </c>
      <c r="F56" s="1106">
        <f t="shared" si="0"/>
        <v>0.93962354020948324</v>
      </c>
      <c r="G56" s="663">
        <f t="shared" si="1"/>
        <v>3</v>
      </c>
      <c r="I56" s="660"/>
      <c r="J56" s="660"/>
      <c r="K56" s="660"/>
      <c r="L56" s="665"/>
      <c r="M56" s="665"/>
      <c r="N56" s="665"/>
      <c r="O56" s="665"/>
      <c r="P56" s="665"/>
    </row>
    <row r="57" spans="1:16">
      <c r="A57" s="1511" t="s">
        <v>2506</v>
      </c>
      <c r="B57" s="1511" t="s">
        <v>2499</v>
      </c>
      <c r="C57" s="1511" t="s">
        <v>1839</v>
      </c>
      <c r="D57" s="1512">
        <v>579309</v>
      </c>
      <c r="E57" s="1512">
        <v>593221</v>
      </c>
      <c r="F57" s="1106">
        <f t="shared" si="0"/>
        <v>0.97654836898896025</v>
      </c>
      <c r="G57" s="663">
        <f t="shared" si="1"/>
        <v>3</v>
      </c>
      <c r="I57" s="660"/>
      <c r="J57" s="660"/>
      <c r="K57" s="660"/>
      <c r="L57" s="665"/>
      <c r="M57" s="665"/>
      <c r="N57" s="665"/>
      <c r="O57" s="665"/>
      <c r="P57" s="665"/>
    </row>
    <row r="58" spans="1:16">
      <c r="A58" s="1511" t="s">
        <v>2506</v>
      </c>
      <c r="B58" s="1511" t="s">
        <v>2500</v>
      </c>
      <c r="C58" s="1511" t="s">
        <v>1843</v>
      </c>
      <c r="D58" s="1512">
        <v>9018248</v>
      </c>
      <c r="E58" s="1512">
        <v>9519411</v>
      </c>
      <c r="F58" s="1106">
        <f t="shared" si="0"/>
        <v>0.94735357050977209</v>
      </c>
      <c r="G58" s="663">
        <f t="shared" si="1"/>
        <v>3</v>
      </c>
      <c r="I58" s="660"/>
      <c r="J58" s="660"/>
      <c r="K58" s="660"/>
      <c r="L58" s="665"/>
      <c r="M58" s="665"/>
      <c r="N58" s="665"/>
      <c r="O58" s="665"/>
      <c r="P58" s="665"/>
    </row>
    <row r="59" spans="1:16">
      <c r="A59" s="1511" t="s">
        <v>2506</v>
      </c>
      <c r="B59" s="1511" t="s">
        <v>2500</v>
      </c>
      <c r="C59" s="1511" t="s">
        <v>1839</v>
      </c>
      <c r="D59" s="1512">
        <v>237253</v>
      </c>
      <c r="E59" s="1512">
        <v>242936</v>
      </c>
      <c r="F59" s="1106">
        <f t="shared" si="0"/>
        <v>0.97660700760694175</v>
      </c>
      <c r="G59" s="663">
        <f t="shared" si="1"/>
        <v>3</v>
      </c>
      <c r="I59" s="660"/>
      <c r="J59" s="660"/>
      <c r="K59" s="660"/>
      <c r="L59" s="665"/>
      <c r="M59" s="665"/>
      <c r="N59" s="665"/>
      <c r="O59" s="665"/>
      <c r="P59" s="665"/>
    </row>
    <row r="60" spans="1:16">
      <c r="A60" s="1511" t="s">
        <v>2506</v>
      </c>
      <c r="B60" s="1511" t="s">
        <v>2500</v>
      </c>
      <c r="C60" s="1511" t="s">
        <v>1840</v>
      </c>
      <c r="D60" s="1512">
        <v>39648899</v>
      </c>
      <c r="E60" s="1512">
        <v>42647005</v>
      </c>
      <c r="F60" s="1106">
        <f t="shared" si="0"/>
        <v>0.92969949472418989</v>
      </c>
      <c r="G60" s="663">
        <f t="shared" si="1"/>
        <v>3</v>
      </c>
      <c r="I60" s="665"/>
      <c r="J60" s="665"/>
      <c r="K60" s="665"/>
      <c r="L60" s="665"/>
      <c r="M60" s="665"/>
      <c r="N60" s="665"/>
      <c r="O60" s="665"/>
      <c r="P60" s="665"/>
    </row>
    <row r="61" spans="1:16">
      <c r="A61" s="1511" t="s">
        <v>2506</v>
      </c>
      <c r="B61" s="1511" t="s">
        <v>2500</v>
      </c>
      <c r="C61" s="1511" t="s">
        <v>1842</v>
      </c>
      <c r="D61" s="1512">
        <v>1299140</v>
      </c>
      <c r="E61" s="1512">
        <v>1301128</v>
      </c>
      <c r="F61" s="1106">
        <f t="shared" si="0"/>
        <v>0.99847209498220002</v>
      </c>
      <c r="G61" s="663">
        <f t="shared" si="1"/>
        <v>3</v>
      </c>
      <c r="I61" s="665"/>
      <c r="J61" s="665"/>
      <c r="K61" s="665"/>
      <c r="L61" s="665"/>
      <c r="M61" s="665"/>
      <c r="N61" s="665"/>
      <c r="O61" s="665"/>
      <c r="P61" s="665"/>
    </row>
    <row r="62" spans="1:16">
      <c r="A62" s="1511" t="s">
        <v>2506</v>
      </c>
      <c r="B62" s="1511" t="s">
        <v>2501</v>
      </c>
      <c r="C62" s="1511" t="s">
        <v>1843</v>
      </c>
      <c r="D62" s="1512">
        <v>13452417</v>
      </c>
      <c r="E62" s="1512">
        <v>14727902</v>
      </c>
      <c r="F62" s="1106">
        <f t="shared" si="0"/>
        <v>0.91339669424742231</v>
      </c>
      <c r="G62" s="663">
        <f t="shared" si="1"/>
        <v>3</v>
      </c>
      <c r="I62" s="665"/>
      <c r="J62" s="665"/>
      <c r="K62" s="665"/>
      <c r="L62" s="665"/>
      <c r="M62" s="665"/>
      <c r="N62" s="665"/>
      <c r="O62" s="665"/>
      <c r="P62" s="665"/>
    </row>
    <row r="63" spans="1:16">
      <c r="A63" s="1511" t="s">
        <v>2506</v>
      </c>
      <c r="B63" s="1511" t="s">
        <v>2501</v>
      </c>
      <c r="C63" s="1511" t="s">
        <v>1842</v>
      </c>
      <c r="D63" s="1512">
        <v>427913</v>
      </c>
      <c r="E63" s="1512">
        <v>437467</v>
      </c>
      <c r="F63" s="1106">
        <f t="shared" si="0"/>
        <v>0.9781606384024395</v>
      </c>
      <c r="G63" s="663">
        <f t="shared" si="1"/>
        <v>3</v>
      </c>
      <c r="I63" s="665"/>
      <c r="J63" s="665"/>
      <c r="K63" s="665"/>
      <c r="L63" s="665"/>
      <c r="M63" s="665"/>
      <c r="N63" s="665"/>
      <c r="O63" s="665"/>
      <c r="P63" s="665"/>
    </row>
    <row r="64" spans="1:16">
      <c r="A64" s="1511" t="s">
        <v>2506</v>
      </c>
      <c r="B64" s="1511" t="s">
        <v>2501</v>
      </c>
      <c r="C64" s="1511" t="s">
        <v>1840</v>
      </c>
      <c r="D64" s="1512">
        <v>38176796</v>
      </c>
      <c r="E64" s="1512">
        <v>40927433</v>
      </c>
      <c r="F64" s="1106">
        <f t="shared" si="0"/>
        <v>0.93279234004243561</v>
      </c>
      <c r="G64" s="663">
        <f t="shared" si="1"/>
        <v>3</v>
      </c>
      <c r="I64" s="665"/>
      <c r="J64" s="665"/>
      <c r="K64" s="665"/>
      <c r="L64" s="665"/>
      <c r="M64" s="665"/>
      <c r="N64" s="665"/>
      <c r="O64" s="665"/>
      <c r="P64" s="665"/>
    </row>
    <row r="65" spans="1:16">
      <c r="A65" s="1511" t="s">
        <v>2506</v>
      </c>
      <c r="B65" s="1511" t="s">
        <v>2501</v>
      </c>
      <c r="C65" s="1511" t="s">
        <v>1839</v>
      </c>
      <c r="D65" s="1512">
        <v>579388</v>
      </c>
      <c r="E65" s="1512">
        <v>604522</v>
      </c>
      <c r="F65" s="1106">
        <f t="shared" si="0"/>
        <v>0.95842334935701268</v>
      </c>
      <c r="G65" s="663">
        <f t="shared" si="1"/>
        <v>3</v>
      </c>
      <c r="I65" s="665"/>
      <c r="J65" s="665"/>
      <c r="K65" s="665"/>
      <c r="L65" s="665"/>
      <c r="M65" s="665"/>
      <c r="N65" s="665"/>
      <c r="O65" s="665"/>
      <c r="P65" s="665"/>
    </row>
    <row r="66" spans="1:16">
      <c r="A66" s="1511" t="s">
        <v>2506</v>
      </c>
      <c r="B66" s="1511" t="s">
        <v>2502</v>
      </c>
      <c r="C66" s="1511" t="s">
        <v>1840</v>
      </c>
      <c r="D66" s="1512">
        <v>10217231</v>
      </c>
      <c r="E66" s="1512">
        <v>11088383</v>
      </c>
      <c r="F66" s="1106">
        <f t="shared" si="0"/>
        <v>0.9214356141918979</v>
      </c>
      <c r="G66" s="663">
        <f t="shared" si="1"/>
        <v>3</v>
      </c>
      <c r="I66" s="665"/>
      <c r="J66" s="665"/>
      <c r="K66" s="665"/>
      <c r="L66" s="665"/>
      <c r="M66" s="665"/>
      <c r="N66" s="665"/>
      <c r="O66" s="665"/>
      <c r="P66" s="665"/>
    </row>
    <row r="67" spans="1:16">
      <c r="A67" s="1511" t="s">
        <v>2506</v>
      </c>
      <c r="B67" s="1511" t="s">
        <v>2502</v>
      </c>
      <c r="C67" s="1511" t="s">
        <v>1842</v>
      </c>
      <c r="D67" s="1512">
        <v>1198839</v>
      </c>
      <c r="E67" s="1512">
        <v>1217327</v>
      </c>
      <c r="F67" s="1106">
        <f t="shared" ref="F67:F121" si="2">D67/E67</f>
        <v>0.98481262635265632</v>
      </c>
      <c r="G67" s="663">
        <f t="shared" ref="G67:G121" si="3">IF(F67&gt;0.9,3,IF(F67&gt;0.8,1.5,0))</f>
        <v>3</v>
      </c>
      <c r="I67" s="665"/>
      <c r="J67" s="665"/>
      <c r="K67" s="665"/>
      <c r="L67" s="665"/>
      <c r="M67" s="665"/>
      <c r="N67" s="665"/>
      <c r="O67" s="665"/>
      <c r="P67" s="665"/>
    </row>
    <row r="68" spans="1:16">
      <c r="A68" s="1511" t="s">
        <v>2506</v>
      </c>
      <c r="B68" s="1511" t="s">
        <v>2502</v>
      </c>
      <c r="C68" s="1511" t="s">
        <v>1843</v>
      </c>
      <c r="D68" s="1512">
        <v>1743087</v>
      </c>
      <c r="E68" s="1512">
        <v>1791971</v>
      </c>
      <c r="F68" s="1106">
        <f t="shared" si="2"/>
        <v>0.97272054067839264</v>
      </c>
      <c r="G68" s="663">
        <f t="shared" si="3"/>
        <v>3</v>
      </c>
      <c r="I68" s="665"/>
      <c r="J68" s="665"/>
      <c r="K68" s="665"/>
      <c r="L68" s="665"/>
      <c r="M68" s="665"/>
      <c r="N68" s="665"/>
      <c r="O68" s="665"/>
      <c r="P68" s="665"/>
    </row>
    <row r="69" spans="1:16">
      <c r="A69" s="1511" t="s">
        <v>2506</v>
      </c>
      <c r="B69" s="1511" t="s">
        <v>2502</v>
      </c>
      <c r="C69" s="1511" t="s">
        <v>1839</v>
      </c>
      <c r="D69" s="1512">
        <v>134606</v>
      </c>
      <c r="E69" s="1512">
        <v>138369</v>
      </c>
      <c r="F69" s="1106">
        <f t="shared" si="2"/>
        <v>0.97280460218690601</v>
      </c>
      <c r="G69" s="663">
        <f t="shared" si="3"/>
        <v>3</v>
      </c>
      <c r="I69" s="665"/>
      <c r="J69" s="665"/>
      <c r="K69" s="665"/>
      <c r="L69" s="665"/>
      <c r="M69" s="665"/>
      <c r="N69" s="665"/>
      <c r="O69" s="665"/>
      <c r="P69" s="665"/>
    </row>
    <row r="70" spans="1:16">
      <c r="A70" s="1511" t="s">
        <v>2506</v>
      </c>
      <c r="B70" s="1511" t="s">
        <v>2503</v>
      </c>
      <c r="C70" s="1511" t="s">
        <v>1843</v>
      </c>
      <c r="D70" s="1512">
        <v>3537513</v>
      </c>
      <c r="E70" s="1512">
        <v>3794442</v>
      </c>
      <c r="F70" s="1106">
        <f t="shared" si="2"/>
        <v>0.93228806765263506</v>
      </c>
      <c r="G70" s="663">
        <f t="shared" si="3"/>
        <v>3</v>
      </c>
      <c r="I70" s="665"/>
      <c r="J70" s="665"/>
      <c r="K70" s="665"/>
      <c r="L70" s="665"/>
      <c r="M70" s="665"/>
      <c r="N70" s="665"/>
      <c r="O70" s="665"/>
      <c r="P70" s="665"/>
    </row>
    <row r="71" spans="1:16">
      <c r="A71" s="1511" t="s">
        <v>2506</v>
      </c>
      <c r="B71" s="1511" t="s">
        <v>2503</v>
      </c>
      <c r="C71" s="1511" t="s">
        <v>1842</v>
      </c>
      <c r="D71" s="1512">
        <v>7458317</v>
      </c>
      <c r="E71" s="1512">
        <v>7632325</v>
      </c>
      <c r="F71" s="1106">
        <f t="shared" si="2"/>
        <v>0.97720118050528504</v>
      </c>
      <c r="G71" s="663">
        <f t="shared" si="3"/>
        <v>3</v>
      </c>
      <c r="I71" s="665"/>
      <c r="J71" s="665"/>
      <c r="K71" s="665"/>
      <c r="L71" s="665"/>
      <c r="M71" s="665"/>
      <c r="N71" s="665"/>
      <c r="O71" s="665"/>
      <c r="P71" s="665"/>
    </row>
    <row r="72" spans="1:16">
      <c r="A72" s="1511" t="s">
        <v>2506</v>
      </c>
      <c r="B72" s="1511" t="s">
        <v>2503</v>
      </c>
      <c r="C72" s="1511" t="s">
        <v>1840</v>
      </c>
      <c r="D72" s="1512">
        <v>27259751</v>
      </c>
      <c r="E72" s="1512">
        <v>30251538</v>
      </c>
      <c r="F72" s="1106">
        <f t="shared" si="2"/>
        <v>0.9011029786320286</v>
      </c>
      <c r="G72" s="663">
        <f t="shared" si="3"/>
        <v>3</v>
      </c>
    </row>
    <row r="73" spans="1:16">
      <c r="A73" s="1511" t="s">
        <v>2506</v>
      </c>
      <c r="B73" s="1511" t="s">
        <v>2503</v>
      </c>
      <c r="C73" s="1511" t="s">
        <v>1839</v>
      </c>
      <c r="D73" s="1512">
        <v>231134</v>
      </c>
      <c r="E73" s="1512">
        <v>235771</v>
      </c>
      <c r="F73" s="1106">
        <f t="shared" si="2"/>
        <v>0.98033261088089718</v>
      </c>
      <c r="G73" s="663">
        <f t="shared" si="3"/>
        <v>3</v>
      </c>
    </row>
    <row r="74" spans="1:16">
      <c r="A74" s="1511" t="s">
        <v>2506</v>
      </c>
      <c r="B74" s="1511" t="s">
        <v>2504</v>
      </c>
      <c r="C74" s="1511" t="s">
        <v>1843</v>
      </c>
      <c r="D74" s="1512">
        <v>0</v>
      </c>
      <c r="E74" s="1512">
        <v>0</v>
      </c>
      <c r="F74" s="1106"/>
      <c r="G74" s="663"/>
    </row>
    <row r="75" spans="1:16">
      <c r="A75" s="1511" t="s">
        <v>2506</v>
      </c>
      <c r="B75" s="1511" t="s">
        <v>2504</v>
      </c>
      <c r="C75" s="1511" t="s">
        <v>1842</v>
      </c>
      <c r="D75" s="1512">
        <v>19395149</v>
      </c>
      <c r="E75" s="1512">
        <v>19821367</v>
      </c>
      <c r="F75" s="1106">
        <f t="shared" si="2"/>
        <v>0.9784970431151393</v>
      </c>
      <c r="G75" s="663">
        <f t="shared" si="3"/>
        <v>3</v>
      </c>
    </row>
    <row r="76" spans="1:16">
      <c r="A76" s="1511" t="s">
        <v>2506</v>
      </c>
      <c r="B76" s="1511" t="s">
        <v>2504</v>
      </c>
      <c r="C76" s="1511" t="s">
        <v>1839</v>
      </c>
      <c r="D76" s="1512">
        <v>106014</v>
      </c>
      <c r="E76" s="1512">
        <v>109047</v>
      </c>
      <c r="F76" s="1106">
        <f t="shared" si="2"/>
        <v>0.9721863049877576</v>
      </c>
      <c r="G76" s="663">
        <f t="shared" si="3"/>
        <v>3</v>
      </c>
    </row>
    <row r="77" spans="1:16">
      <c r="A77" s="1511" t="s">
        <v>2506</v>
      </c>
      <c r="B77" s="1511" t="s">
        <v>2504</v>
      </c>
      <c r="C77" s="1511" t="s">
        <v>1840</v>
      </c>
      <c r="D77" s="1512">
        <v>5281106</v>
      </c>
      <c r="E77" s="1512">
        <v>5957695</v>
      </c>
      <c r="F77" s="1106">
        <f t="shared" si="2"/>
        <v>0.88643443479399331</v>
      </c>
      <c r="G77" s="663">
        <f t="shared" si="3"/>
        <v>1.5</v>
      </c>
    </row>
    <row r="78" spans="1:16">
      <c r="A78" s="1511" t="s">
        <v>2506</v>
      </c>
      <c r="B78" s="1511" t="s">
        <v>2505</v>
      </c>
      <c r="C78" s="1511" t="s">
        <v>1843</v>
      </c>
      <c r="D78" s="1512">
        <v>1024109</v>
      </c>
      <c r="E78" s="1512">
        <v>1049652</v>
      </c>
      <c r="F78" s="1106">
        <f t="shared" si="2"/>
        <v>0.97566526810790621</v>
      </c>
      <c r="G78" s="663">
        <f t="shared" si="3"/>
        <v>3</v>
      </c>
    </row>
    <row r="79" spans="1:16">
      <c r="A79" s="1511" t="s">
        <v>2506</v>
      </c>
      <c r="B79" s="1511" t="s">
        <v>2505</v>
      </c>
      <c r="C79" s="1511" t="s">
        <v>1842</v>
      </c>
      <c r="D79" s="1512">
        <v>231125</v>
      </c>
      <c r="E79" s="1512">
        <v>240345</v>
      </c>
      <c r="F79" s="1106">
        <f t="shared" si="2"/>
        <v>0.96163847802117786</v>
      </c>
      <c r="G79" s="663">
        <f t="shared" si="3"/>
        <v>3</v>
      </c>
    </row>
    <row r="80" spans="1:16">
      <c r="A80" s="1511" t="s">
        <v>2506</v>
      </c>
      <c r="B80" s="1511" t="s">
        <v>2505</v>
      </c>
      <c r="C80" s="1511" t="s">
        <v>1840</v>
      </c>
      <c r="D80" s="1512">
        <v>7941481</v>
      </c>
      <c r="E80" s="1512">
        <v>8603109</v>
      </c>
      <c r="F80" s="1106">
        <f t="shared" si="2"/>
        <v>0.92309431392767427</v>
      </c>
      <c r="G80" s="663">
        <f t="shared" si="3"/>
        <v>3</v>
      </c>
    </row>
    <row r="81" spans="1:7">
      <c r="A81" s="1511" t="s">
        <v>2506</v>
      </c>
      <c r="B81" s="1511" t="s">
        <v>2505</v>
      </c>
      <c r="C81" s="1511" t="s">
        <v>1839</v>
      </c>
      <c r="D81" s="1512">
        <v>49898</v>
      </c>
      <c r="E81" s="1512">
        <v>50445</v>
      </c>
      <c r="F81" s="1106">
        <f t="shared" si="2"/>
        <v>0.98915650708692637</v>
      </c>
      <c r="G81" s="663">
        <f t="shared" si="3"/>
        <v>3</v>
      </c>
    </row>
    <row r="82" spans="1:7">
      <c r="A82" s="1511" t="s">
        <v>2507</v>
      </c>
      <c r="B82" s="1511" t="s">
        <v>2496</v>
      </c>
      <c r="C82" s="1511" t="s">
        <v>1843</v>
      </c>
      <c r="D82" s="1512">
        <v>3792016</v>
      </c>
      <c r="E82" s="1512">
        <v>3891773</v>
      </c>
      <c r="F82" s="1106">
        <f t="shared" si="2"/>
        <v>0.97436721000942239</v>
      </c>
      <c r="G82" s="663">
        <f t="shared" si="3"/>
        <v>3</v>
      </c>
    </row>
    <row r="83" spans="1:7">
      <c r="A83" s="1511" t="s">
        <v>2507</v>
      </c>
      <c r="B83" s="1511" t="s">
        <v>2496</v>
      </c>
      <c r="C83" s="1511" t="s">
        <v>1842</v>
      </c>
      <c r="D83" s="1512">
        <v>737338</v>
      </c>
      <c r="E83" s="1512">
        <v>768865</v>
      </c>
      <c r="F83" s="1106">
        <f t="shared" si="2"/>
        <v>0.9589954023138002</v>
      </c>
      <c r="G83" s="663">
        <f t="shared" si="3"/>
        <v>3</v>
      </c>
    </row>
    <row r="84" spans="1:7">
      <c r="A84" s="1511" t="s">
        <v>2507</v>
      </c>
      <c r="B84" s="1511" t="s">
        <v>2496</v>
      </c>
      <c r="C84" s="1511" t="s">
        <v>1840</v>
      </c>
      <c r="D84" s="1512">
        <v>5798098</v>
      </c>
      <c r="E84" s="1512">
        <v>6005042</v>
      </c>
      <c r="F84" s="1106">
        <f t="shared" si="2"/>
        <v>0.96553829265473912</v>
      </c>
      <c r="G84" s="663">
        <f t="shared" si="3"/>
        <v>3</v>
      </c>
    </row>
    <row r="85" spans="1:7">
      <c r="A85" s="1511" t="s">
        <v>2507</v>
      </c>
      <c r="B85" s="1511" t="s">
        <v>2496</v>
      </c>
      <c r="C85" s="1511" t="s">
        <v>1839</v>
      </c>
      <c r="D85" s="1512">
        <v>75371</v>
      </c>
      <c r="E85" s="1512">
        <v>73656</v>
      </c>
      <c r="F85" s="1106">
        <f t="shared" si="2"/>
        <v>1.0232839144129466</v>
      </c>
      <c r="G85" s="663">
        <f t="shared" si="3"/>
        <v>3</v>
      </c>
    </row>
    <row r="86" spans="1:7">
      <c r="A86" s="1511" t="s">
        <v>2507</v>
      </c>
      <c r="B86" s="1511" t="s">
        <v>2497</v>
      </c>
      <c r="C86" s="1511" t="s">
        <v>1843</v>
      </c>
      <c r="D86" s="1512">
        <v>396170</v>
      </c>
      <c r="E86" s="1512">
        <v>430111</v>
      </c>
      <c r="F86" s="1106">
        <f t="shared" si="2"/>
        <v>0.9210878122159164</v>
      </c>
      <c r="G86" s="663">
        <f t="shared" si="3"/>
        <v>3</v>
      </c>
    </row>
    <row r="87" spans="1:7">
      <c r="A87" s="1511" t="s">
        <v>2507</v>
      </c>
      <c r="B87" s="1511" t="s">
        <v>2497</v>
      </c>
      <c r="C87" s="1511" t="s">
        <v>1842</v>
      </c>
      <c r="D87" s="1512">
        <v>7770932</v>
      </c>
      <c r="E87" s="1512">
        <v>8574708</v>
      </c>
      <c r="F87" s="1106">
        <f t="shared" si="2"/>
        <v>0.90626199749309244</v>
      </c>
      <c r="G87" s="663">
        <f t="shared" si="3"/>
        <v>3</v>
      </c>
    </row>
    <row r="88" spans="1:7">
      <c r="A88" s="1511" t="s">
        <v>2507</v>
      </c>
      <c r="B88" s="1511" t="s">
        <v>2497</v>
      </c>
      <c r="C88" s="1511" t="s">
        <v>1840</v>
      </c>
      <c r="D88" s="1512">
        <v>16047114</v>
      </c>
      <c r="E88" s="1512">
        <v>16873764</v>
      </c>
      <c r="F88" s="1106">
        <f t="shared" si="2"/>
        <v>0.95100974506932778</v>
      </c>
      <c r="G88" s="663">
        <f t="shared" si="3"/>
        <v>3</v>
      </c>
    </row>
    <row r="89" spans="1:7">
      <c r="A89" s="1511" t="s">
        <v>2507</v>
      </c>
      <c r="B89" s="1511" t="s">
        <v>2497</v>
      </c>
      <c r="C89" s="1511" t="s">
        <v>1839</v>
      </c>
      <c r="D89" s="1512">
        <v>53993</v>
      </c>
      <c r="E89" s="1512">
        <v>56355</v>
      </c>
      <c r="F89" s="1106">
        <f t="shared" si="2"/>
        <v>0.95808712625321624</v>
      </c>
      <c r="G89" s="663">
        <f t="shared" si="3"/>
        <v>3</v>
      </c>
    </row>
    <row r="90" spans="1:7">
      <c r="A90" s="1511" t="s">
        <v>2507</v>
      </c>
      <c r="B90" s="1511" t="s">
        <v>2498</v>
      </c>
      <c r="C90" s="1511" t="s">
        <v>1839</v>
      </c>
      <c r="D90" s="1512">
        <v>34478</v>
      </c>
      <c r="E90" s="1512">
        <v>34484</v>
      </c>
      <c r="F90" s="1106">
        <f t="shared" si="2"/>
        <v>0.99982600626377449</v>
      </c>
      <c r="G90" s="663">
        <f t="shared" si="3"/>
        <v>3</v>
      </c>
    </row>
    <row r="91" spans="1:7">
      <c r="A91" s="1511" t="s">
        <v>2507</v>
      </c>
      <c r="B91" s="1511" t="s">
        <v>2498</v>
      </c>
      <c r="C91" s="1511" t="s">
        <v>1840</v>
      </c>
      <c r="D91" s="1512">
        <v>3487069</v>
      </c>
      <c r="E91" s="1512">
        <v>3679747</v>
      </c>
      <c r="F91" s="1106">
        <f t="shared" si="2"/>
        <v>0.94763824795563389</v>
      </c>
      <c r="G91" s="663">
        <f t="shared" si="3"/>
        <v>3</v>
      </c>
    </row>
    <row r="92" spans="1:7">
      <c r="A92" s="1511" t="s">
        <v>2507</v>
      </c>
      <c r="B92" s="1511" t="s">
        <v>2498</v>
      </c>
      <c r="C92" s="1511" t="s">
        <v>1842</v>
      </c>
      <c r="D92" s="1512">
        <v>862484</v>
      </c>
      <c r="E92" s="1512">
        <v>862484</v>
      </c>
      <c r="F92" s="1106">
        <f t="shared" si="2"/>
        <v>1</v>
      </c>
      <c r="G92" s="663">
        <f t="shared" si="3"/>
        <v>3</v>
      </c>
    </row>
    <row r="93" spans="1:7">
      <c r="A93" s="1511" t="s">
        <v>2507</v>
      </c>
      <c r="B93" s="1511" t="s">
        <v>2498</v>
      </c>
      <c r="C93" s="1511" t="s">
        <v>1843</v>
      </c>
      <c r="D93" s="1512">
        <v>0</v>
      </c>
      <c r="E93" s="1512">
        <v>0</v>
      </c>
      <c r="F93" s="1106"/>
      <c r="G93" s="663"/>
    </row>
    <row r="94" spans="1:7">
      <c r="A94" s="1511" t="s">
        <v>2507</v>
      </c>
      <c r="B94" s="1511" t="s">
        <v>2499</v>
      </c>
      <c r="C94" s="1511" t="s">
        <v>1842</v>
      </c>
      <c r="D94" s="1512">
        <v>3388669</v>
      </c>
      <c r="E94" s="1512">
        <v>3543000</v>
      </c>
      <c r="F94" s="1106">
        <f t="shared" si="2"/>
        <v>0.95644058707310187</v>
      </c>
      <c r="G94" s="663">
        <f t="shared" si="3"/>
        <v>3</v>
      </c>
    </row>
    <row r="95" spans="1:7">
      <c r="A95" s="1511" t="s">
        <v>2507</v>
      </c>
      <c r="B95" s="1511" t="s">
        <v>2499</v>
      </c>
      <c r="C95" s="1511" t="s">
        <v>1840</v>
      </c>
      <c r="D95" s="1512">
        <v>15447574</v>
      </c>
      <c r="E95" s="1512">
        <v>16199084</v>
      </c>
      <c r="F95" s="1106">
        <f t="shared" si="2"/>
        <v>0.95360787066725505</v>
      </c>
      <c r="G95" s="663">
        <f t="shared" si="3"/>
        <v>3</v>
      </c>
    </row>
    <row r="96" spans="1:7">
      <c r="A96" s="1511" t="s">
        <v>2507</v>
      </c>
      <c r="B96" s="1511" t="s">
        <v>2499</v>
      </c>
      <c r="C96" s="1511" t="s">
        <v>1843</v>
      </c>
      <c r="D96" s="1512">
        <v>5951994</v>
      </c>
      <c r="E96" s="1512">
        <v>6244307</v>
      </c>
      <c r="F96" s="1106">
        <f t="shared" si="2"/>
        <v>0.95318727922890401</v>
      </c>
      <c r="G96" s="663">
        <f t="shared" si="3"/>
        <v>3</v>
      </c>
    </row>
    <row r="97" spans="1:7">
      <c r="A97" s="1511" t="s">
        <v>2507</v>
      </c>
      <c r="B97" s="1511" t="s">
        <v>2499</v>
      </c>
      <c r="C97" s="1511" t="s">
        <v>1839</v>
      </c>
      <c r="D97" s="1512">
        <v>165613</v>
      </c>
      <c r="E97" s="1512">
        <v>168976</v>
      </c>
      <c r="F97" s="1106">
        <f t="shared" si="2"/>
        <v>0.98009776536312854</v>
      </c>
      <c r="G97" s="663">
        <f t="shared" si="3"/>
        <v>3</v>
      </c>
    </row>
    <row r="98" spans="1:7">
      <c r="A98" s="1511" t="s">
        <v>2507</v>
      </c>
      <c r="B98" s="1511" t="s">
        <v>2500</v>
      </c>
      <c r="C98" s="1511" t="s">
        <v>1839</v>
      </c>
      <c r="D98" s="1512">
        <v>123050</v>
      </c>
      <c r="E98" s="1512">
        <v>126397</v>
      </c>
      <c r="F98" s="1106">
        <f t="shared" si="2"/>
        <v>0.97351994113784346</v>
      </c>
      <c r="G98" s="663">
        <f t="shared" si="3"/>
        <v>3</v>
      </c>
    </row>
    <row r="99" spans="1:7">
      <c r="A99" s="1511" t="s">
        <v>2507</v>
      </c>
      <c r="B99" s="1511" t="s">
        <v>2500</v>
      </c>
      <c r="C99" s="1511" t="s">
        <v>1842</v>
      </c>
      <c r="D99" s="1512">
        <v>364095</v>
      </c>
      <c r="E99" s="1512">
        <v>374253</v>
      </c>
      <c r="F99" s="1106">
        <f t="shared" si="2"/>
        <v>0.97285793300254109</v>
      </c>
      <c r="G99" s="663">
        <f t="shared" si="3"/>
        <v>3</v>
      </c>
    </row>
    <row r="100" spans="1:7">
      <c r="A100" s="1511" t="s">
        <v>2507</v>
      </c>
      <c r="B100" s="1511" t="s">
        <v>2500</v>
      </c>
      <c r="C100" s="1511" t="s">
        <v>1843</v>
      </c>
      <c r="D100" s="1512">
        <v>6147748</v>
      </c>
      <c r="E100" s="1512">
        <v>6383441</v>
      </c>
      <c r="F100" s="1106">
        <f t="shared" si="2"/>
        <v>0.96307743738839291</v>
      </c>
      <c r="G100" s="663">
        <f t="shared" si="3"/>
        <v>3</v>
      </c>
    </row>
    <row r="101" spans="1:7">
      <c r="A101" s="1511" t="s">
        <v>2507</v>
      </c>
      <c r="B101" s="1511" t="s">
        <v>2500</v>
      </c>
      <c r="C101" s="1511" t="s">
        <v>1840</v>
      </c>
      <c r="D101" s="1512">
        <v>17787185</v>
      </c>
      <c r="E101" s="1512">
        <v>18726691</v>
      </c>
      <c r="F101" s="1106">
        <f t="shared" si="2"/>
        <v>0.94983064546747742</v>
      </c>
      <c r="G101" s="663">
        <f t="shared" si="3"/>
        <v>3</v>
      </c>
    </row>
    <row r="102" spans="1:7">
      <c r="A102" s="1511" t="s">
        <v>2507</v>
      </c>
      <c r="B102" s="1511" t="s">
        <v>2501</v>
      </c>
      <c r="C102" s="1511" t="s">
        <v>1843</v>
      </c>
      <c r="D102" s="1512">
        <v>10742307</v>
      </c>
      <c r="E102" s="1512">
        <v>11684008</v>
      </c>
      <c r="F102" s="1106">
        <f t="shared" si="2"/>
        <v>0.9194025714463735</v>
      </c>
      <c r="G102" s="663">
        <f t="shared" si="3"/>
        <v>3</v>
      </c>
    </row>
    <row r="103" spans="1:7">
      <c r="A103" s="1511" t="s">
        <v>2507</v>
      </c>
      <c r="B103" s="1511" t="s">
        <v>2501</v>
      </c>
      <c r="C103" s="1511" t="s">
        <v>1842</v>
      </c>
      <c r="D103" s="1512">
        <v>412173</v>
      </c>
      <c r="E103" s="1512">
        <v>418839</v>
      </c>
      <c r="F103" s="1106">
        <f t="shared" si="2"/>
        <v>0.98408457665117144</v>
      </c>
      <c r="G103" s="663">
        <f t="shared" si="3"/>
        <v>3</v>
      </c>
    </row>
    <row r="104" spans="1:7">
      <c r="A104" s="1511" t="s">
        <v>2507</v>
      </c>
      <c r="B104" s="1511" t="s">
        <v>2501</v>
      </c>
      <c r="C104" s="1511" t="s">
        <v>1840</v>
      </c>
      <c r="D104" s="1512">
        <v>15883917</v>
      </c>
      <c r="E104" s="1512">
        <v>16862006</v>
      </c>
      <c r="F104" s="1106">
        <f t="shared" si="2"/>
        <v>0.94199450528009543</v>
      </c>
      <c r="G104" s="663">
        <f t="shared" si="3"/>
        <v>3</v>
      </c>
    </row>
    <row r="105" spans="1:7">
      <c r="A105" s="1511" t="s">
        <v>2507</v>
      </c>
      <c r="B105" s="1511" t="s">
        <v>2501</v>
      </c>
      <c r="C105" s="1511" t="s">
        <v>1839</v>
      </c>
      <c r="D105" s="1512">
        <v>126639</v>
      </c>
      <c r="E105" s="1512">
        <v>130782</v>
      </c>
      <c r="F105" s="1106">
        <f t="shared" si="2"/>
        <v>0.96832132862320508</v>
      </c>
      <c r="G105" s="663">
        <f t="shared" si="3"/>
        <v>3</v>
      </c>
    </row>
    <row r="106" spans="1:7">
      <c r="A106" s="1511" t="s">
        <v>2507</v>
      </c>
      <c r="B106" s="1511" t="s">
        <v>2502</v>
      </c>
      <c r="C106" s="1511" t="s">
        <v>1843</v>
      </c>
      <c r="D106" s="1512">
        <v>901069</v>
      </c>
      <c r="E106" s="1512">
        <v>929468</v>
      </c>
      <c r="F106" s="1106">
        <f t="shared" si="2"/>
        <v>0.96944596263669114</v>
      </c>
      <c r="G106" s="663">
        <f t="shared" si="3"/>
        <v>3</v>
      </c>
    </row>
    <row r="107" spans="1:7">
      <c r="A107" s="1511" t="s">
        <v>2507</v>
      </c>
      <c r="B107" s="1511" t="s">
        <v>2502</v>
      </c>
      <c r="C107" s="1511" t="s">
        <v>1842</v>
      </c>
      <c r="D107" s="1512">
        <v>860515</v>
      </c>
      <c r="E107" s="1512">
        <v>867291</v>
      </c>
      <c r="F107" s="1106">
        <f t="shared" si="2"/>
        <v>0.99218716670644569</v>
      </c>
      <c r="G107" s="663">
        <f t="shared" si="3"/>
        <v>3</v>
      </c>
    </row>
    <row r="108" spans="1:7">
      <c r="A108" s="1511" t="s">
        <v>2507</v>
      </c>
      <c r="B108" s="1511" t="s">
        <v>2502</v>
      </c>
      <c r="C108" s="1511" t="s">
        <v>1840</v>
      </c>
      <c r="D108" s="1512">
        <v>4020726</v>
      </c>
      <c r="E108" s="1512">
        <v>4338139</v>
      </c>
      <c r="F108" s="1106">
        <f t="shared" si="2"/>
        <v>0.92683198947751555</v>
      </c>
      <c r="G108" s="663">
        <f t="shared" si="3"/>
        <v>3</v>
      </c>
    </row>
    <row r="109" spans="1:7">
      <c r="A109" s="1511" t="s">
        <v>2507</v>
      </c>
      <c r="B109" s="1511" t="s">
        <v>2502</v>
      </c>
      <c r="C109" s="1511" t="s">
        <v>1839</v>
      </c>
      <c r="D109" s="1512">
        <v>32634</v>
      </c>
      <c r="E109" s="1512">
        <v>32472</v>
      </c>
      <c r="F109" s="1106">
        <f t="shared" si="2"/>
        <v>1.0049889135254988</v>
      </c>
      <c r="G109" s="663">
        <f t="shared" si="3"/>
        <v>3</v>
      </c>
    </row>
    <row r="110" spans="1:7">
      <c r="A110" s="1511" t="s">
        <v>2507</v>
      </c>
      <c r="B110" s="1511" t="s">
        <v>2503</v>
      </c>
      <c r="C110" s="1511" t="s">
        <v>1843</v>
      </c>
      <c r="D110" s="1512">
        <v>2672978</v>
      </c>
      <c r="E110" s="1512">
        <v>2913552</v>
      </c>
      <c r="F110" s="1106">
        <f t="shared" si="2"/>
        <v>0.91742930965364611</v>
      </c>
      <c r="G110" s="663">
        <f t="shared" si="3"/>
        <v>3</v>
      </c>
    </row>
    <row r="111" spans="1:7">
      <c r="A111" s="1511" t="s">
        <v>2507</v>
      </c>
      <c r="B111" s="1511" t="s">
        <v>2503</v>
      </c>
      <c r="C111" s="1511" t="s">
        <v>1842</v>
      </c>
      <c r="D111" s="1512">
        <v>6065689</v>
      </c>
      <c r="E111" s="1512">
        <v>6185140</v>
      </c>
      <c r="F111" s="1106">
        <f t="shared" si="2"/>
        <v>0.98068742178835078</v>
      </c>
      <c r="G111" s="663">
        <f t="shared" si="3"/>
        <v>3</v>
      </c>
    </row>
    <row r="112" spans="1:7">
      <c r="A112" s="1511" t="s">
        <v>2507</v>
      </c>
      <c r="B112" s="1511" t="s">
        <v>2503</v>
      </c>
      <c r="C112" s="1511" t="s">
        <v>1840</v>
      </c>
      <c r="D112" s="1512">
        <v>9949848</v>
      </c>
      <c r="E112" s="1512">
        <v>10720690</v>
      </c>
      <c r="F112" s="1106">
        <f t="shared" si="2"/>
        <v>0.92809772505314492</v>
      </c>
      <c r="G112" s="663">
        <f t="shared" si="3"/>
        <v>3</v>
      </c>
    </row>
    <row r="113" spans="1:7">
      <c r="A113" s="1511" t="s">
        <v>2507</v>
      </c>
      <c r="B113" s="1511" t="s">
        <v>2503</v>
      </c>
      <c r="C113" s="1511" t="s">
        <v>1839</v>
      </c>
      <c r="D113" s="1512">
        <v>19640</v>
      </c>
      <c r="E113" s="1512">
        <v>27273</v>
      </c>
      <c r="F113" s="1106">
        <f t="shared" si="2"/>
        <v>0.72012613207201259</v>
      </c>
      <c r="G113" s="663">
        <f t="shared" si="3"/>
        <v>0</v>
      </c>
    </row>
    <row r="114" spans="1:7">
      <c r="A114" s="1511" t="s">
        <v>2507</v>
      </c>
      <c r="B114" s="1511" t="s">
        <v>2504</v>
      </c>
      <c r="C114" s="1511" t="s">
        <v>1839</v>
      </c>
      <c r="D114" s="1512">
        <v>55730</v>
      </c>
      <c r="E114" s="1512">
        <v>56311</v>
      </c>
      <c r="F114" s="1106">
        <f t="shared" si="2"/>
        <v>0.98968230008346503</v>
      </c>
      <c r="G114" s="663">
        <f t="shared" si="3"/>
        <v>3</v>
      </c>
    </row>
    <row r="115" spans="1:7">
      <c r="A115" s="1511" t="s">
        <v>2507</v>
      </c>
      <c r="B115" s="1511" t="s">
        <v>2504</v>
      </c>
      <c r="C115" s="1511" t="s">
        <v>1840</v>
      </c>
      <c r="D115" s="1512">
        <v>2625732</v>
      </c>
      <c r="E115" s="1512">
        <v>2850831</v>
      </c>
      <c r="F115" s="1106">
        <f t="shared" si="2"/>
        <v>0.92104091754299011</v>
      </c>
      <c r="G115" s="663">
        <f t="shared" si="3"/>
        <v>3</v>
      </c>
    </row>
    <row r="116" spans="1:7">
      <c r="A116" s="1511" t="s">
        <v>2507</v>
      </c>
      <c r="B116" s="1511" t="s">
        <v>2504</v>
      </c>
      <c r="C116" s="1511" t="s">
        <v>1842</v>
      </c>
      <c r="D116" s="1512">
        <v>5343326</v>
      </c>
      <c r="E116" s="1512">
        <v>5436790</v>
      </c>
      <c r="F116" s="1106">
        <f t="shared" si="2"/>
        <v>0.98280897367748243</v>
      </c>
      <c r="G116" s="663">
        <f t="shared" si="3"/>
        <v>3</v>
      </c>
    </row>
    <row r="117" spans="1:7">
      <c r="A117" s="1511" t="s">
        <v>2507</v>
      </c>
      <c r="B117" s="1511" t="s">
        <v>2504</v>
      </c>
      <c r="C117" s="1511" t="s">
        <v>1843</v>
      </c>
      <c r="D117" s="1512">
        <v>0</v>
      </c>
      <c r="E117" s="1512">
        <v>0</v>
      </c>
      <c r="F117" s="1106"/>
      <c r="G117" s="663"/>
    </row>
    <row r="118" spans="1:7">
      <c r="A118" s="1511" t="s">
        <v>2507</v>
      </c>
      <c r="B118" s="1511" t="s">
        <v>2505</v>
      </c>
      <c r="C118" s="1511" t="s">
        <v>1842</v>
      </c>
      <c r="D118" s="1512">
        <v>347095</v>
      </c>
      <c r="E118" s="1512">
        <v>350871</v>
      </c>
      <c r="F118" s="1106">
        <f t="shared" si="2"/>
        <v>0.98923821005440749</v>
      </c>
      <c r="G118" s="663">
        <f t="shared" si="3"/>
        <v>3</v>
      </c>
    </row>
    <row r="119" spans="1:7">
      <c r="A119" s="1511" t="s">
        <v>2507</v>
      </c>
      <c r="B119" s="1511" t="s">
        <v>2505</v>
      </c>
      <c r="C119" s="1511" t="s">
        <v>1840</v>
      </c>
      <c r="D119" s="1512">
        <v>2677110</v>
      </c>
      <c r="E119" s="1512">
        <v>2914979</v>
      </c>
      <c r="F119" s="1106">
        <f t="shared" si="2"/>
        <v>0.91839769686162409</v>
      </c>
      <c r="G119" s="663">
        <f t="shared" si="3"/>
        <v>3</v>
      </c>
    </row>
    <row r="120" spans="1:7">
      <c r="A120" s="1511" t="s">
        <v>2507</v>
      </c>
      <c r="B120" s="1511" t="s">
        <v>2505</v>
      </c>
      <c r="C120" s="1511" t="s">
        <v>1843</v>
      </c>
      <c r="D120" s="1512">
        <v>417816</v>
      </c>
      <c r="E120" s="1512">
        <v>471491</v>
      </c>
      <c r="F120" s="1106">
        <f t="shared" si="2"/>
        <v>0.88615901470017455</v>
      </c>
      <c r="G120" s="663">
        <f t="shared" si="3"/>
        <v>1.5</v>
      </c>
    </row>
    <row r="121" spans="1:7">
      <c r="A121" s="1511" t="s">
        <v>2507</v>
      </c>
      <c r="B121" s="1511" t="s">
        <v>2505</v>
      </c>
      <c r="C121" s="1511" t="s">
        <v>1839</v>
      </c>
      <c r="D121" s="1512">
        <v>2133</v>
      </c>
      <c r="E121" s="1512">
        <v>4509</v>
      </c>
      <c r="F121" s="1106">
        <f t="shared" si="2"/>
        <v>0.47305389221556887</v>
      </c>
      <c r="G121" s="663">
        <f t="shared" si="3"/>
        <v>0</v>
      </c>
    </row>
  </sheetData>
  <phoneticPr fontId="3" type="noConversion"/>
  <hyperlinks>
    <hyperlink ref="H23" location="'总公司绩效-II'!A1" display="总公司绩效-II"/>
    <hyperlink ref="H24" location="目录!A1" display="目录"/>
    <hyperlink ref="H25" location="'OR04-分公司销售、承保、保全'!A1" display="OR0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Q69"/>
  <sheetViews>
    <sheetView topLeftCell="A31" workbookViewId="0">
      <selection activeCell="L26" sqref="L26:L27"/>
    </sheetView>
  </sheetViews>
  <sheetFormatPr defaultRowHeight="13.5"/>
  <cols>
    <col min="1" max="1" width="9" style="316"/>
    <col min="2" max="2" width="11.625" style="316" bestFit="1" customWidth="1"/>
    <col min="3" max="3" width="12.75" style="316" bestFit="1" customWidth="1"/>
    <col min="4" max="4" width="12.5" style="316" customWidth="1"/>
    <col min="5" max="5" width="13.875" style="316" bestFit="1" customWidth="1"/>
    <col min="6" max="6" width="13" style="316" customWidth="1"/>
    <col min="7" max="7" width="9.125" style="312" bestFit="1" customWidth="1"/>
    <col min="8" max="8" width="14" style="667" customWidth="1"/>
    <col min="9" max="9" width="4.75" style="316" customWidth="1"/>
    <col min="10" max="10" width="10.125" style="316" customWidth="1"/>
    <col min="11" max="11" width="9.625" style="316" customWidth="1"/>
    <col min="12" max="12" width="9.75" style="316" customWidth="1"/>
    <col min="13" max="13" width="19.75" style="316" customWidth="1"/>
    <col min="14" max="14" width="15.375" style="316" bestFit="1" customWidth="1"/>
    <col min="15" max="16384" width="9" style="316"/>
  </cols>
  <sheetData>
    <row r="1" spans="1:17">
      <c r="A1" s="655" t="s">
        <v>2039</v>
      </c>
      <c r="B1" s="655" t="s">
        <v>2040</v>
      </c>
      <c r="C1" s="655" t="s">
        <v>2041</v>
      </c>
      <c r="D1" s="655" t="s">
        <v>2042</v>
      </c>
      <c r="E1" s="655" t="s">
        <v>2023</v>
      </c>
      <c r="F1" s="655" t="s">
        <v>2043</v>
      </c>
      <c r="G1" s="1105" t="s">
        <v>2044</v>
      </c>
      <c r="H1" s="662" t="s">
        <v>1941</v>
      </c>
    </row>
    <row r="2" spans="1:17">
      <c r="A2" s="1511" t="s">
        <v>1842</v>
      </c>
      <c r="B2" s="1511" t="s">
        <v>2496</v>
      </c>
      <c r="C2" s="1516">
        <v>690404.44</v>
      </c>
      <c r="D2" s="1516">
        <v>630000</v>
      </c>
      <c r="E2" s="1516">
        <v>4000862</v>
      </c>
      <c r="F2" s="1516">
        <v>1205038</v>
      </c>
      <c r="G2" s="1091">
        <f>(C2+D2)/(E2+F2)</f>
        <v>0.25363615128988265</v>
      </c>
      <c r="H2" s="661">
        <f>IF(G2&gt;10%,0,IF(G2&gt;5%,1.5,3))</f>
        <v>0</v>
      </c>
    </row>
    <row r="3" spans="1:17">
      <c r="A3" s="1511" t="s">
        <v>1842</v>
      </c>
      <c r="B3" s="1511" t="s">
        <v>2497</v>
      </c>
      <c r="C3" s="1516">
        <v>2371711.9</v>
      </c>
      <c r="D3" s="1516">
        <v>9320000</v>
      </c>
      <c r="E3" s="1516">
        <v>99589632.760000005</v>
      </c>
      <c r="F3" s="1516">
        <v>43450000</v>
      </c>
      <c r="G3" s="1091">
        <f t="shared" ref="G3:G50" si="0">(C3+D3)/(E3+F3)</f>
        <v>8.1737569332389279E-2</v>
      </c>
      <c r="H3" s="661">
        <f t="shared" ref="H3:H50" si="1">IF(G3&gt;10%,0,IF(G3&gt;5%,1.5,3))</f>
        <v>1.5</v>
      </c>
    </row>
    <row r="4" spans="1:17">
      <c r="A4" s="1511" t="s">
        <v>1842</v>
      </c>
      <c r="B4" s="1511" t="s">
        <v>2498</v>
      </c>
      <c r="C4" s="1516">
        <v>596836.52</v>
      </c>
      <c r="D4" s="1516">
        <v>0</v>
      </c>
      <c r="E4" s="1516">
        <v>1568046</v>
      </c>
      <c r="F4" s="1516">
        <v>0</v>
      </c>
      <c r="G4" s="1091">
        <f t="shared" si="0"/>
        <v>0.38062436943814149</v>
      </c>
      <c r="H4" s="661">
        <f t="shared" si="1"/>
        <v>0</v>
      </c>
    </row>
    <row r="5" spans="1:17">
      <c r="A5" s="1511" t="s">
        <v>1842</v>
      </c>
      <c r="B5" s="1511" t="s">
        <v>2499</v>
      </c>
      <c r="C5" s="1516">
        <v>16655229.25</v>
      </c>
      <c r="D5" s="1516">
        <v>6941905</v>
      </c>
      <c r="E5" s="1516">
        <v>351605694</v>
      </c>
      <c r="F5" s="1516">
        <v>34462491</v>
      </c>
      <c r="G5" s="1091">
        <f t="shared" si="0"/>
        <v>6.1121675307174043E-2</v>
      </c>
      <c r="H5" s="661">
        <f t="shared" si="1"/>
        <v>1.5</v>
      </c>
    </row>
    <row r="6" spans="1:17">
      <c r="A6" s="1511" t="s">
        <v>1842</v>
      </c>
      <c r="B6" s="1511" t="s">
        <v>2500</v>
      </c>
      <c r="C6" s="1516">
        <v>7569724.5999999996</v>
      </c>
      <c r="D6" s="1516">
        <v>20000</v>
      </c>
      <c r="E6" s="1516">
        <v>6624435.7000000002</v>
      </c>
      <c r="F6" s="1516">
        <v>20000</v>
      </c>
      <c r="G6" s="1091">
        <f t="shared" si="0"/>
        <v>1.1422677474326375</v>
      </c>
      <c r="H6" s="661">
        <f t="shared" si="1"/>
        <v>0</v>
      </c>
    </row>
    <row r="7" spans="1:17" s="514" customFormat="1">
      <c r="A7" s="1511" t="s">
        <v>1842</v>
      </c>
      <c r="B7" s="1511" t="s">
        <v>2501</v>
      </c>
      <c r="C7" s="1516">
        <v>15726917.699999999</v>
      </c>
      <c r="D7" s="1516">
        <v>0</v>
      </c>
      <c r="E7" s="1516">
        <v>5959370</v>
      </c>
      <c r="F7" s="1516">
        <v>0</v>
      </c>
      <c r="G7" s="1091">
        <f t="shared" si="0"/>
        <v>2.639023537722947</v>
      </c>
      <c r="H7" s="661">
        <f t="shared" si="1"/>
        <v>0</v>
      </c>
    </row>
    <row r="8" spans="1:17">
      <c r="A8" s="1511" t="s">
        <v>1842</v>
      </c>
      <c r="B8" s="1511" t="s">
        <v>2502</v>
      </c>
      <c r="C8" s="1516">
        <v>1298423.3500000001</v>
      </c>
      <c r="D8" s="1516">
        <v>20000</v>
      </c>
      <c r="E8" s="1516">
        <v>11612475</v>
      </c>
      <c r="F8" s="1516">
        <v>70000</v>
      </c>
      <c r="G8" s="1091">
        <f t="shared" si="0"/>
        <v>0.11285479746372237</v>
      </c>
      <c r="H8" s="661">
        <f t="shared" si="1"/>
        <v>0</v>
      </c>
    </row>
    <row r="9" spans="1:17">
      <c r="A9" s="1511" t="s">
        <v>1842</v>
      </c>
      <c r="B9" s="1511" t="s">
        <v>2503</v>
      </c>
      <c r="C9" s="1516">
        <v>13412594.08</v>
      </c>
      <c r="D9" s="1516">
        <v>3055182</v>
      </c>
      <c r="E9" s="1516">
        <v>131689344</v>
      </c>
      <c r="F9" s="1516">
        <v>10705809</v>
      </c>
      <c r="G9" s="1091">
        <f t="shared" si="0"/>
        <v>0.11564843137603145</v>
      </c>
      <c r="H9" s="661">
        <f t="shared" si="1"/>
        <v>0</v>
      </c>
    </row>
    <row r="10" spans="1:17">
      <c r="A10" s="1511" t="s">
        <v>1842</v>
      </c>
      <c r="B10" s="1511" t="s">
        <v>2504</v>
      </c>
      <c r="C10" s="1516">
        <v>2380478.3199999998</v>
      </c>
      <c r="D10" s="1516">
        <v>9370000</v>
      </c>
      <c r="E10" s="1516">
        <v>93538094</v>
      </c>
      <c r="F10" s="1516">
        <v>49499542</v>
      </c>
      <c r="G10" s="1091">
        <f t="shared" si="0"/>
        <v>8.2149556218896122E-2</v>
      </c>
      <c r="H10" s="661">
        <f t="shared" si="1"/>
        <v>1.5</v>
      </c>
      <c r="J10" s="660"/>
      <c r="K10" s="660"/>
      <c r="L10" s="660"/>
      <c r="M10" s="660"/>
      <c r="N10" s="660"/>
      <c r="O10" s="660"/>
    </row>
    <row r="11" spans="1:17">
      <c r="A11" s="1511" t="s">
        <v>1842</v>
      </c>
      <c r="B11" s="1511" t="s">
        <v>2505</v>
      </c>
      <c r="C11" s="1516">
        <v>535838.1</v>
      </c>
      <c r="D11" s="1516">
        <v>0</v>
      </c>
      <c r="E11" s="1516">
        <v>2166595</v>
      </c>
      <c r="F11" s="1516">
        <v>0</v>
      </c>
      <c r="G11" s="1091">
        <f t="shared" si="0"/>
        <v>0.24731807282856277</v>
      </c>
      <c r="H11" s="661">
        <f t="shared" si="1"/>
        <v>0</v>
      </c>
      <c r="J11" s="665"/>
      <c r="K11" s="665"/>
      <c r="L11" s="665"/>
      <c r="M11" s="668"/>
      <c r="N11" s="660"/>
      <c r="O11" s="660"/>
      <c r="Q11" s="622" t="s">
        <v>1969</v>
      </c>
    </row>
    <row r="12" spans="1:17">
      <c r="A12" s="1511" t="s">
        <v>1839</v>
      </c>
      <c r="B12" s="1511" t="s">
        <v>2496</v>
      </c>
      <c r="C12" s="1516">
        <v>16233.6</v>
      </c>
      <c r="D12" s="1516">
        <v>0</v>
      </c>
      <c r="E12" s="1516">
        <v>444227.34</v>
      </c>
      <c r="F12" s="1516">
        <v>87929</v>
      </c>
      <c r="G12" s="1091">
        <f t="shared" si="0"/>
        <v>3.0505321049073657E-2</v>
      </c>
      <c r="H12" s="661">
        <f t="shared" si="1"/>
        <v>3</v>
      </c>
      <c r="J12" s="665"/>
      <c r="K12" s="665"/>
      <c r="L12" s="665"/>
      <c r="M12" s="668"/>
      <c r="N12" s="660"/>
      <c r="O12" s="660"/>
      <c r="Q12" s="622" t="s">
        <v>1970</v>
      </c>
    </row>
    <row r="13" spans="1:17">
      <c r="A13" s="1511" t="s">
        <v>1839</v>
      </c>
      <c r="B13" s="1511" t="s">
        <v>2497</v>
      </c>
      <c r="C13" s="1516">
        <v>34400</v>
      </c>
      <c r="D13" s="1516">
        <v>3010</v>
      </c>
      <c r="E13" s="1516">
        <v>807499.14</v>
      </c>
      <c r="F13" s="1516">
        <v>289762</v>
      </c>
      <c r="G13" s="1091">
        <f t="shared" si="0"/>
        <v>3.4093980581504958E-2</v>
      </c>
      <c r="H13" s="661">
        <f t="shared" si="1"/>
        <v>3</v>
      </c>
      <c r="J13" s="665"/>
      <c r="K13" s="665"/>
      <c r="L13" s="665"/>
      <c r="M13" s="668"/>
      <c r="N13" s="660"/>
      <c r="O13" s="660"/>
      <c r="Q13" s="622" t="s">
        <v>1971</v>
      </c>
    </row>
    <row r="14" spans="1:17">
      <c r="A14" s="1511" t="s">
        <v>1839</v>
      </c>
      <c r="B14" s="1511" t="s">
        <v>2498</v>
      </c>
      <c r="C14" s="1516">
        <v>0</v>
      </c>
      <c r="D14" s="1516">
        <v>0</v>
      </c>
      <c r="E14" s="1516">
        <v>129774.86</v>
      </c>
      <c r="F14" s="1516">
        <v>47011</v>
      </c>
      <c r="G14" s="1091">
        <f t="shared" si="0"/>
        <v>0</v>
      </c>
      <c r="H14" s="661">
        <f t="shared" si="1"/>
        <v>3</v>
      </c>
      <c r="J14" s="665"/>
      <c r="K14" s="665"/>
      <c r="L14" s="665"/>
      <c r="M14" s="668"/>
      <c r="N14" s="660"/>
      <c r="O14" s="660"/>
    </row>
    <row r="15" spans="1:17">
      <c r="A15" s="1511" t="s">
        <v>1839</v>
      </c>
      <c r="B15" s="1511" t="s">
        <v>2499</v>
      </c>
      <c r="C15" s="1516">
        <v>42687.040000000001</v>
      </c>
      <c r="D15" s="1516">
        <v>14558</v>
      </c>
      <c r="E15" s="1516">
        <v>7721507.3099999996</v>
      </c>
      <c r="F15" s="1516">
        <v>373705</v>
      </c>
      <c r="G15" s="1091">
        <f t="shared" si="0"/>
        <v>7.0714686419385588E-3</v>
      </c>
      <c r="H15" s="661">
        <f t="shared" si="1"/>
        <v>3</v>
      </c>
      <c r="J15" s="665"/>
      <c r="K15" s="665"/>
      <c r="L15" s="1101"/>
      <c r="M15" s="1108" t="s">
        <v>1932</v>
      </c>
      <c r="N15" s="1101"/>
      <c r="O15" s="660"/>
    </row>
    <row r="16" spans="1:17">
      <c r="A16" s="1511" t="s">
        <v>1839</v>
      </c>
      <c r="B16" s="1511" t="s">
        <v>2500</v>
      </c>
      <c r="C16" s="1516">
        <v>48621.8</v>
      </c>
      <c r="D16" s="1516">
        <v>1463</v>
      </c>
      <c r="E16" s="1516">
        <v>6858874.4000000004</v>
      </c>
      <c r="F16" s="1516">
        <v>406798</v>
      </c>
      <c r="G16" s="1091">
        <f t="shared" si="0"/>
        <v>6.8933468566515603E-3</v>
      </c>
      <c r="H16" s="661">
        <f t="shared" si="1"/>
        <v>3</v>
      </c>
      <c r="J16" s="665"/>
      <c r="K16" s="665"/>
      <c r="L16" s="1108" t="s">
        <v>1930</v>
      </c>
      <c r="M16" s="1101" t="s">
        <v>2037</v>
      </c>
      <c r="N16" s="1101" t="s">
        <v>2038</v>
      </c>
      <c r="O16" s="660"/>
    </row>
    <row r="17" spans="1:15">
      <c r="A17" s="1511" t="s">
        <v>1839</v>
      </c>
      <c r="B17" s="1511" t="s">
        <v>2501</v>
      </c>
      <c r="C17" s="1516">
        <v>691029.9</v>
      </c>
      <c r="D17" s="1516">
        <v>27589</v>
      </c>
      <c r="E17" s="1516">
        <v>12233092.300000001</v>
      </c>
      <c r="F17" s="1516">
        <v>602991</v>
      </c>
      <c r="G17" s="1091">
        <f t="shared" si="0"/>
        <v>5.5984281435755408E-2</v>
      </c>
      <c r="H17" s="661">
        <f t="shared" si="1"/>
        <v>1.5</v>
      </c>
      <c r="J17" s="665"/>
      <c r="K17" s="665"/>
      <c r="L17" s="1093" t="s">
        <v>1843</v>
      </c>
      <c r="M17" s="1091">
        <v>5.6409395014569125E-2</v>
      </c>
      <c r="N17" s="1090">
        <v>2.3333333333333335</v>
      </c>
      <c r="O17" s="660"/>
    </row>
    <row r="18" spans="1:15">
      <c r="A18" s="1511" t="s">
        <v>1839</v>
      </c>
      <c r="B18" s="1511" t="s">
        <v>2502</v>
      </c>
      <c r="C18" s="1516">
        <v>0</v>
      </c>
      <c r="D18" s="1516">
        <v>0</v>
      </c>
      <c r="E18" s="1516">
        <v>963362.05</v>
      </c>
      <c r="F18" s="1516">
        <v>84972</v>
      </c>
      <c r="G18" s="1091">
        <f t="shared" si="0"/>
        <v>0</v>
      </c>
      <c r="H18" s="661">
        <f t="shared" si="1"/>
        <v>3</v>
      </c>
      <c r="J18" s="665"/>
      <c r="K18" s="665"/>
      <c r="L18" s="1093" t="s">
        <v>1840</v>
      </c>
      <c r="M18" s="1091">
        <v>3.1681142312460719E-2</v>
      </c>
      <c r="N18" s="1090">
        <v>2.85</v>
      </c>
      <c r="O18" s="660"/>
    </row>
    <row r="19" spans="1:15">
      <c r="A19" s="1511" t="s">
        <v>1839</v>
      </c>
      <c r="B19" s="1511" t="s">
        <v>2503</v>
      </c>
      <c r="C19" s="1516">
        <v>319.52</v>
      </c>
      <c r="D19" s="1516">
        <v>0</v>
      </c>
      <c r="E19" s="1516">
        <v>2367867.2000000002</v>
      </c>
      <c r="F19" s="1516">
        <v>285724</v>
      </c>
      <c r="G19" s="1091">
        <f t="shared" si="0"/>
        <v>1.2041040835528847E-4</v>
      </c>
      <c r="H19" s="661">
        <f t="shared" si="1"/>
        <v>3</v>
      </c>
      <c r="J19" s="665"/>
      <c r="K19" s="665"/>
      <c r="L19" s="1093" t="s">
        <v>1841</v>
      </c>
      <c r="M19" s="1091">
        <v>7.9831486548548824E-4</v>
      </c>
      <c r="N19" s="1090">
        <v>3</v>
      </c>
      <c r="O19" s="660"/>
    </row>
    <row r="20" spans="1:15">
      <c r="A20" s="1511" t="s">
        <v>1839</v>
      </c>
      <c r="B20" s="1511" t="s">
        <v>2504</v>
      </c>
      <c r="C20" s="1516">
        <v>0</v>
      </c>
      <c r="D20" s="1516">
        <v>0</v>
      </c>
      <c r="E20" s="1516">
        <v>203594.76</v>
      </c>
      <c r="F20" s="1516">
        <v>53854</v>
      </c>
      <c r="G20" s="1091">
        <f t="shared" si="0"/>
        <v>0</v>
      </c>
      <c r="H20" s="661">
        <f t="shared" si="1"/>
        <v>3</v>
      </c>
      <c r="J20" s="665"/>
      <c r="K20" s="665"/>
      <c r="L20" s="1093" t="s">
        <v>1839</v>
      </c>
      <c r="M20" s="1091">
        <v>1.3466880897327943E-2</v>
      </c>
      <c r="N20" s="1090">
        <v>2.85</v>
      </c>
      <c r="O20" s="660"/>
    </row>
    <row r="21" spans="1:15">
      <c r="A21" s="1511" t="s">
        <v>1839</v>
      </c>
      <c r="B21" s="1511" t="s">
        <v>2505</v>
      </c>
      <c r="C21" s="1516">
        <v>0</v>
      </c>
      <c r="D21" s="1516">
        <v>0</v>
      </c>
      <c r="E21" s="1516">
        <v>1780961.85</v>
      </c>
      <c r="F21" s="1516">
        <v>358574</v>
      </c>
      <c r="G21" s="1091">
        <f t="shared" si="0"/>
        <v>0</v>
      </c>
      <c r="H21" s="661">
        <f t="shared" si="1"/>
        <v>3</v>
      </c>
      <c r="J21" s="665"/>
      <c r="K21" s="665"/>
      <c r="L21" s="1093" t="s">
        <v>1842</v>
      </c>
      <c r="M21" s="1091">
        <v>0.51163819084103834</v>
      </c>
      <c r="N21" s="1090">
        <v>0.45</v>
      </c>
      <c r="O21" s="660"/>
    </row>
    <row r="22" spans="1:15">
      <c r="A22" s="1511" t="s">
        <v>1841</v>
      </c>
      <c r="B22" s="1511" t="s">
        <v>2496</v>
      </c>
      <c r="C22" s="1516">
        <v>0</v>
      </c>
      <c r="D22" s="1516">
        <v>0</v>
      </c>
      <c r="E22" s="1516">
        <v>13607239.18</v>
      </c>
      <c r="F22" s="1516">
        <v>0</v>
      </c>
      <c r="G22" s="1091">
        <f t="shared" si="0"/>
        <v>0</v>
      </c>
      <c r="H22" s="661">
        <f t="shared" si="1"/>
        <v>3</v>
      </c>
      <c r="J22" s="665"/>
      <c r="K22" s="665"/>
      <c r="L22" s="665"/>
      <c r="M22" s="668"/>
      <c r="N22" s="665"/>
      <c r="O22" s="660"/>
    </row>
    <row r="23" spans="1:15">
      <c r="A23" s="1511" t="s">
        <v>1841</v>
      </c>
      <c r="B23" s="1511" t="s">
        <v>2497</v>
      </c>
      <c r="C23" s="1516">
        <v>0</v>
      </c>
      <c r="D23" s="1516">
        <v>532350</v>
      </c>
      <c r="E23" s="1516">
        <v>65907537.840000004</v>
      </c>
      <c r="F23" s="1516">
        <v>776677</v>
      </c>
      <c r="G23" s="1091">
        <f t="shared" si="0"/>
        <v>7.9831486548548828E-3</v>
      </c>
      <c r="H23" s="661">
        <f t="shared" si="1"/>
        <v>3</v>
      </c>
      <c r="J23" s="665"/>
      <c r="K23" s="665"/>
      <c r="L23" s="665"/>
      <c r="M23" s="668"/>
      <c r="N23" s="665"/>
      <c r="O23" s="660"/>
    </row>
    <row r="24" spans="1:15">
      <c r="A24" s="1511" t="s">
        <v>1841</v>
      </c>
      <c r="B24" s="1511" t="s">
        <v>2498</v>
      </c>
      <c r="C24" s="1516">
        <v>0</v>
      </c>
      <c r="D24" s="1516">
        <v>0</v>
      </c>
      <c r="E24" s="1516">
        <v>1211779.5</v>
      </c>
      <c r="F24" s="1516">
        <v>0</v>
      </c>
      <c r="G24" s="1091">
        <f t="shared" si="0"/>
        <v>0</v>
      </c>
      <c r="H24" s="661">
        <f t="shared" si="1"/>
        <v>3</v>
      </c>
      <c r="J24" s="665"/>
      <c r="K24" s="665"/>
      <c r="L24" s="665"/>
      <c r="M24" s="668"/>
      <c r="N24" s="665"/>
      <c r="O24" s="660"/>
    </row>
    <row r="25" spans="1:15">
      <c r="A25" s="1511" t="s">
        <v>1841</v>
      </c>
      <c r="B25" s="1511" t="s">
        <v>2499</v>
      </c>
      <c r="C25" s="1516">
        <v>0</v>
      </c>
      <c r="D25" s="1516">
        <v>0</v>
      </c>
      <c r="E25" s="1516">
        <v>6781875.4299999997</v>
      </c>
      <c r="F25" s="1516">
        <v>34725</v>
      </c>
      <c r="G25" s="1091">
        <f t="shared" si="0"/>
        <v>0</v>
      </c>
      <c r="H25" s="661">
        <f t="shared" si="1"/>
        <v>3</v>
      </c>
      <c r="J25" s="665"/>
      <c r="K25" s="665"/>
      <c r="L25" s="665"/>
      <c r="M25" s="668"/>
      <c r="N25" s="665"/>
      <c r="O25" s="660"/>
    </row>
    <row r="26" spans="1:15">
      <c r="A26" s="1511" t="s">
        <v>1841</v>
      </c>
      <c r="B26" s="1511" t="s">
        <v>2500</v>
      </c>
      <c r="C26" s="1516">
        <v>0</v>
      </c>
      <c r="D26" s="1516">
        <v>0</v>
      </c>
      <c r="E26" s="1516">
        <v>24723569.600000001</v>
      </c>
      <c r="F26" s="1516">
        <v>46757</v>
      </c>
      <c r="G26" s="1091">
        <f t="shared" si="0"/>
        <v>0</v>
      </c>
      <c r="H26" s="661">
        <f t="shared" si="1"/>
        <v>3</v>
      </c>
      <c r="J26" s="665"/>
      <c r="K26" s="665"/>
      <c r="L26" s="665"/>
      <c r="M26" s="668"/>
      <c r="N26" s="665"/>
      <c r="O26" s="660"/>
    </row>
    <row r="27" spans="1:15">
      <c r="A27" s="1511" t="s">
        <v>2508</v>
      </c>
      <c r="B27" s="1511" t="s">
        <v>2501</v>
      </c>
      <c r="C27" s="1516">
        <v>0</v>
      </c>
      <c r="D27" s="1516">
        <v>0</v>
      </c>
      <c r="E27" s="1516">
        <v>2898279.9</v>
      </c>
      <c r="F27" s="1516">
        <v>0</v>
      </c>
      <c r="G27" s="1091">
        <f t="shared" si="0"/>
        <v>0</v>
      </c>
      <c r="H27" s="661">
        <f t="shared" si="1"/>
        <v>3</v>
      </c>
      <c r="J27" s="665"/>
      <c r="K27" s="665"/>
      <c r="L27" s="665"/>
      <c r="M27" s="668"/>
      <c r="N27" s="665"/>
      <c r="O27" s="660"/>
    </row>
    <row r="28" spans="1:15">
      <c r="A28" s="1511" t="s">
        <v>1841</v>
      </c>
      <c r="B28" s="1511" t="s">
        <v>2502</v>
      </c>
      <c r="C28" s="1516">
        <v>0</v>
      </c>
      <c r="D28" s="1516">
        <v>0</v>
      </c>
      <c r="E28" s="1516">
        <v>5384278.6200000001</v>
      </c>
      <c r="F28" s="1516">
        <v>2929</v>
      </c>
      <c r="G28" s="1091">
        <f t="shared" si="0"/>
        <v>0</v>
      </c>
      <c r="H28" s="661">
        <f t="shared" si="1"/>
        <v>3</v>
      </c>
      <c r="J28" s="665"/>
      <c r="K28" s="665"/>
      <c r="L28" s="665"/>
      <c r="M28" s="668"/>
      <c r="N28" s="665"/>
      <c r="O28" s="660"/>
    </row>
    <row r="29" spans="1:15">
      <c r="A29" s="1511" t="s">
        <v>1841</v>
      </c>
      <c r="B29" s="1511" t="s">
        <v>2503</v>
      </c>
      <c r="C29" s="1516">
        <v>0</v>
      </c>
      <c r="D29" s="1516">
        <v>0</v>
      </c>
      <c r="E29" s="1516">
        <v>4435603.04</v>
      </c>
      <c r="F29" s="1516">
        <v>0</v>
      </c>
      <c r="G29" s="1091">
        <f t="shared" si="0"/>
        <v>0</v>
      </c>
      <c r="H29" s="661">
        <f t="shared" si="1"/>
        <v>3</v>
      </c>
      <c r="J29" s="665"/>
      <c r="K29" s="665"/>
      <c r="L29" s="665"/>
      <c r="M29" s="668"/>
      <c r="N29" s="665"/>
      <c r="O29" s="660"/>
    </row>
    <row r="30" spans="1:15">
      <c r="A30" s="1511" t="s">
        <v>1841</v>
      </c>
      <c r="B30" s="1511" t="s">
        <v>2504</v>
      </c>
      <c r="C30" s="1516">
        <v>0</v>
      </c>
      <c r="D30" s="1516">
        <v>0</v>
      </c>
      <c r="E30" s="1516">
        <v>26806.9</v>
      </c>
      <c r="F30" s="1516">
        <v>0</v>
      </c>
      <c r="G30" s="1091">
        <f t="shared" si="0"/>
        <v>0</v>
      </c>
      <c r="H30" s="661">
        <f t="shared" si="1"/>
        <v>3</v>
      </c>
      <c r="J30" s="665"/>
      <c r="K30" s="665"/>
      <c r="L30" s="665"/>
      <c r="M30" s="668"/>
      <c r="N30" s="665"/>
      <c r="O30" s="660"/>
    </row>
    <row r="31" spans="1:15">
      <c r="A31" s="1511" t="s">
        <v>1841</v>
      </c>
      <c r="B31" s="1511" t="s">
        <v>2505</v>
      </c>
      <c r="C31" s="1516">
        <v>0</v>
      </c>
      <c r="D31" s="1516">
        <v>0</v>
      </c>
      <c r="E31" s="1516">
        <v>402847.2</v>
      </c>
      <c r="F31" s="1516">
        <v>17819</v>
      </c>
      <c r="G31" s="1091">
        <f t="shared" si="0"/>
        <v>0</v>
      </c>
      <c r="H31" s="661">
        <f t="shared" si="1"/>
        <v>3</v>
      </c>
      <c r="J31" s="665"/>
      <c r="K31" s="665"/>
      <c r="L31" s="665"/>
      <c r="M31" s="668"/>
      <c r="N31" s="665"/>
      <c r="O31" s="660"/>
    </row>
    <row r="32" spans="1:15">
      <c r="A32" s="1511" t="s">
        <v>1840</v>
      </c>
      <c r="B32" s="1511" t="s">
        <v>2496</v>
      </c>
      <c r="C32" s="1516">
        <v>657582.19999999995</v>
      </c>
      <c r="D32" s="1516">
        <v>74403</v>
      </c>
      <c r="E32" s="1516">
        <v>30044861.379999999</v>
      </c>
      <c r="F32" s="1516">
        <v>6531590</v>
      </c>
      <c r="G32" s="1091">
        <f t="shared" si="0"/>
        <v>2.0012471751161991E-2</v>
      </c>
      <c r="H32" s="661">
        <f t="shared" si="1"/>
        <v>3</v>
      </c>
      <c r="J32" s="665"/>
      <c r="K32" s="665"/>
      <c r="L32" s="665"/>
      <c r="M32" s="668"/>
      <c r="N32" s="665"/>
      <c r="O32" s="660"/>
    </row>
    <row r="33" spans="1:15">
      <c r="A33" s="1511" t="s">
        <v>1840</v>
      </c>
      <c r="B33" s="1511" t="s">
        <v>2497</v>
      </c>
      <c r="C33" s="1516">
        <v>3688923.18</v>
      </c>
      <c r="D33" s="1516">
        <v>1614345</v>
      </c>
      <c r="E33" s="1516">
        <v>109730065.08</v>
      </c>
      <c r="F33" s="1516">
        <v>26091271</v>
      </c>
      <c r="G33" s="1091">
        <f t="shared" si="0"/>
        <v>3.9045913794253408E-2</v>
      </c>
      <c r="H33" s="661">
        <f t="shared" si="1"/>
        <v>3</v>
      </c>
      <c r="J33" s="665"/>
      <c r="K33" s="665"/>
      <c r="L33" s="665"/>
      <c r="M33" s="668"/>
      <c r="N33" s="665"/>
      <c r="O33" s="660"/>
    </row>
    <row r="34" spans="1:15">
      <c r="A34" s="1511" t="s">
        <v>1840</v>
      </c>
      <c r="B34" s="1511" t="s">
        <v>2498</v>
      </c>
      <c r="C34" s="1516">
        <v>679701.66</v>
      </c>
      <c r="D34" s="1516">
        <v>172681</v>
      </c>
      <c r="E34" s="1516">
        <v>23660330.16</v>
      </c>
      <c r="F34" s="1516">
        <v>5711921</v>
      </c>
      <c r="G34" s="1091">
        <f t="shared" si="0"/>
        <v>2.9019997662310608E-2</v>
      </c>
      <c r="H34" s="661">
        <f t="shared" si="1"/>
        <v>3</v>
      </c>
      <c r="J34" s="665"/>
      <c r="K34" s="665"/>
      <c r="L34" s="665"/>
      <c r="M34" s="668"/>
      <c r="N34" s="665"/>
      <c r="O34" s="660"/>
    </row>
    <row r="35" spans="1:15">
      <c r="A35" s="1511" t="s">
        <v>1840</v>
      </c>
      <c r="B35" s="1511" t="s">
        <v>2499</v>
      </c>
      <c r="C35" s="1516">
        <v>12493627.08</v>
      </c>
      <c r="D35" s="1516">
        <v>660054</v>
      </c>
      <c r="E35" s="1516">
        <v>562962413.09000003</v>
      </c>
      <c r="F35" s="1516">
        <v>17560941</v>
      </c>
      <c r="G35" s="1091">
        <f t="shared" si="0"/>
        <v>2.2658315100206546E-2</v>
      </c>
      <c r="H35" s="661">
        <f t="shared" si="1"/>
        <v>3</v>
      </c>
      <c r="J35" s="665"/>
      <c r="K35" s="665"/>
      <c r="L35" s="665"/>
      <c r="M35" s="668"/>
      <c r="N35" s="665"/>
      <c r="O35" s="660"/>
    </row>
    <row r="36" spans="1:15">
      <c r="A36" s="1511" t="s">
        <v>1840</v>
      </c>
      <c r="B36" s="1511" t="s">
        <v>2500</v>
      </c>
      <c r="C36" s="1516">
        <v>13821476.199999999</v>
      </c>
      <c r="D36" s="1516">
        <v>753148</v>
      </c>
      <c r="E36" s="1516">
        <v>727331320.60000002</v>
      </c>
      <c r="F36" s="1516">
        <v>42976913</v>
      </c>
      <c r="G36" s="1091">
        <f t="shared" si="0"/>
        <v>1.8920509432809988E-2</v>
      </c>
      <c r="H36" s="661">
        <f t="shared" si="1"/>
        <v>3</v>
      </c>
      <c r="J36" s="665"/>
      <c r="K36" s="665"/>
      <c r="L36" s="665"/>
      <c r="M36" s="668"/>
      <c r="N36" s="665"/>
      <c r="O36" s="660"/>
    </row>
    <row r="37" spans="1:15">
      <c r="A37" s="1511" t="s">
        <v>1840</v>
      </c>
      <c r="B37" s="1511" t="s">
        <v>2501</v>
      </c>
      <c r="C37" s="1516">
        <v>19986818.399999999</v>
      </c>
      <c r="D37" s="1516">
        <v>2020938</v>
      </c>
      <c r="E37" s="1516">
        <v>683446803.20000005</v>
      </c>
      <c r="F37" s="1516">
        <v>36872136</v>
      </c>
      <c r="G37" s="1091">
        <f t="shared" si="0"/>
        <v>3.0552794328082271E-2</v>
      </c>
      <c r="H37" s="661">
        <f t="shared" si="1"/>
        <v>3</v>
      </c>
      <c r="J37" s="665"/>
      <c r="K37" s="665"/>
      <c r="L37" s="665"/>
      <c r="M37" s="668"/>
      <c r="N37" s="665"/>
      <c r="O37" s="660"/>
    </row>
    <row r="38" spans="1:15">
      <c r="A38" s="1511" t="s">
        <v>1840</v>
      </c>
      <c r="B38" s="1511" t="s">
        <v>2502</v>
      </c>
      <c r="C38" s="1516">
        <v>4941411.4400000004</v>
      </c>
      <c r="D38" s="1516">
        <v>438827</v>
      </c>
      <c r="E38" s="1516">
        <v>105565746.72</v>
      </c>
      <c r="F38" s="1516">
        <v>8922701</v>
      </c>
      <c r="G38" s="1091">
        <f t="shared" si="0"/>
        <v>4.6993723359392933E-2</v>
      </c>
      <c r="H38" s="661">
        <f t="shared" si="1"/>
        <v>3</v>
      </c>
      <c r="J38" s="665"/>
      <c r="K38" s="665"/>
      <c r="L38" s="665"/>
      <c r="M38" s="668"/>
      <c r="N38" s="665"/>
      <c r="O38" s="660"/>
    </row>
    <row r="39" spans="1:15">
      <c r="A39" s="1511" t="s">
        <v>1840</v>
      </c>
      <c r="B39" s="1511" t="s">
        <v>2503</v>
      </c>
      <c r="C39" s="1516">
        <v>7175977.6799999997</v>
      </c>
      <c r="D39" s="1516">
        <v>1435864</v>
      </c>
      <c r="E39" s="1516">
        <v>323807753.04000002</v>
      </c>
      <c r="F39" s="1516">
        <v>20937353</v>
      </c>
      <c r="G39" s="1091">
        <f t="shared" si="0"/>
        <v>2.4980315975829361E-2</v>
      </c>
      <c r="H39" s="661">
        <f t="shared" si="1"/>
        <v>3</v>
      </c>
      <c r="J39" s="665"/>
      <c r="K39" s="665"/>
      <c r="L39" s="665"/>
      <c r="M39" s="668"/>
      <c r="N39" s="665"/>
      <c r="O39" s="660"/>
    </row>
    <row r="40" spans="1:15">
      <c r="A40" s="1511" t="s">
        <v>1840</v>
      </c>
      <c r="B40" s="1511" t="s">
        <v>2504</v>
      </c>
      <c r="C40" s="1516">
        <v>1241975.3799999999</v>
      </c>
      <c r="D40" s="1516">
        <v>589312</v>
      </c>
      <c r="E40" s="1516">
        <v>23588971.52</v>
      </c>
      <c r="F40" s="1516">
        <v>5394013</v>
      </c>
      <c r="G40" s="1091">
        <f t="shared" si="0"/>
        <v>6.318491384958308E-2</v>
      </c>
      <c r="H40" s="661">
        <f t="shared" si="1"/>
        <v>1.5</v>
      </c>
      <c r="J40" s="665"/>
      <c r="K40" s="665"/>
      <c r="L40" s="665"/>
      <c r="M40" s="668"/>
      <c r="N40" s="665"/>
      <c r="O40" s="669"/>
    </row>
    <row r="41" spans="1:15">
      <c r="A41" s="1511" t="s">
        <v>1840</v>
      </c>
      <c r="B41" s="1511" t="s">
        <v>2505</v>
      </c>
      <c r="C41" s="1516">
        <v>1618822.9</v>
      </c>
      <c r="D41" s="1516">
        <v>156038</v>
      </c>
      <c r="E41" s="1516">
        <v>73552705.549999997</v>
      </c>
      <c r="F41" s="1516">
        <v>9220458</v>
      </c>
      <c r="G41" s="1091">
        <f t="shared" si="0"/>
        <v>2.1442467870977006E-2</v>
      </c>
      <c r="H41" s="661">
        <f t="shared" si="1"/>
        <v>3</v>
      </c>
      <c r="J41" s="665"/>
      <c r="K41" s="665"/>
      <c r="L41" s="665"/>
      <c r="M41" s="668"/>
      <c r="N41" s="665"/>
      <c r="O41" s="669"/>
    </row>
    <row r="42" spans="1:15">
      <c r="A42" s="1511" t="s">
        <v>1843</v>
      </c>
      <c r="B42" s="1511" t="s">
        <v>2496</v>
      </c>
      <c r="C42" s="1516">
        <v>702509.32</v>
      </c>
      <c r="D42" s="1516">
        <v>199734</v>
      </c>
      <c r="E42" s="1516">
        <v>13890478.199999999</v>
      </c>
      <c r="F42" s="1516">
        <v>3484071</v>
      </c>
      <c r="G42" s="1091">
        <f t="shared" si="0"/>
        <v>5.1929020408771238E-2</v>
      </c>
      <c r="H42" s="661">
        <f t="shared" si="1"/>
        <v>1.5</v>
      </c>
      <c r="J42" s="665"/>
      <c r="K42" s="665"/>
      <c r="L42" s="665"/>
      <c r="M42" s="668"/>
      <c r="N42" s="665"/>
      <c r="O42" s="669"/>
    </row>
    <row r="43" spans="1:15">
      <c r="A43" s="1511" t="s">
        <v>1843</v>
      </c>
      <c r="B43" s="1511" t="s">
        <v>2497</v>
      </c>
      <c r="C43" s="1516">
        <v>381074.54</v>
      </c>
      <c r="D43" s="1516">
        <v>0</v>
      </c>
      <c r="E43" s="1516">
        <v>1523646.58</v>
      </c>
      <c r="F43" s="1516">
        <v>0</v>
      </c>
      <c r="G43" s="1091">
        <f t="shared" si="0"/>
        <v>0.25010691127597318</v>
      </c>
      <c r="H43" s="661">
        <f t="shared" si="1"/>
        <v>0</v>
      </c>
      <c r="J43" s="665"/>
      <c r="K43" s="665"/>
      <c r="L43" s="665"/>
      <c r="M43" s="668"/>
      <c r="N43" s="665"/>
      <c r="O43" s="669"/>
    </row>
    <row r="44" spans="1:15">
      <c r="A44" s="1511" t="s">
        <v>1843</v>
      </c>
      <c r="B44" s="1511" t="s">
        <v>2498</v>
      </c>
      <c r="C44" s="1516">
        <v>0</v>
      </c>
      <c r="D44" s="1516">
        <v>20964</v>
      </c>
      <c r="E44" s="1516">
        <v>447908</v>
      </c>
      <c r="F44" s="1516">
        <v>403068</v>
      </c>
      <c r="G44" s="1091">
        <f t="shared" si="0"/>
        <v>2.4635242357011245E-2</v>
      </c>
      <c r="H44" s="661">
        <f t="shared" si="1"/>
        <v>3</v>
      </c>
      <c r="J44" s="665"/>
      <c r="K44" s="665"/>
      <c r="L44" s="665"/>
      <c r="M44" s="668"/>
      <c r="N44" s="665"/>
      <c r="O44" s="669"/>
    </row>
    <row r="45" spans="1:15">
      <c r="A45" s="1511" t="s">
        <v>1843</v>
      </c>
      <c r="B45" s="1511" t="s">
        <v>2499</v>
      </c>
      <c r="C45" s="1516">
        <v>1533280.98</v>
      </c>
      <c r="D45" s="1516">
        <v>258808</v>
      </c>
      <c r="E45" s="1516">
        <v>142320091.43000001</v>
      </c>
      <c r="F45" s="1516">
        <v>6209038</v>
      </c>
      <c r="G45" s="1091">
        <f t="shared" si="0"/>
        <v>1.2065572503369381E-2</v>
      </c>
      <c r="H45" s="661">
        <f t="shared" si="1"/>
        <v>3</v>
      </c>
      <c r="J45" s="665"/>
      <c r="K45" s="665"/>
      <c r="L45" s="665"/>
      <c r="M45" s="668"/>
      <c r="N45" s="665"/>
      <c r="O45" s="669"/>
    </row>
    <row r="46" spans="1:15">
      <c r="A46" s="1511" t="s">
        <v>1843</v>
      </c>
      <c r="B46" s="1511" t="s">
        <v>2500</v>
      </c>
      <c r="C46" s="1516">
        <v>1752831.8</v>
      </c>
      <c r="D46" s="1516">
        <v>252417</v>
      </c>
      <c r="E46" s="1516">
        <v>122294902.40000001</v>
      </c>
      <c r="F46" s="1516">
        <v>6067288</v>
      </c>
      <c r="G46" s="1091">
        <f t="shared" si="0"/>
        <v>1.5621802602084608E-2</v>
      </c>
      <c r="H46" s="661">
        <f t="shared" si="1"/>
        <v>3</v>
      </c>
      <c r="J46" s="665"/>
      <c r="K46" s="665"/>
      <c r="L46" s="665"/>
      <c r="M46" s="668"/>
      <c r="N46" s="665"/>
      <c r="O46" s="669"/>
    </row>
    <row r="47" spans="1:15">
      <c r="A47" s="1511" t="s">
        <v>1843</v>
      </c>
      <c r="B47" s="1511" t="s">
        <v>2501</v>
      </c>
      <c r="C47" s="1516">
        <v>14518583.199999999</v>
      </c>
      <c r="D47" s="1516">
        <v>266967</v>
      </c>
      <c r="E47" s="1516">
        <v>214798893.90000001</v>
      </c>
      <c r="F47" s="1516">
        <v>3978739</v>
      </c>
      <c r="G47" s="1091">
        <f t="shared" si="0"/>
        <v>6.7582549477341922E-2</v>
      </c>
      <c r="H47" s="661">
        <f t="shared" si="1"/>
        <v>1.5</v>
      </c>
      <c r="J47" s="665"/>
      <c r="K47" s="665"/>
      <c r="L47" s="665"/>
      <c r="M47" s="668"/>
      <c r="N47" s="665"/>
      <c r="O47" s="669"/>
    </row>
    <row r="48" spans="1:15">
      <c r="A48" s="1511" t="s">
        <v>1843</v>
      </c>
      <c r="B48" s="1511" t="s">
        <v>2502</v>
      </c>
      <c r="C48" s="1516">
        <v>691792.01</v>
      </c>
      <c r="D48" s="1516">
        <v>339048</v>
      </c>
      <c r="E48" s="1516">
        <v>33614065.729999997</v>
      </c>
      <c r="F48" s="1516">
        <v>4195447</v>
      </c>
      <c r="G48" s="1091">
        <f t="shared" si="0"/>
        <v>2.7264038480508609E-2</v>
      </c>
      <c r="H48" s="661">
        <f t="shared" si="1"/>
        <v>3</v>
      </c>
      <c r="J48" s="665"/>
      <c r="K48" s="665"/>
      <c r="L48" s="665"/>
      <c r="M48" s="668"/>
      <c r="N48" s="665"/>
      <c r="O48" s="669"/>
    </row>
    <row r="49" spans="1:15">
      <c r="A49" s="1511" t="s">
        <v>1843</v>
      </c>
      <c r="B49" s="1511" t="s">
        <v>2503</v>
      </c>
      <c r="C49" s="1516">
        <v>638724.24</v>
      </c>
      <c r="D49" s="1516">
        <v>148749</v>
      </c>
      <c r="E49" s="1516">
        <v>52090446.799999997</v>
      </c>
      <c r="F49" s="1516">
        <v>1081576</v>
      </c>
      <c r="G49" s="1091">
        <f t="shared" si="0"/>
        <v>1.4809916917435762E-2</v>
      </c>
      <c r="H49" s="661">
        <f t="shared" si="1"/>
        <v>3</v>
      </c>
      <c r="J49" s="665"/>
      <c r="K49" s="665"/>
      <c r="L49" s="665"/>
      <c r="M49" s="668"/>
      <c r="N49" s="665"/>
      <c r="O49" s="660"/>
    </row>
    <row r="50" spans="1:15">
      <c r="A50" s="1511" t="s">
        <v>1843</v>
      </c>
      <c r="B50" s="1511" t="s">
        <v>2505</v>
      </c>
      <c r="C50" s="1516">
        <v>544723.35</v>
      </c>
      <c r="D50" s="1516">
        <v>151788</v>
      </c>
      <c r="E50" s="1516">
        <v>13642113.300000001</v>
      </c>
      <c r="F50" s="1516">
        <v>2307493</v>
      </c>
      <c r="G50" s="1091">
        <f t="shared" si="0"/>
        <v>4.3669501108626108E-2</v>
      </c>
      <c r="H50" s="661">
        <f t="shared" si="1"/>
        <v>3</v>
      </c>
      <c r="J50" s="665"/>
      <c r="K50" s="665"/>
      <c r="L50" s="665"/>
      <c r="M50" s="668"/>
      <c r="N50" s="665"/>
      <c r="O50" s="660"/>
    </row>
    <row r="51" spans="1:15">
      <c r="J51" s="665"/>
      <c r="K51" s="665"/>
      <c r="L51" s="665"/>
      <c r="M51" s="665"/>
      <c r="N51" s="665"/>
      <c r="O51" s="660"/>
    </row>
    <row r="52" spans="1:15">
      <c r="J52" s="665"/>
      <c r="K52" s="665"/>
      <c r="L52" s="665"/>
      <c r="M52" s="665"/>
      <c r="N52" s="665"/>
      <c r="O52" s="665"/>
    </row>
    <row r="53" spans="1:15">
      <c r="J53" s="665"/>
      <c r="K53" s="665"/>
      <c r="L53" s="665"/>
      <c r="M53" s="665"/>
      <c r="N53" s="665"/>
      <c r="O53" s="665"/>
    </row>
    <row r="54" spans="1:15">
      <c r="J54" s="665"/>
      <c r="K54" s="665"/>
      <c r="L54" s="665"/>
      <c r="M54" s="665"/>
      <c r="N54" s="665"/>
      <c r="O54" s="665"/>
    </row>
    <row r="55" spans="1:15">
      <c r="J55" s="665"/>
      <c r="K55" s="665"/>
      <c r="L55" s="665"/>
      <c r="M55" s="665"/>
      <c r="N55" s="665"/>
      <c r="O55" s="665"/>
    </row>
    <row r="56" spans="1:15">
      <c r="J56" s="665"/>
      <c r="K56" s="665"/>
      <c r="L56" s="665"/>
      <c r="M56" s="665"/>
      <c r="N56" s="665"/>
      <c r="O56" s="665"/>
    </row>
    <row r="57" spans="1:15">
      <c r="J57" s="665"/>
      <c r="K57" s="665"/>
      <c r="L57" s="665"/>
      <c r="M57" s="665"/>
      <c r="N57" s="665"/>
      <c r="O57" s="665"/>
    </row>
    <row r="58" spans="1:15">
      <c r="J58" s="665"/>
      <c r="K58" s="665"/>
      <c r="L58" s="665"/>
      <c r="M58" s="665"/>
      <c r="N58" s="665"/>
      <c r="O58" s="665"/>
    </row>
    <row r="59" spans="1:15">
      <c r="J59" s="665"/>
      <c r="K59" s="665"/>
      <c r="L59" s="665"/>
      <c r="M59" s="665"/>
      <c r="N59" s="665"/>
      <c r="O59" s="665"/>
    </row>
    <row r="60" spans="1:15">
      <c r="J60" s="665"/>
      <c r="K60" s="665"/>
      <c r="L60" s="665"/>
      <c r="M60" s="665"/>
      <c r="N60" s="665"/>
      <c r="O60" s="665"/>
    </row>
    <row r="61" spans="1:15">
      <c r="J61" s="665"/>
      <c r="K61" s="665"/>
      <c r="L61" s="665"/>
      <c r="M61" s="665"/>
      <c r="N61" s="665"/>
      <c r="O61" s="665"/>
    </row>
    <row r="62" spans="1:15">
      <c r="J62" s="665"/>
      <c r="K62" s="665"/>
      <c r="L62" s="665"/>
      <c r="M62" s="665"/>
      <c r="N62" s="665"/>
      <c r="O62" s="665"/>
    </row>
    <row r="63" spans="1:15">
      <c r="J63" s="665"/>
      <c r="K63" s="665"/>
      <c r="L63" s="665"/>
      <c r="M63" s="665"/>
      <c r="N63" s="665"/>
      <c r="O63" s="665"/>
    </row>
    <row r="64" spans="1:15">
      <c r="J64" s="665"/>
      <c r="K64" s="665"/>
      <c r="L64" s="665"/>
      <c r="M64" s="665"/>
      <c r="N64" s="665"/>
      <c r="O64" s="665"/>
    </row>
    <row r="65" spans="10:15">
      <c r="J65" s="665"/>
      <c r="K65" s="665"/>
      <c r="L65" s="665"/>
      <c r="M65" s="665"/>
      <c r="N65" s="665"/>
      <c r="O65" s="665"/>
    </row>
    <row r="66" spans="10:15">
      <c r="J66" s="665"/>
      <c r="K66" s="665"/>
      <c r="L66" s="665"/>
      <c r="M66" s="665"/>
      <c r="N66" s="665"/>
      <c r="O66" s="665"/>
    </row>
    <row r="67" spans="10:15">
      <c r="J67" s="665"/>
      <c r="K67" s="665"/>
      <c r="L67" s="665"/>
      <c r="M67" s="665"/>
      <c r="N67" s="665"/>
      <c r="O67" s="665"/>
    </row>
    <row r="68" spans="10:15">
      <c r="J68" s="665"/>
      <c r="K68" s="665"/>
      <c r="L68" s="665"/>
      <c r="M68" s="665"/>
      <c r="N68" s="665"/>
      <c r="O68" s="665"/>
    </row>
    <row r="69" spans="10:15">
      <c r="J69" s="665"/>
      <c r="K69" s="665"/>
      <c r="L69" s="665"/>
      <c r="M69" s="665"/>
      <c r="N69" s="665"/>
      <c r="O69" s="665"/>
    </row>
  </sheetData>
  <sortState ref="A2:H82">
    <sortCondition ref="B1"/>
  </sortState>
  <phoneticPr fontId="3" type="noConversion"/>
  <hyperlinks>
    <hyperlink ref="Q11" location="'总公司绩效-II'!A1" display="总公司绩效-II"/>
    <hyperlink ref="Q12" location="目录!A1" display="目录"/>
    <hyperlink ref="Q13" location="'OR04-分公司销售、承保、保全'!A1" display="OR0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O96"/>
  <sheetViews>
    <sheetView tabSelected="1" workbookViewId="0">
      <pane xSplit="4" ySplit="1" topLeftCell="E2" activePane="bottomRight" state="frozenSplit"/>
      <selection pane="topRight" activeCell="F1" sqref="F1"/>
      <selection pane="bottomLeft" activeCell="A27" sqref="A27"/>
      <selection pane="bottomRight" activeCell="E3" sqref="E3"/>
    </sheetView>
  </sheetViews>
  <sheetFormatPr defaultRowHeight="13.5"/>
  <cols>
    <col min="1" max="1" width="7.75" style="316" customWidth="1"/>
    <col min="2" max="2" width="35.75" style="316" customWidth="1"/>
    <col min="3" max="3" width="10" style="312" customWidth="1"/>
    <col min="4" max="4" width="10.25" style="316" bestFit="1" customWidth="1"/>
    <col min="5" max="5" width="9" style="1169" customWidth="1"/>
    <col min="6" max="6" width="8.5" style="1169" customWidth="1"/>
    <col min="7" max="10" width="8.5" style="1169" bestFit="1" customWidth="1"/>
    <col min="11" max="11" width="14.125" style="316" customWidth="1"/>
    <col min="12" max="12" width="8.75" style="316" customWidth="1"/>
    <col min="13" max="13" width="12.375" style="316" customWidth="1"/>
    <col min="14" max="16384" width="9" style="316"/>
  </cols>
  <sheetData>
    <row r="1" spans="1:15" ht="15.75" thickBot="1">
      <c r="A1" s="670" t="s">
        <v>1718</v>
      </c>
      <c r="B1" s="671" t="s">
        <v>1719</v>
      </c>
      <c r="C1" s="1451" t="s">
        <v>1720</v>
      </c>
      <c r="D1" s="671" t="s">
        <v>485</v>
      </c>
      <c r="E1" s="1110" t="s">
        <v>1397</v>
      </c>
      <c r="F1" s="1110" t="s">
        <v>1398</v>
      </c>
      <c r="G1" s="1110" t="s">
        <v>1399</v>
      </c>
      <c r="H1" s="1110" t="s">
        <v>1400</v>
      </c>
      <c r="I1" s="1110" t="s">
        <v>1401</v>
      </c>
      <c r="J1" s="1110" t="s">
        <v>1402</v>
      </c>
      <c r="K1" s="671" t="s">
        <v>1777</v>
      </c>
      <c r="L1" s="1536" t="s">
        <v>1882</v>
      </c>
      <c r="M1" s="1537"/>
    </row>
    <row r="2" spans="1:15" ht="14.25">
      <c r="A2" s="1522" t="s">
        <v>1865</v>
      </c>
      <c r="B2" s="673" t="s">
        <v>1</v>
      </c>
      <c r="C2" s="1454">
        <f>30%*(1/18)</f>
        <v>1.6666666666666666E-2</v>
      </c>
      <c r="D2" s="674">
        <v>9</v>
      </c>
      <c r="E2" s="1111"/>
      <c r="F2" s="1112">
        <f>(1-'OR02-销售承保'!L4)*$D$2</f>
        <v>7.0654047976011993</v>
      </c>
      <c r="G2" s="1113">
        <f>(1-'OR02-销售承保'!M4)*$D$2</f>
        <v>8.0769230769230766</v>
      </c>
      <c r="H2" s="1114">
        <f>(1-'OR02-销售承保'!N4)*$D$2</f>
        <v>6.9827586206896548</v>
      </c>
      <c r="I2" s="1115">
        <f>(1-'OR02-销售承保'!O4)*$D$2</f>
        <v>8.6538461538461533</v>
      </c>
      <c r="J2" s="1116">
        <f>(1-'OR02-销售承保'!P4)*$D$2</f>
        <v>8.2363636363636363</v>
      </c>
      <c r="K2" s="675" t="s">
        <v>1774</v>
      </c>
      <c r="L2" s="675"/>
      <c r="M2" s="676"/>
    </row>
    <row r="3" spans="1:15" ht="16.5">
      <c r="A3" s="1523"/>
      <c r="B3" s="677" t="s">
        <v>2033</v>
      </c>
      <c r="C3" s="1455">
        <f>30%*(1/18)</f>
        <v>1.6666666666666666E-2</v>
      </c>
      <c r="D3" s="678">
        <v>6</v>
      </c>
      <c r="E3" s="1428">
        <f>$D$3*('OR02-销售承保'!K10-'OR02-销售承保'!M10)/('OR02-销售承保'!K9-'OR02-销售承保'!M9)</f>
        <v>5.1428571428571432</v>
      </c>
      <c r="F3" s="1118"/>
      <c r="G3" s="1119">
        <f>$D$3*'OR02-销售承保'!M10/'OR02-销售承保'!M9</f>
        <v>6</v>
      </c>
      <c r="H3" s="1118"/>
      <c r="I3" s="1118"/>
      <c r="J3" s="1120"/>
      <c r="K3" s="679" t="s">
        <v>1774</v>
      </c>
      <c r="L3" s="1541"/>
      <c r="M3" s="1542"/>
      <c r="N3" s="680" t="s">
        <v>1397</v>
      </c>
      <c r="O3" s="681"/>
    </row>
    <row r="4" spans="1:15" ht="16.5">
      <c r="A4" s="1523"/>
      <c r="B4" s="677" t="s">
        <v>2</v>
      </c>
      <c r="C4" s="1455">
        <f>30%*(1/18)</f>
        <v>1.6666666666666666E-2</v>
      </c>
      <c r="D4" s="678">
        <v>7</v>
      </c>
      <c r="E4" s="1118"/>
      <c r="F4" s="1121">
        <f>'OR02-销售承保'!L11*$D$4</f>
        <v>5.0048113933795229</v>
      </c>
      <c r="G4" s="1119">
        <f>'OR02-销售承保'!M11*D4</f>
        <v>6.406779661016949</v>
      </c>
      <c r="H4" s="1122">
        <f>'OR02-销售承保'!N11*D4</f>
        <v>5.2192982456140351</v>
      </c>
      <c r="I4" s="1123">
        <f>'OR02-销售承保'!O11*D4</f>
        <v>6.72</v>
      </c>
      <c r="J4" s="1124">
        <f>'OR02-销售承保'!P11*D4</f>
        <v>6.5</v>
      </c>
      <c r="K4" s="679" t="s">
        <v>1774</v>
      </c>
      <c r="L4" s="679"/>
      <c r="M4" s="682"/>
      <c r="N4" s="680" t="s">
        <v>1880</v>
      </c>
      <c r="O4" s="683"/>
    </row>
    <row r="5" spans="1:15" ht="16.5">
      <c r="A5" s="1523"/>
      <c r="B5" s="1532" t="s">
        <v>1862</v>
      </c>
      <c r="C5" s="1455"/>
      <c r="D5" s="678"/>
      <c r="E5" s="1118"/>
      <c r="F5" s="1121">
        <f>'OR02-销售承保'!L14</f>
        <v>39</v>
      </c>
      <c r="G5" s="1119">
        <f>'OR02-销售承保'!M14</f>
        <v>0</v>
      </c>
      <c r="H5" s="1122">
        <f>'OR02-销售承保'!N14</f>
        <v>0</v>
      </c>
      <c r="I5" s="1123">
        <f>'OR02-销售承保'!O14</f>
        <v>0</v>
      </c>
      <c r="J5" s="1124">
        <f>'OR02-销售承保'!P14</f>
        <v>0</v>
      </c>
      <c r="K5" s="679" t="s">
        <v>1778</v>
      </c>
      <c r="L5" s="679"/>
      <c r="M5" s="682"/>
      <c r="N5" s="680" t="s">
        <v>1881</v>
      </c>
      <c r="O5" s="684"/>
    </row>
    <row r="6" spans="1:15" ht="16.5">
      <c r="A6" s="1523"/>
      <c r="B6" s="1532"/>
      <c r="C6" s="1455">
        <f>30%*(1/18)</f>
        <v>1.6666666666666666E-2</v>
      </c>
      <c r="D6" s="678">
        <v>8</v>
      </c>
      <c r="E6" s="1118"/>
      <c r="F6" s="1121">
        <f>MAX(8-1*F5,0)</f>
        <v>0</v>
      </c>
      <c r="G6" s="1119">
        <f>MAX(8-1*G5,0)</f>
        <v>8</v>
      </c>
      <c r="H6" s="1122">
        <f>MAX(8-1*H5,0)</f>
        <v>8</v>
      </c>
      <c r="I6" s="1123">
        <f>MAX(8-1*I5,0)</f>
        <v>8</v>
      </c>
      <c r="J6" s="1124">
        <f>MAX(8-1*J5,0)</f>
        <v>8</v>
      </c>
      <c r="K6" s="679" t="s">
        <v>1780</v>
      </c>
      <c r="L6" s="679"/>
      <c r="M6" s="682"/>
      <c r="N6" s="680" t="s">
        <v>1400</v>
      </c>
      <c r="O6" s="685"/>
    </row>
    <row r="7" spans="1:15" ht="16.5" customHeight="1">
      <c r="A7" s="1523"/>
      <c r="B7" s="1533" t="s">
        <v>1876</v>
      </c>
      <c r="C7" s="1455"/>
      <c r="D7" s="678"/>
      <c r="E7" s="1121">
        <f>'OR02-销售承保'!K16</f>
        <v>0.98866098876177999</v>
      </c>
      <c r="F7" s="1121">
        <f>'OR02-销售承保'!L16</f>
        <v>0.99211169284467715</v>
      </c>
      <c r="G7" s="1119">
        <f>'OR02-销售承保'!M16</f>
        <v>0.967741935483871</v>
      </c>
      <c r="H7" s="1121">
        <f>'OR02-销售承保'!N16</f>
        <v>0.99224305106658051</v>
      </c>
      <c r="I7" s="1121">
        <f>'OR02-销售承保'!O16</f>
        <v>0.97289745739033251</v>
      </c>
      <c r="J7" s="1121">
        <f>'OR02-销售承保'!P16</f>
        <v>0.9944598337950139</v>
      </c>
      <c r="K7" s="679" t="s">
        <v>1877</v>
      </c>
      <c r="L7" s="1539" t="s">
        <v>2409</v>
      </c>
      <c r="M7" s="1540"/>
      <c r="N7" s="680" t="s">
        <v>1401</v>
      </c>
      <c r="O7" s="686"/>
    </row>
    <row r="8" spans="1:15" ht="16.5">
      <c r="A8" s="1523"/>
      <c r="B8" s="1533"/>
      <c r="C8" s="1178">
        <f t="shared" ref="C8:C16" si="0">30%*(1/18)</f>
        <v>1.6666666666666666E-2</v>
      </c>
      <c r="D8" s="678">
        <v>7</v>
      </c>
      <c r="E8" s="1117">
        <f>IF(E7&gt;0.95,7,IF(E7&gt;0.9,7*E7-63,0))</f>
        <v>7</v>
      </c>
      <c r="F8" s="1121">
        <f>IF(F7&gt;0.95,7,IF(F7&gt;0.9,7*F7-63,0))</f>
        <v>7</v>
      </c>
      <c r="G8" s="1119">
        <v>7</v>
      </c>
      <c r="H8" s="1122">
        <f>IF(H7&gt;0.95,7,IF(H7&gt;0.9,7*H7-63,0))</f>
        <v>7</v>
      </c>
      <c r="I8" s="1123">
        <f>IF(I7&gt;0.95,7,IF(I7&gt;0.9,7*I7-63,0))</f>
        <v>7</v>
      </c>
      <c r="J8" s="1124">
        <f>IF(J7&gt;0.95,7,IF(J7&gt;0.9,7*J7-63,0))</f>
        <v>7</v>
      </c>
      <c r="K8" s="679" t="s">
        <v>1774</v>
      </c>
      <c r="L8" s="679"/>
      <c r="M8" s="682"/>
      <c r="N8" s="680" t="s">
        <v>1402</v>
      </c>
      <c r="O8" s="687"/>
    </row>
    <row r="9" spans="1:15" ht="14.25">
      <c r="A9" s="1523"/>
      <c r="B9" s="688" t="s">
        <v>1863</v>
      </c>
      <c r="C9" s="1455">
        <f t="shared" si="0"/>
        <v>1.6666666666666666E-2</v>
      </c>
      <c r="D9" s="678">
        <v>7</v>
      </c>
      <c r="E9" s="1125"/>
      <c r="F9" s="1121">
        <f>(1-'OR02-销售承保'!L19)*7</f>
        <v>6.9612847153636466</v>
      </c>
      <c r="G9" s="1121">
        <f>(1-'OR02-销售承保'!M19)*7</f>
        <v>7</v>
      </c>
      <c r="H9" s="1122">
        <f>(1-'OR02-销售承保'!N19)*7</f>
        <v>6.5844875346260388</v>
      </c>
      <c r="I9" s="1123">
        <f>(1-'OR02-销售承保'!O19)*7</f>
        <v>6.9175047140163421</v>
      </c>
      <c r="J9" s="1124">
        <f>(1-'OR02-销售承保'!P19)*7</f>
        <v>6.9565891472868211</v>
      </c>
      <c r="K9" s="679" t="s">
        <v>1774</v>
      </c>
      <c r="L9" s="679"/>
      <c r="M9" s="682"/>
    </row>
    <row r="10" spans="1:15" ht="28.5">
      <c r="A10" s="1523"/>
      <c r="B10" s="688" t="s">
        <v>1864</v>
      </c>
      <c r="C10" s="1455">
        <f t="shared" si="0"/>
        <v>1.6666666666666666E-2</v>
      </c>
      <c r="D10" s="678">
        <v>4</v>
      </c>
      <c r="E10" s="1126"/>
      <c r="F10" s="1121">
        <f>4-'OR02-销售承保'!L22*0.5</f>
        <v>2.5</v>
      </c>
      <c r="G10" s="1119">
        <f>4-'OR02-销售承保'!M22*0.5</f>
        <v>4</v>
      </c>
      <c r="H10" s="1122">
        <f>4-'OR02-销售承保'!N22*0.5</f>
        <v>4</v>
      </c>
      <c r="I10" s="1123">
        <f>4-'OR02-销售承保'!O22*0.5</f>
        <v>4</v>
      </c>
      <c r="J10" s="1124">
        <f>4-'OR02-销售承保'!P22*0.5</f>
        <v>4</v>
      </c>
      <c r="K10" s="679" t="s">
        <v>1774</v>
      </c>
      <c r="L10" s="679"/>
      <c r="M10" s="682"/>
    </row>
    <row r="11" spans="1:15" ht="28.5">
      <c r="A11" s="1523"/>
      <c r="B11" s="688" t="s">
        <v>471</v>
      </c>
      <c r="C11" s="1455">
        <f t="shared" si="0"/>
        <v>1.6666666666666666E-2</v>
      </c>
      <c r="D11" s="678">
        <v>4</v>
      </c>
      <c r="E11" s="1126"/>
      <c r="F11" s="1121">
        <f>4-'OR02-销售承保'!L23*0.5</f>
        <v>3</v>
      </c>
      <c r="G11" s="1119">
        <f>4-'OR02-销售承保'!M23*0.5</f>
        <v>4</v>
      </c>
      <c r="H11" s="1122">
        <f>4-'OR02-销售承保'!N23*0.5</f>
        <v>4</v>
      </c>
      <c r="I11" s="1123">
        <f>4-'OR02-销售承保'!O23*0.5</f>
        <v>4</v>
      </c>
      <c r="J11" s="1124">
        <f>4-'OR02-销售承保'!P23*0.5</f>
        <v>4</v>
      </c>
      <c r="K11" s="679" t="s">
        <v>1774</v>
      </c>
      <c r="L11" s="679"/>
      <c r="M11" s="682"/>
    </row>
    <row r="12" spans="1:15" ht="28.5">
      <c r="A12" s="1523"/>
      <c r="B12" s="688" t="s">
        <v>2494</v>
      </c>
      <c r="C12" s="1455">
        <f t="shared" si="0"/>
        <v>1.6666666666666666E-2</v>
      </c>
      <c r="D12" s="678">
        <v>5</v>
      </c>
      <c r="E12" s="1126"/>
      <c r="F12" s="1121">
        <f>5-'OR02-销售承保'!L27*0.5</f>
        <v>5</v>
      </c>
      <c r="G12" s="1119">
        <f>5-'OR02-销售承保'!M27*0.5</f>
        <v>5</v>
      </c>
      <c r="H12" s="1122">
        <f>5-'OR02-销售承保'!N27*0.5</f>
        <v>5</v>
      </c>
      <c r="I12" s="1123">
        <f>5-'OR02-销售承保'!O27*0.5</f>
        <v>5</v>
      </c>
      <c r="J12" s="1124">
        <f>5-'OR02-销售承保'!P27*0.5</f>
        <v>5</v>
      </c>
      <c r="K12" s="679" t="s">
        <v>1774</v>
      </c>
      <c r="L12" s="679"/>
      <c r="M12" s="682"/>
    </row>
    <row r="13" spans="1:15" ht="28.5">
      <c r="A13" s="1523"/>
      <c r="B13" s="688" t="s">
        <v>472</v>
      </c>
      <c r="C13" s="1455">
        <f t="shared" si="0"/>
        <v>1.6666666666666666E-2</v>
      </c>
      <c r="D13" s="678">
        <v>5</v>
      </c>
      <c r="E13" s="1126"/>
      <c r="F13" s="1121">
        <f>5-0.5*'OR02-销售承保'!L28</f>
        <v>5</v>
      </c>
      <c r="G13" s="1119">
        <f>5-0.5*'OR02-销售承保'!M28</f>
        <v>5</v>
      </c>
      <c r="H13" s="1122">
        <f>5-0.5*'OR02-销售承保'!N28</f>
        <v>5</v>
      </c>
      <c r="I13" s="1123">
        <f>5-0.5*'OR02-销售承保'!O28</f>
        <v>5</v>
      </c>
      <c r="J13" s="1124">
        <f>5-0.5*'OR02-销售承保'!P28</f>
        <v>5</v>
      </c>
      <c r="K13" s="679" t="s">
        <v>1774</v>
      </c>
      <c r="L13" s="679"/>
      <c r="M13" s="682"/>
    </row>
    <row r="14" spans="1:15" ht="28.5">
      <c r="A14" s="1523"/>
      <c r="B14" s="688" t="s">
        <v>473</v>
      </c>
      <c r="C14" s="1455">
        <f t="shared" si="0"/>
        <v>1.6666666666666666E-2</v>
      </c>
      <c r="D14" s="678">
        <v>5</v>
      </c>
      <c r="E14" s="1126"/>
      <c r="F14" s="1121">
        <f>5-0.5*'OR02-销售承保'!L29</f>
        <v>5</v>
      </c>
      <c r="G14" s="1119">
        <f>5-0.5*'OR02-销售承保'!M29</f>
        <v>5</v>
      </c>
      <c r="H14" s="1122">
        <f>5-0.5*'OR02-销售承保'!N29</f>
        <v>5</v>
      </c>
      <c r="I14" s="1123">
        <f>5-0.5*'OR02-销售承保'!O29</f>
        <v>5</v>
      </c>
      <c r="J14" s="1124">
        <f>5-0.5*'OR02-销售承保'!P29</f>
        <v>5</v>
      </c>
      <c r="K14" s="679" t="s">
        <v>1774</v>
      </c>
      <c r="L14" s="679"/>
      <c r="M14" s="682"/>
    </row>
    <row r="15" spans="1:15" ht="14.25">
      <c r="A15" s="1523"/>
      <c r="B15" s="688" t="s">
        <v>474</v>
      </c>
      <c r="C15" s="1455">
        <f t="shared" si="0"/>
        <v>1.6666666666666666E-2</v>
      </c>
      <c r="D15" s="678">
        <v>5</v>
      </c>
      <c r="E15" s="1126"/>
      <c r="F15" s="1121">
        <f>5-0.5*'OR02-销售承保'!L30</f>
        <v>5</v>
      </c>
      <c r="G15" s="1119">
        <f>5-0.5*'OR02-销售承保'!M30</f>
        <v>5</v>
      </c>
      <c r="H15" s="1122">
        <f>5-0.5*'OR02-销售承保'!N30</f>
        <v>5</v>
      </c>
      <c r="I15" s="1123">
        <f>5-0.5*'OR02-销售承保'!O30</f>
        <v>5</v>
      </c>
      <c r="J15" s="1124">
        <f>5-0.5*'OR02-销售承保'!P30</f>
        <v>5</v>
      </c>
      <c r="K15" s="679" t="s">
        <v>1774</v>
      </c>
      <c r="L15" s="679"/>
      <c r="M15" s="682"/>
    </row>
    <row r="16" spans="1:15" ht="15" thickBot="1">
      <c r="A16" s="1524"/>
      <c r="B16" s="689" t="s">
        <v>13</v>
      </c>
      <c r="C16" s="1452">
        <f t="shared" si="0"/>
        <v>1.6666666666666666E-2</v>
      </c>
      <c r="D16" s="690">
        <v>5</v>
      </c>
      <c r="E16" s="1127">
        <f>'OR02-销售承保'!R33</f>
        <v>5</v>
      </c>
      <c r="F16" s="1128"/>
      <c r="G16" s="1128"/>
      <c r="H16" s="1128"/>
      <c r="I16" s="1128"/>
      <c r="J16" s="1129"/>
      <c r="K16" s="691" t="s">
        <v>1774</v>
      </c>
      <c r="L16" s="691"/>
      <c r="M16" s="692"/>
    </row>
    <row r="17" spans="1:13" ht="14.25">
      <c r="A17" s="1525" t="s">
        <v>1844</v>
      </c>
      <c r="B17" s="693" t="s">
        <v>1700</v>
      </c>
      <c r="C17" s="1456">
        <f>70%*(1/18)</f>
        <v>3.8888888888888883E-2</v>
      </c>
      <c r="D17" s="674">
        <v>3</v>
      </c>
      <c r="E17" s="1130">
        <f>GETPIVOTDATA("平均值项:得分",员工流失率√!$K$2,"渠道","客服")</f>
        <v>1.65</v>
      </c>
      <c r="F17" s="1112">
        <f>GETPIVOTDATA("平均值项:得分",员工流失率√!$K$2,"渠道","个险")</f>
        <v>1.95</v>
      </c>
      <c r="G17" s="1113">
        <f>GETPIVOTDATA("平均值项:得分",员工流失率√!$K$2,"渠道","团险")</f>
        <v>1.2</v>
      </c>
      <c r="H17" s="1114">
        <f>GETPIVOTDATA("平均值项:得分",员工流失率√!$K$2,"渠道","银保")</f>
        <v>0.5625</v>
      </c>
      <c r="I17" s="1115">
        <f>GETPIVOTDATA("平均值项:得分",员工流失率√!$K$2,"渠道","多元")</f>
        <v>2.0625</v>
      </c>
      <c r="J17" s="1116">
        <f>GETPIVOTDATA("平均值项:得分",员工流失率√!$K$2,"渠道","续期")</f>
        <v>1.65</v>
      </c>
      <c r="K17" s="675" t="s">
        <v>1774</v>
      </c>
      <c r="L17" s="1534" t="s">
        <v>2083</v>
      </c>
      <c r="M17" s="1535"/>
    </row>
    <row r="18" spans="1:13" ht="14.25">
      <c r="A18" s="1526"/>
      <c r="B18" s="694" t="s">
        <v>1845</v>
      </c>
      <c r="C18" s="1178">
        <f>70%*(1/18)</f>
        <v>3.8888888888888883E-2</v>
      </c>
      <c r="D18" s="678">
        <v>2</v>
      </c>
      <c r="E18" s="1131">
        <f>'OR04-分公司销售、承保、保全'!M7</f>
        <v>2</v>
      </c>
      <c r="F18" s="1132">
        <f>'OR04-分公司销售、承保、保全'!M7</f>
        <v>2</v>
      </c>
      <c r="G18" s="1133">
        <f>'OR04-分公司销售、承保、保全'!M7</f>
        <v>2</v>
      </c>
      <c r="H18" s="1134">
        <f>'OR04-分公司销售、承保、保全'!M7</f>
        <v>2</v>
      </c>
      <c r="I18" s="1135">
        <f>'OR04-分公司销售、承保、保全'!M7</f>
        <v>2</v>
      </c>
      <c r="J18" s="1136">
        <f>'OR04-分公司销售、承保、保全'!M7</f>
        <v>2</v>
      </c>
      <c r="K18" s="679" t="s">
        <v>1774</v>
      </c>
      <c r="L18" s="679"/>
      <c r="M18" s="682"/>
    </row>
    <row r="19" spans="1:13" ht="14.25">
      <c r="A19" s="1526"/>
      <c r="B19" s="694" t="s">
        <v>1853</v>
      </c>
      <c r="C19" s="1178"/>
      <c r="D19" s="678"/>
      <c r="E19" s="1137"/>
      <c r="F19" s="1137"/>
      <c r="G19" s="1133">
        <f>'OR04-分公司销售、承保、保全'!M16</f>
        <v>1</v>
      </c>
      <c r="H19" s="1134">
        <f>'OR04-分公司销售、承保、保全'!M16</f>
        <v>1</v>
      </c>
      <c r="I19" s="1135">
        <f>'OR04-分公司销售、承保、保全'!M16</f>
        <v>1</v>
      </c>
      <c r="J19" s="1138"/>
      <c r="K19" s="679" t="s">
        <v>1774</v>
      </c>
      <c r="L19" s="679"/>
      <c r="M19" s="682"/>
    </row>
    <row r="20" spans="1:13" ht="14.25">
      <c r="A20" s="1526"/>
      <c r="B20" s="694" t="s">
        <v>1111</v>
      </c>
      <c r="C20" s="1178">
        <f t="shared" ref="C20:C26" si="1">70%*(1/18)</f>
        <v>3.8888888888888883E-2</v>
      </c>
      <c r="D20" s="678">
        <v>2</v>
      </c>
      <c r="E20" s="1137"/>
      <c r="F20" s="1132">
        <f>'OR04-分公司销售、承保、保全'!M19</f>
        <v>2</v>
      </c>
      <c r="G20" s="1133">
        <f>'OR04-分公司销售、承保、保全'!M19</f>
        <v>2</v>
      </c>
      <c r="H20" s="1134">
        <f>'OR04-分公司销售、承保、保全'!M19</f>
        <v>2</v>
      </c>
      <c r="I20" s="1135">
        <f>'OR04-分公司销售、承保、保全'!M19</f>
        <v>2</v>
      </c>
      <c r="J20" s="1136">
        <f>'OR04-分公司销售、承保、保全'!M19</f>
        <v>2</v>
      </c>
      <c r="K20" s="679" t="s">
        <v>1774</v>
      </c>
      <c r="L20" s="679"/>
      <c r="M20" s="682"/>
    </row>
    <row r="21" spans="1:13" ht="14.25">
      <c r="A21" s="1526"/>
      <c r="B21" s="694" t="s">
        <v>1846</v>
      </c>
      <c r="C21" s="1178">
        <f t="shared" si="1"/>
        <v>3.8888888888888883E-2</v>
      </c>
      <c r="D21" s="678">
        <v>2</v>
      </c>
      <c r="E21" s="1131">
        <f>'OR04-分公司销售、承保、保全'!M22</f>
        <v>1.9</v>
      </c>
      <c r="F21" s="1132">
        <f>'OR04-分公司销售、承保、保全'!M22</f>
        <v>1.9</v>
      </c>
      <c r="G21" s="1133">
        <v>2</v>
      </c>
      <c r="H21" s="1134">
        <f>'OR04-分公司销售、承保、保全'!M22</f>
        <v>1.9</v>
      </c>
      <c r="I21" s="1135">
        <f>'OR04-分公司销售、承保、保全'!M22</f>
        <v>1.9</v>
      </c>
      <c r="J21" s="1136">
        <v>2</v>
      </c>
      <c r="K21" s="679" t="s">
        <v>1774</v>
      </c>
      <c r="L21" s="679"/>
      <c r="M21" s="682"/>
    </row>
    <row r="22" spans="1:13" ht="14.25">
      <c r="A22" s="1526"/>
      <c r="B22" s="694" t="s">
        <v>1701</v>
      </c>
      <c r="C22" s="1178">
        <f t="shared" si="1"/>
        <v>3.8888888888888883E-2</v>
      </c>
      <c r="D22" s="678">
        <v>2</v>
      </c>
      <c r="E22" s="1137"/>
      <c r="F22" s="1132">
        <f>'OR04-分公司销售、承保、保全'!M25</f>
        <v>0.44580592395513563</v>
      </c>
      <c r="G22" s="1139"/>
      <c r="H22" s="1139"/>
      <c r="I22" s="1139"/>
      <c r="J22" s="1138"/>
      <c r="K22" s="679" t="s">
        <v>1774</v>
      </c>
      <c r="L22" s="679"/>
      <c r="M22" s="682"/>
    </row>
    <row r="23" spans="1:13" ht="14.25">
      <c r="A23" s="1526"/>
      <c r="B23" s="695" t="s">
        <v>2014</v>
      </c>
      <c r="C23" s="1178">
        <f t="shared" si="1"/>
        <v>3.8888888888888883E-2</v>
      </c>
      <c r="D23" s="678">
        <v>6</v>
      </c>
      <c r="E23" s="1137"/>
      <c r="F23" s="1132">
        <f>'OR04-分公司销售、承保、保全'!M28</f>
        <v>5.3</v>
      </c>
      <c r="G23" s="1133">
        <f>D23</f>
        <v>6</v>
      </c>
      <c r="H23" s="1134">
        <f>D23</f>
        <v>6</v>
      </c>
      <c r="I23" s="1135">
        <f>D23</f>
        <v>6</v>
      </c>
      <c r="J23" s="1136">
        <f>D23</f>
        <v>6</v>
      </c>
      <c r="K23" s="679" t="s">
        <v>1774</v>
      </c>
      <c r="L23" s="679"/>
      <c r="M23" s="682"/>
    </row>
    <row r="24" spans="1:13" ht="14.25">
      <c r="A24" s="1526"/>
      <c r="B24" s="695" t="s">
        <v>2015</v>
      </c>
      <c r="C24" s="1178">
        <f t="shared" si="1"/>
        <v>3.8888888888888883E-2</v>
      </c>
      <c r="D24" s="678">
        <v>6</v>
      </c>
      <c r="E24" s="1137"/>
      <c r="F24" s="1137"/>
      <c r="G24" s="1133">
        <f>'OR04-分公司销售、承保、保全'!M30</f>
        <v>6</v>
      </c>
      <c r="H24" s="1134">
        <f>'OR04-分公司销售、承保、保全'!M30</f>
        <v>6</v>
      </c>
      <c r="I24" s="1135">
        <f>'OR04-分公司销售、承保、保全'!M30</f>
        <v>6</v>
      </c>
      <c r="J24" s="1140"/>
      <c r="K24" s="679" t="s">
        <v>1774</v>
      </c>
      <c r="L24" s="679"/>
      <c r="M24" s="682"/>
    </row>
    <row r="25" spans="1:13" ht="14.25">
      <c r="A25" s="1526"/>
      <c r="B25" s="695" t="s">
        <v>2016</v>
      </c>
      <c r="C25" s="1178">
        <f t="shared" si="1"/>
        <v>3.8888888888888883E-2</v>
      </c>
      <c r="D25" s="678">
        <v>6</v>
      </c>
      <c r="E25" s="1137"/>
      <c r="F25" s="1132">
        <f>'OR04-分公司销售、承保、保全'!M32</f>
        <v>5.7</v>
      </c>
      <c r="G25" s="1133">
        <f>D25</f>
        <v>6</v>
      </c>
      <c r="H25" s="1134">
        <f>D25</f>
        <v>6</v>
      </c>
      <c r="I25" s="1135">
        <f>D25</f>
        <v>6</v>
      </c>
      <c r="J25" s="1136">
        <f>D25</f>
        <v>6</v>
      </c>
      <c r="K25" s="679" t="s">
        <v>1774</v>
      </c>
      <c r="L25" s="679"/>
      <c r="M25" s="682"/>
    </row>
    <row r="26" spans="1:13" ht="14.25">
      <c r="A26" s="1526"/>
      <c r="B26" s="694" t="s">
        <v>1847</v>
      </c>
      <c r="C26" s="1178">
        <f t="shared" si="1"/>
        <v>3.8888888888888883E-2</v>
      </c>
      <c r="D26" s="678">
        <v>1</v>
      </c>
      <c r="E26" s="1131">
        <f>'OR04-分公司销售、承保、保全'!M34</f>
        <v>1</v>
      </c>
      <c r="F26" s="1139"/>
      <c r="G26" s="1139"/>
      <c r="H26" s="1139"/>
      <c r="I26" s="1139"/>
      <c r="J26" s="1138"/>
      <c r="K26" s="679" t="s">
        <v>1774</v>
      </c>
      <c r="L26" s="679"/>
      <c r="M26" s="682"/>
    </row>
    <row r="27" spans="1:13" ht="14.25">
      <c r="A27" s="1526"/>
      <c r="B27" s="694" t="s">
        <v>1886</v>
      </c>
      <c r="C27" s="1178">
        <f t="shared" ref="C27:C41" si="2">70%*(1/18)</f>
        <v>3.8888888888888883E-2</v>
      </c>
      <c r="D27" s="678">
        <v>2</v>
      </c>
      <c r="E27" s="1131">
        <f>'OR04-分公司销售、承保、保全'!M35</f>
        <v>2</v>
      </c>
      <c r="F27" s="1132">
        <f>GETPIVOTDATA("平均值项:得分",犹豫期内电话回访成功率√!$I$2,"渠道","个险")</f>
        <v>2</v>
      </c>
      <c r="G27" s="1133">
        <f>GETPIVOTDATA("平均值项:得分",犹豫期内电话回访成功率√!$I$2,"渠道","团险")</f>
        <v>1.6</v>
      </c>
      <c r="H27" s="1134">
        <f>GETPIVOTDATA("平均值项:得分",犹豫期内电话回访成功率√!$I$2,"渠道","银保")</f>
        <v>2</v>
      </c>
      <c r="I27" s="1135">
        <f>GETPIVOTDATA("平均值项:得分",犹豫期内电话回访成功率√!$I$2,"渠道","多元")</f>
        <v>1.875</v>
      </c>
      <c r="J27" s="1136">
        <f>GETPIVOTDATA("平均值项:得分",犹豫期内电话回访成功率√!$I$2,"渠道","续期")</f>
        <v>2</v>
      </c>
      <c r="K27" s="679" t="s">
        <v>1774</v>
      </c>
      <c r="L27" s="1520" t="s">
        <v>2018</v>
      </c>
      <c r="M27" s="1521"/>
    </row>
    <row r="28" spans="1:13" ht="14.25">
      <c r="A28" s="1526"/>
      <c r="B28" s="694" t="s">
        <v>1848</v>
      </c>
      <c r="C28" s="1178">
        <f t="shared" si="2"/>
        <v>3.8888888888888883E-2</v>
      </c>
      <c r="D28" s="678">
        <v>2</v>
      </c>
      <c r="E28" s="1131">
        <f>'OR04-分公司销售、承保、保全'!M38</f>
        <v>2</v>
      </c>
      <c r="F28" s="1132">
        <f>GETPIVOTDATA("平均值项:得分",新契约回访完成率√!$I$2,"渠道","个险")</f>
        <v>2</v>
      </c>
      <c r="G28" s="1133">
        <f>GETPIVOTDATA("平均值项:得分",新契约回访完成率√!$I$2,"渠道","团险")</f>
        <v>1.5</v>
      </c>
      <c r="H28" s="1134">
        <f>GETPIVOTDATA("平均值项:得分",新契约回访完成率√!$I$2,"渠道","银保")</f>
        <v>2</v>
      </c>
      <c r="I28" s="1135">
        <f>GETPIVOTDATA("平均值项:得分",新契约回访完成率√!$I$2,"渠道","多元")</f>
        <v>2</v>
      </c>
      <c r="J28" s="1136">
        <f>GETPIVOTDATA("平均值项:得分",新契约回访完成率√!$I$2,"渠道","续期")</f>
        <v>2</v>
      </c>
      <c r="K28" s="679" t="s">
        <v>1774</v>
      </c>
      <c r="L28" s="1520" t="s">
        <v>2019</v>
      </c>
      <c r="M28" s="1521"/>
    </row>
    <row r="29" spans="1:13" ht="14.25">
      <c r="A29" s="1526"/>
      <c r="B29" s="695" t="s">
        <v>2017</v>
      </c>
      <c r="C29" s="1178">
        <f t="shared" si="2"/>
        <v>3.8888888888888883E-2</v>
      </c>
      <c r="D29" s="678">
        <v>6</v>
      </c>
      <c r="E29" s="1131">
        <f>'OR04-分公司销售、承保、保全'!M43</f>
        <v>6</v>
      </c>
      <c r="F29" s="1132">
        <f>'OR04-分公司销售、承保、保全'!M43</f>
        <v>6</v>
      </c>
      <c r="G29" s="1133">
        <f>'OR04-分公司销售、承保、保全'!M43</f>
        <v>6</v>
      </c>
      <c r="H29" s="1134">
        <f>'OR04-分公司销售、承保、保全'!M43</f>
        <v>6</v>
      </c>
      <c r="I29" s="1135">
        <f>'OR04-分公司销售、承保、保全'!M43</f>
        <v>6</v>
      </c>
      <c r="J29" s="1136">
        <f>'OR04-分公司销售、承保、保全'!M43</f>
        <v>6</v>
      </c>
      <c r="K29" s="679" t="s">
        <v>1774</v>
      </c>
      <c r="L29" s="679"/>
      <c r="M29" s="682"/>
    </row>
    <row r="30" spans="1:13" ht="14.25">
      <c r="A30" s="1526"/>
      <c r="B30" s="694" t="s">
        <v>1704</v>
      </c>
      <c r="C30" s="1178">
        <f t="shared" si="2"/>
        <v>3.8888888888888883E-2</v>
      </c>
      <c r="D30" s="678">
        <v>3</v>
      </c>
      <c r="E30" s="1141"/>
      <c r="F30" s="1132">
        <f>GETPIVOTDATA("平均值项:得分",续期收费率√!$H$5,"业务渠道","个险")</f>
        <v>2.9</v>
      </c>
      <c r="G30" s="1139"/>
      <c r="H30" s="1134">
        <f>GETPIVOTDATA("平均值项:得分",续期收费率√!$H$5,"业务渠道","银保")</f>
        <v>3</v>
      </c>
      <c r="I30" s="1135">
        <f>GETPIVOTDATA("平均值项:得分",续期收费率√!$H$5,"业务渠道","多元")</f>
        <v>2.9375</v>
      </c>
      <c r="J30" s="1136">
        <f>GETPIVOTDATA("平均值项:得分",续期收费率√!$H$5,"业务渠道","续期")</f>
        <v>2.65</v>
      </c>
      <c r="K30" s="679" t="s">
        <v>1774</v>
      </c>
      <c r="L30" s="1520" t="s">
        <v>2082</v>
      </c>
      <c r="M30" s="1521"/>
    </row>
    <row r="31" spans="1:13" ht="14.25">
      <c r="A31" s="1526"/>
      <c r="B31" s="694" t="s">
        <v>1137</v>
      </c>
      <c r="C31" s="1178">
        <f t="shared" si="2"/>
        <v>3.8888888888888883E-2</v>
      </c>
      <c r="D31" s="678">
        <v>2</v>
      </c>
      <c r="E31" s="1131">
        <f>'OR04-分公司销售、承保、保全'!M63</f>
        <v>2</v>
      </c>
      <c r="F31" s="1139"/>
      <c r="G31" s="1139"/>
      <c r="H31" s="1139"/>
      <c r="I31" s="1139"/>
      <c r="J31" s="1138"/>
      <c r="K31" s="679" t="s">
        <v>1774</v>
      </c>
      <c r="L31" s="679"/>
      <c r="M31" s="682"/>
    </row>
    <row r="32" spans="1:13" ht="14.25">
      <c r="A32" s="1526"/>
      <c r="B32" s="694" t="s">
        <v>1705</v>
      </c>
      <c r="C32" s="1178">
        <f t="shared" si="2"/>
        <v>3.8888888888888883E-2</v>
      </c>
      <c r="D32" s="678">
        <v>3</v>
      </c>
      <c r="E32" s="1141"/>
      <c r="F32" s="1132">
        <f>GETPIVOTDATA("平均值项:分数",退撤保率√!$L$15,"渠道","个险")</f>
        <v>2.85</v>
      </c>
      <c r="G32" s="1132">
        <f>GETPIVOTDATA("平均值项:分数",退撤保率√!$L$15,"渠道","团险")</f>
        <v>3</v>
      </c>
      <c r="H32" s="1132">
        <f>GETPIVOTDATA("平均值项:分数",退撤保率√!$L$15,"渠道","银保")</f>
        <v>0.45</v>
      </c>
      <c r="I32" s="1132">
        <f>GETPIVOTDATA("平均值项:分数",退撤保率√!$L$15,"渠道","多元")</f>
        <v>2.3333333333333335</v>
      </c>
      <c r="J32" s="1132">
        <f>GETPIVOTDATA("平均值项:分数",退撤保率√!$L$15,"渠道","续期")</f>
        <v>2.85</v>
      </c>
      <c r="K32" s="679" t="s">
        <v>1774</v>
      </c>
      <c r="L32" s="1520" t="s">
        <v>2084</v>
      </c>
      <c r="M32" s="1521"/>
    </row>
    <row r="33" spans="1:13" ht="14.25">
      <c r="A33" s="1526"/>
      <c r="B33" s="694" t="s">
        <v>1851</v>
      </c>
      <c r="C33" s="1178">
        <f t="shared" si="2"/>
        <v>3.8888888888888883E-2</v>
      </c>
      <c r="D33" s="678">
        <v>3</v>
      </c>
      <c r="E33" s="1141"/>
      <c r="F33" s="1132">
        <f>'OR04-分公司销售、承保、保全'!M57</f>
        <v>3</v>
      </c>
      <c r="G33" s="1133">
        <f>'OR04-分公司销售、承保、保全'!M57</f>
        <v>3</v>
      </c>
      <c r="H33" s="1134">
        <f>'OR04-分公司销售、承保、保全'!M57</f>
        <v>3</v>
      </c>
      <c r="I33" s="1135">
        <f>'OR04-分公司销售、承保、保全'!M57</f>
        <v>3</v>
      </c>
      <c r="J33" s="1136">
        <f>'OR04-分公司销售、承保、保全'!M57</f>
        <v>3</v>
      </c>
      <c r="K33" s="679" t="s">
        <v>1774</v>
      </c>
      <c r="L33" s="679"/>
      <c r="M33" s="682"/>
    </row>
    <row r="34" spans="1:13" ht="14.25">
      <c r="A34" s="1526"/>
      <c r="B34" s="694" t="s">
        <v>1144</v>
      </c>
      <c r="C34" s="1178">
        <f t="shared" si="2"/>
        <v>3.8888888888888883E-2</v>
      </c>
      <c r="D34" s="678">
        <v>2</v>
      </c>
      <c r="E34" s="1131">
        <f>'OR04-分公司销售、承保、保全'!M63</f>
        <v>2</v>
      </c>
      <c r="F34" s="1139"/>
      <c r="G34" s="1139"/>
      <c r="H34" s="1139"/>
      <c r="I34" s="1139"/>
      <c r="J34" s="1138"/>
      <c r="K34" s="679" t="s">
        <v>1774</v>
      </c>
      <c r="L34" s="679"/>
      <c r="M34" s="682"/>
    </row>
    <row r="35" spans="1:13" ht="14.25">
      <c r="A35" s="1526"/>
      <c r="B35" s="694" t="s">
        <v>1147</v>
      </c>
      <c r="C35" s="1178">
        <f t="shared" si="2"/>
        <v>3.8888888888888883E-2</v>
      </c>
      <c r="D35" s="678">
        <v>1</v>
      </c>
      <c r="E35" s="1131">
        <f>'OR04-分公司销售、承保、保全'!M66</f>
        <v>1</v>
      </c>
      <c r="F35" s="1139"/>
      <c r="G35" s="1139"/>
      <c r="H35" s="1139"/>
      <c r="I35" s="1139"/>
      <c r="J35" s="1138"/>
      <c r="K35" s="679" t="s">
        <v>1774</v>
      </c>
      <c r="L35" s="679"/>
      <c r="M35" s="682"/>
    </row>
    <row r="36" spans="1:13" ht="14.25">
      <c r="A36" s="1526"/>
      <c r="B36" s="695" t="s">
        <v>2020</v>
      </c>
      <c r="C36" s="1178">
        <f t="shared" si="2"/>
        <v>3.8888888888888883E-2</v>
      </c>
      <c r="D36" s="678">
        <v>6</v>
      </c>
      <c r="E36" s="1131">
        <f>'OR04-分公司销售、承保、保全'!M67</f>
        <v>6</v>
      </c>
      <c r="F36" s="1139"/>
      <c r="G36" s="1139"/>
      <c r="H36" s="1139"/>
      <c r="I36" s="1139"/>
      <c r="J36" s="1138"/>
      <c r="K36" s="679" t="s">
        <v>1774</v>
      </c>
      <c r="L36" s="679"/>
      <c r="M36" s="682"/>
    </row>
    <row r="37" spans="1:13" ht="14.25">
      <c r="A37" s="1526"/>
      <c r="B37" s="694" t="s">
        <v>1850</v>
      </c>
      <c r="C37" s="1178">
        <f t="shared" si="2"/>
        <v>3.8888888888888883E-2</v>
      </c>
      <c r="D37" s="678">
        <v>0</v>
      </c>
      <c r="E37" s="1142">
        <v>0</v>
      </c>
      <c r="F37" s="1143">
        <v>0</v>
      </c>
      <c r="G37" s="1144">
        <v>0</v>
      </c>
      <c r="H37" s="1145">
        <v>0</v>
      </c>
      <c r="I37" s="1146">
        <v>0</v>
      </c>
      <c r="J37" s="1147">
        <v>0</v>
      </c>
      <c r="K37" s="679" t="s">
        <v>1781</v>
      </c>
      <c r="L37" s="679"/>
      <c r="M37" s="682"/>
    </row>
    <row r="38" spans="1:13" ht="14.25">
      <c r="A38" s="1526"/>
      <c r="B38" s="1532" t="s">
        <v>1157</v>
      </c>
      <c r="C38" s="1178"/>
      <c r="D38" s="678"/>
      <c r="E38" s="1131">
        <f>'OR04-分公司销售、承保、保全'!$L$70*10</f>
        <v>0</v>
      </c>
      <c r="F38" s="1132">
        <f>'OR04-分公司销售、承保、保全'!$L$70*10</f>
        <v>0</v>
      </c>
      <c r="G38" s="1133">
        <f>'OR04-分公司销售、承保、保全'!$L$70*10</f>
        <v>0</v>
      </c>
      <c r="H38" s="1134">
        <f>'OR04-分公司销售、承保、保全'!$L$70*10</f>
        <v>0</v>
      </c>
      <c r="I38" s="1135">
        <f>'OR04-分公司销售、承保、保全'!$L$70*10</f>
        <v>0</v>
      </c>
      <c r="J38" s="1136">
        <f>'OR04-分公司销售、承保、保全'!$L$70*10</f>
        <v>0</v>
      </c>
      <c r="K38" s="679" t="s">
        <v>1885</v>
      </c>
      <c r="L38" s="679"/>
      <c r="M38" s="682"/>
    </row>
    <row r="39" spans="1:13" ht="14.25">
      <c r="A39" s="1526"/>
      <c r="B39" s="1532"/>
      <c r="C39" s="1178">
        <f t="shared" si="2"/>
        <v>3.8888888888888883E-2</v>
      </c>
      <c r="D39" s="678">
        <v>3</v>
      </c>
      <c r="E39" s="1131">
        <f>'OR04-分公司销售、承保、保全'!M70</f>
        <v>3</v>
      </c>
      <c r="F39" s="1132">
        <f>'OR04-分公司销售、承保、保全'!M70</f>
        <v>3</v>
      </c>
      <c r="G39" s="1133">
        <f>'OR04-分公司销售、承保、保全'!M70</f>
        <v>3</v>
      </c>
      <c r="H39" s="1134">
        <f>'OR04-分公司销售、承保、保全'!M70</f>
        <v>3</v>
      </c>
      <c r="I39" s="1135">
        <f>'OR04-分公司销售、承保、保全'!M70</f>
        <v>3</v>
      </c>
      <c r="J39" s="1136">
        <f>'OR04-分公司销售、承保、保全'!M70</f>
        <v>3</v>
      </c>
      <c r="K39" s="679" t="s">
        <v>1774</v>
      </c>
      <c r="L39" s="679"/>
      <c r="M39" s="682"/>
    </row>
    <row r="40" spans="1:13" ht="15" thickBot="1">
      <c r="A40" s="1526"/>
      <c r="B40" s="696" t="s">
        <v>1852</v>
      </c>
      <c r="C40" s="1178">
        <f t="shared" si="2"/>
        <v>3.8888888888888883E-2</v>
      </c>
      <c r="D40" s="678">
        <v>2</v>
      </c>
      <c r="E40" s="1137"/>
      <c r="F40" s="1132">
        <f>'OR04-分公司销售、承保、保全'!M72</f>
        <v>2</v>
      </c>
      <c r="G40" s="1133">
        <f>'OR04-分公司销售、承保、保全'!M72</f>
        <v>2</v>
      </c>
      <c r="H40" s="1134">
        <f>'OR04-分公司销售、承保、保全'!M72</f>
        <v>2</v>
      </c>
      <c r="I40" s="1135">
        <f>'OR04-分公司销售、承保、保全'!M72</f>
        <v>2</v>
      </c>
      <c r="J40" s="1136">
        <f>'OR04-分公司销售、承保、保全'!M72</f>
        <v>2</v>
      </c>
      <c r="K40" s="679" t="s">
        <v>1774</v>
      </c>
      <c r="L40" s="679"/>
      <c r="M40" s="682"/>
    </row>
    <row r="41" spans="1:13" ht="15" thickBot="1">
      <c r="A41" s="1527"/>
      <c r="B41" s="697" t="s">
        <v>1849</v>
      </c>
      <c r="C41" s="1458">
        <f t="shared" si="2"/>
        <v>3.8888888888888883E-2</v>
      </c>
      <c r="D41" s="690">
        <v>10</v>
      </c>
      <c r="E41" s="1148">
        <f>MAX($D$41-($D$29-E29)-($D$36-E36),0)</f>
        <v>10</v>
      </c>
      <c r="F41" s="1130">
        <f>MAX($D$41-($D$23-F23)-($D$25-F25)-($D$29-F29),0)</f>
        <v>9</v>
      </c>
      <c r="G41" s="1148">
        <f>MAX($D$41-($D$23-G23)-($D$24-G24)-($D$25-G25)-($D$29-G29),0)</f>
        <v>10</v>
      </c>
      <c r="H41" s="1148">
        <f>MAX($D$41-($D$23-H23)-($D$24-H24)-($D$25-H25)-($D$29-H29),0)</f>
        <v>10</v>
      </c>
      <c r="I41" s="1148">
        <f>MAX($D$41-($D$23-I23)-($D$24-I24)-($D$25-I25)-($D$29-I29),0)</f>
        <v>10</v>
      </c>
      <c r="J41" s="1148">
        <f>MAX($D$41-($D$23-J23)-($D$25-J25)-($D$29-J29),0)</f>
        <v>10</v>
      </c>
      <c r="K41" s="691" t="s">
        <v>1780</v>
      </c>
      <c r="L41" s="1518" t="s">
        <v>2054</v>
      </c>
      <c r="M41" s="1519"/>
    </row>
    <row r="42" spans="1:13" ht="14.25">
      <c r="A42" s="1529" t="s">
        <v>1854</v>
      </c>
      <c r="B42" s="698" t="s">
        <v>1855</v>
      </c>
      <c r="C42" s="1456">
        <f t="shared" ref="C42:C51" si="3">30%*(1/18)</f>
        <v>1.6666666666666666E-2</v>
      </c>
      <c r="D42" s="674">
        <v>10</v>
      </c>
      <c r="E42" s="1130">
        <f>'OR06-理赔保全'!K4*D42</f>
        <v>7.8571428571428568</v>
      </c>
      <c r="F42" s="1149"/>
      <c r="G42" s="1149"/>
      <c r="H42" s="1149"/>
      <c r="I42" s="1149"/>
      <c r="J42" s="1150"/>
      <c r="K42" s="675" t="s">
        <v>1774</v>
      </c>
      <c r="L42" s="675"/>
      <c r="M42" s="676"/>
    </row>
    <row r="43" spans="1:13" ht="28.5">
      <c r="A43" s="1530"/>
      <c r="B43" s="688" t="s">
        <v>1856</v>
      </c>
      <c r="C43" s="1178">
        <f t="shared" si="3"/>
        <v>1.6666666666666666E-2</v>
      </c>
      <c r="D43" s="678">
        <v>10</v>
      </c>
      <c r="E43" s="1131">
        <f>'OR06-理赔保全'!K7*D43</f>
        <v>5.806451612903226</v>
      </c>
      <c r="F43" s="1139"/>
      <c r="G43" s="1139"/>
      <c r="H43" s="1139"/>
      <c r="I43" s="1139"/>
      <c r="J43" s="1138"/>
      <c r="K43" s="679" t="s">
        <v>1774</v>
      </c>
      <c r="L43" s="679"/>
      <c r="M43" s="682"/>
    </row>
    <row r="44" spans="1:13" ht="14.25">
      <c r="A44" s="1530"/>
      <c r="B44" s="688" t="s">
        <v>1857</v>
      </c>
      <c r="C44" s="1178">
        <f t="shared" si="3"/>
        <v>1.6666666666666666E-2</v>
      </c>
      <c r="D44" s="678">
        <v>4</v>
      </c>
      <c r="E44" s="1417">
        <f>IF('OR06-理赔保全'!K11&lt;M44,D44,0)</f>
        <v>4</v>
      </c>
      <c r="F44" s="1139"/>
      <c r="G44" s="1139"/>
      <c r="H44" s="1139"/>
      <c r="I44" s="1139"/>
      <c r="J44" s="1138"/>
      <c r="K44" s="679" t="s">
        <v>1780</v>
      </c>
      <c r="L44" s="699" t="s">
        <v>1878</v>
      </c>
      <c r="M44" s="700">
        <v>0.8</v>
      </c>
    </row>
    <row r="45" spans="1:13" ht="14.25">
      <c r="A45" s="1530"/>
      <c r="B45" s="688" t="s">
        <v>1858</v>
      </c>
      <c r="C45" s="1178">
        <f t="shared" si="3"/>
        <v>1.6666666666666666E-2</v>
      </c>
      <c r="D45" s="678">
        <v>6</v>
      </c>
      <c r="E45" s="1417">
        <f>IF('OR06-理赔保全'!K12&lt;M45,D45,0)</f>
        <v>6</v>
      </c>
      <c r="F45" s="1139"/>
      <c r="G45" s="1139"/>
      <c r="H45" s="1139"/>
      <c r="I45" s="1139"/>
      <c r="J45" s="1138"/>
      <c r="K45" s="679" t="s">
        <v>1780</v>
      </c>
      <c r="L45" s="699" t="s">
        <v>1878</v>
      </c>
      <c r="M45" s="700">
        <v>0.5</v>
      </c>
    </row>
    <row r="46" spans="1:13" ht="14.25">
      <c r="A46" s="1530"/>
      <c r="B46" s="688" t="s">
        <v>1859</v>
      </c>
      <c r="C46" s="1178">
        <f t="shared" si="3"/>
        <v>1.6666666666666666E-2</v>
      </c>
      <c r="D46" s="678">
        <v>10</v>
      </c>
      <c r="E46" s="1417">
        <f>IF('OR06-理赔保全'!K13&lt;M46,D46,0)</f>
        <v>10</v>
      </c>
      <c r="F46" s="1139"/>
      <c r="G46" s="1139"/>
      <c r="H46" s="1139"/>
      <c r="I46" s="1139"/>
      <c r="J46" s="1138"/>
      <c r="K46" s="679" t="s">
        <v>1780</v>
      </c>
      <c r="L46" s="699" t="s">
        <v>1878</v>
      </c>
      <c r="M46" s="700">
        <v>0.3</v>
      </c>
    </row>
    <row r="47" spans="1:13" ht="14.25">
      <c r="A47" s="1530"/>
      <c r="B47" s="688" t="s">
        <v>1860</v>
      </c>
      <c r="C47" s="1178">
        <f t="shared" si="3"/>
        <v>1.6666666666666666E-2</v>
      </c>
      <c r="D47" s="678">
        <v>7</v>
      </c>
      <c r="E47" s="1417">
        <f>IF('OR06-理赔保全'!K14&lt;M47,D47,0)</f>
        <v>7</v>
      </c>
      <c r="F47" s="1139"/>
      <c r="G47" s="1139"/>
      <c r="H47" s="1139"/>
      <c r="I47" s="1139"/>
      <c r="J47" s="1138"/>
      <c r="K47" s="679" t="s">
        <v>1780</v>
      </c>
      <c r="L47" s="699" t="s">
        <v>1878</v>
      </c>
      <c r="M47" s="700">
        <v>5</v>
      </c>
    </row>
    <row r="48" spans="1:13" ht="28.5">
      <c r="A48" s="1530"/>
      <c r="B48" s="688" t="s">
        <v>475</v>
      </c>
      <c r="C48" s="1178">
        <f t="shared" si="3"/>
        <v>1.6666666666666666E-2</v>
      </c>
      <c r="D48" s="678">
        <v>8</v>
      </c>
      <c r="E48" s="1131">
        <f>'OR06-理赔保全'!M15</f>
        <v>8</v>
      </c>
      <c r="F48" s="1139"/>
      <c r="G48" s="1139"/>
      <c r="H48" s="1139"/>
      <c r="I48" s="1139"/>
      <c r="J48" s="1138"/>
      <c r="K48" s="679" t="s">
        <v>1774</v>
      </c>
      <c r="L48" s="679"/>
      <c r="M48" s="682"/>
    </row>
    <row r="49" spans="1:13" ht="14.25">
      <c r="A49" s="1530"/>
      <c r="B49" s="688" t="s">
        <v>476</v>
      </c>
      <c r="C49" s="1178">
        <f t="shared" si="3"/>
        <v>1.6666666666666666E-2</v>
      </c>
      <c r="D49" s="678">
        <v>5</v>
      </c>
      <c r="E49" s="1131">
        <f>'OR06-理赔保全'!M16</f>
        <v>5</v>
      </c>
      <c r="F49" s="1139"/>
      <c r="G49" s="1139"/>
      <c r="H49" s="1139"/>
      <c r="I49" s="1139"/>
      <c r="J49" s="1138"/>
      <c r="K49" s="679" t="s">
        <v>1774</v>
      </c>
      <c r="L49" s="679"/>
      <c r="M49" s="682"/>
    </row>
    <row r="50" spans="1:13" ht="14.25">
      <c r="A50" s="1530"/>
      <c r="B50" s="688" t="s">
        <v>477</v>
      </c>
      <c r="C50" s="1178">
        <f t="shared" si="3"/>
        <v>1.6666666666666666E-2</v>
      </c>
      <c r="D50" s="678">
        <v>5</v>
      </c>
      <c r="E50" s="1131">
        <f>'OR06-理赔保全'!M17</f>
        <v>5</v>
      </c>
      <c r="F50" s="1139"/>
      <c r="G50" s="1139"/>
      <c r="H50" s="1139"/>
      <c r="I50" s="1139"/>
      <c r="J50" s="1138"/>
      <c r="K50" s="679" t="s">
        <v>1774</v>
      </c>
      <c r="L50" s="679"/>
      <c r="M50" s="682"/>
    </row>
    <row r="51" spans="1:13" ht="15" thickBot="1">
      <c r="A51" s="1531"/>
      <c r="B51" s="701" t="s">
        <v>1861</v>
      </c>
      <c r="C51" s="1458">
        <f t="shared" si="3"/>
        <v>1.6666666666666666E-2</v>
      </c>
      <c r="D51" s="690">
        <v>12</v>
      </c>
      <c r="E51" s="1148">
        <f>'OR06-理赔保全'!M21</f>
        <v>12</v>
      </c>
      <c r="F51" s="1151"/>
      <c r="G51" s="1151"/>
      <c r="H51" s="1151"/>
      <c r="I51" s="1151"/>
      <c r="J51" s="1152"/>
      <c r="K51" s="691" t="s">
        <v>1774</v>
      </c>
      <c r="L51" s="691"/>
      <c r="M51" s="692"/>
    </row>
    <row r="52" spans="1:13" ht="14.25">
      <c r="A52" s="1529" t="s">
        <v>1870</v>
      </c>
      <c r="B52" s="702" t="s">
        <v>1745</v>
      </c>
      <c r="C52" s="1456">
        <f t="shared" ref="C52:C70" si="4">70%*(1/18)</f>
        <v>3.8888888888888883E-2</v>
      </c>
      <c r="D52" s="674">
        <v>5</v>
      </c>
      <c r="E52" s="1130">
        <f>D52</f>
        <v>5</v>
      </c>
      <c r="F52" s="1149"/>
      <c r="G52" s="1149"/>
      <c r="H52" s="1149"/>
      <c r="I52" s="1149"/>
      <c r="J52" s="1150"/>
      <c r="K52" s="675" t="s">
        <v>1934</v>
      </c>
      <c r="L52" s="675"/>
      <c r="M52" s="676"/>
    </row>
    <row r="53" spans="1:13" ht="14.25">
      <c r="A53" s="1530"/>
      <c r="B53" s="696" t="s">
        <v>1746</v>
      </c>
      <c r="C53" s="1178">
        <f t="shared" si="4"/>
        <v>3.8888888888888883E-2</v>
      </c>
      <c r="D53" s="678">
        <v>3</v>
      </c>
      <c r="E53" s="1131">
        <f>'OR08-分公司理赔'!M7</f>
        <v>2.1</v>
      </c>
      <c r="F53" s="1139"/>
      <c r="G53" s="1139"/>
      <c r="H53" s="1139"/>
      <c r="I53" s="1139"/>
      <c r="J53" s="1138"/>
      <c r="K53" s="679" t="s">
        <v>1774</v>
      </c>
      <c r="L53" s="679"/>
      <c r="M53" s="682"/>
    </row>
    <row r="54" spans="1:13" ht="14.25">
      <c r="A54" s="1530"/>
      <c r="B54" s="696" t="s">
        <v>1104</v>
      </c>
      <c r="C54" s="1178">
        <f t="shared" si="4"/>
        <v>3.8888888888888883E-2</v>
      </c>
      <c r="D54" s="678">
        <v>3</v>
      </c>
      <c r="E54" s="1131">
        <f>'OR08-分公司理赔'!M11</f>
        <v>3</v>
      </c>
      <c r="F54" s="1139"/>
      <c r="G54" s="1139"/>
      <c r="H54" s="1139"/>
      <c r="I54" s="1139"/>
      <c r="J54" s="1138"/>
      <c r="K54" s="679" t="s">
        <v>1774</v>
      </c>
      <c r="L54" s="679"/>
      <c r="M54" s="682"/>
    </row>
    <row r="55" spans="1:13" ht="14.25">
      <c r="A55" s="1530"/>
      <c r="B55" s="696" t="s">
        <v>117</v>
      </c>
      <c r="C55" s="1178">
        <f t="shared" si="4"/>
        <v>3.8888888888888883E-2</v>
      </c>
      <c r="D55" s="678">
        <v>4</v>
      </c>
      <c r="E55" s="1131">
        <f>'OR08-分公司理赔'!M12</f>
        <v>4</v>
      </c>
      <c r="F55" s="1139"/>
      <c r="G55" s="1139"/>
      <c r="H55" s="1139"/>
      <c r="I55" s="1139"/>
      <c r="J55" s="1138"/>
      <c r="K55" s="679" t="s">
        <v>1774</v>
      </c>
      <c r="L55" s="679"/>
      <c r="M55" s="682"/>
    </row>
    <row r="56" spans="1:13" ht="14.25">
      <c r="A56" s="1530"/>
      <c r="B56" s="696" t="s">
        <v>1178</v>
      </c>
      <c r="C56" s="1178">
        <f t="shared" si="4"/>
        <v>3.8888888888888883E-2</v>
      </c>
      <c r="D56" s="678">
        <v>6</v>
      </c>
      <c r="E56" s="1131">
        <f>'OR08-分公司理赔'!M13</f>
        <v>6</v>
      </c>
      <c r="F56" s="1139"/>
      <c r="G56" s="1139"/>
      <c r="H56" s="1139"/>
      <c r="I56" s="1139"/>
      <c r="J56" s="1138"/>
      <c r="K56" s="679" t="s">
        <v>1774</v>
      </c>
      <c r="L56" s="679"/>
      <c r="M56" s="682"/>
    </row>
    <row r="57" spans="1:13" ht="14.25">
      <c r="A57" s="1530"/>
      <c r="B57" s="696" t="s">
        <v>1866</v>
      </c>
      <c r="C57" s="1178">
        <f t="shared" si="4"/>
        <v>3.8888888888888883E-2</v>
      </c>
      <c r="D57" s="678">
        <v>8</v>
      </c>
      <c r="E57" s="1417">
        <f>IF('OR08-分公司理赔'!L16&lt;M57,D57,0)</f>
        <v>8</v>
      </c>
      <c r="F57" s="1139"/>
      <c r="G57" s="1139"/>
      <c r="H57" s="1139"/>
      <c r="I57" s="1139"/>
      <c r="J57" s="1138"/>
      <c r="K57" s="679" t="s">
        <v>1780</v>
      </c>
      <c r="L57" s="699" t="s">
        <v>1878</v>
      </c>
      <c r="M57" s="700">
        <v>0.5</v>
      </c>
    </row>
    <row r="58" spans="1:13" ht="14.25">
      <c r="A58" s="1530"/>
      <c r="B58" s="703" t="s">
        <v>1186</v>
      </c>
      <c r="C58" s="1178">
        <f t="shared" si="4"/>
        <v>3.8888888888888883E-2</v>
      </c>
      <c r="D58" s="678">
        <v>6</v>
      </c>
      <c r="E58" s="1131">
        <f>'OR08-分公司理赔'!M19</f>
        <v>6</v>
      </c>
      <c r="F58" s="1139"/>
      <c r="G58" s="1139"/>
      <c r="H58" s="1139"/>
      <c r="I58" s="1139"/>
      <c r="J58" s="1138"/>
      <c r="K58" s="679" t="s">
        <v>1774</v>
      </c>
      <c r="L58" s="679"/>
      <c r="M58" s="682"/>
    </row>
    <row r="59" spans="1:13" ht="14.25">
      <c r="A59" s="1530"/>
      <c r="B59" s="703" t="s">
        <v>1748</v>
      </c>
      <c r="C59" s="1178">
        <f t="shared" si="4"/>
        <v>3.8888888888888883E-2</v>
      </c>
      <c r="D59" s="678">
        <v>4</v>
      </c>
      <c r="E59" s="1131">
        <f>'OR08-分公司理赔'!M22</f>
        <v>4</v>
      </c>
      <c r="F59" s="1139"/>
      <c r="G59" s="1139"/>
      <c r="H59" s="1139"/>
      <c r="I59" s="1139"/>
      <c r="J59" s="1138"/>
      <c r="K59" s="679" t="s">
        <v>1774</v>
      </c>
      <c r="L59" s="679"/>
      <c r="M59" s="682"/>
    </row>
    <row r="60" spans="1:13" ht="14.25">
      <c r="A60" s="1530"/>
      <c r="B60" s="677" t="s">
        <v>1190</v>
      </c>
      <c r="C60" s="1178">
        <f t="shared" si="4"/>
        <v>3.8888888888888883E-2</v>
      </c>
      <c r="D60" s="1528">
        <v>4</v>
      </c>
      <c r="E60" s="1538">
        <f>'OR08-分公司理赔'!M25</f>
        <v>4</v>
      </c>
      <c r="F60" s="1139"/>
      <c r="G60" s="1139"/>
      <c r="H60" s="1139"/>
      <c r="I60" s="1139"/>
      <c r="J60" s="1138"/>
      <c r="K60" s="679" t="s">
        <v>1774</v>
      </c>
      <c r="L60" s="679"/>
      <c r="M60" s="682"/>
    </row>
    <row r="61" spans="1:13" ht="14.25">
      <c r="A61" s="1530"/>
      <c r="B61" s="677" t="s">
        <v>1192</v>
      </c>
      <c r="C61" s="1178">
        <f t="shared" si="4"/>
        <v>3.8888888888888883E-2</v>
      </c>
      <c r="D61" s="1528"/>
      <c r="E61" s="1538"/>
      <c r="F61" s="1139"/>
      <c r="G61" s="1139"/>
      <c r="H61" s="1139"/>
      <c r="I61" s="1139"/>
      <c r="J61" s="1138"/>
      <c r="K61" s="679" t="s">
        <v>1774</v>
      </c>
      <c r="L61" s="679"/>
      <c r="M61" s="682"/>
    </row>
    <row r="62" spans="1:13" ht="14.25">
      <c r="A62" s="1530"/>
      <c r="B62" s="677" t="s">
        <v>1193</v>
      </c>
      <c r="C62" s="1178">
        <f t="shared" si="4"/>
        <v>3.8888888888888883E-2</v>
      </c>
      <c r="D62" s="1528"/>
      <c r="E62" s="1538"/>
      <c r="F62" s="1139"/>
      <c r="G62" s="1139"/>
      <c r="H62" s="1139"/>
      <c r="I62" s="1139"/>
      <c r="J62" s="1138"/>
      <c r="K62" s="679" t="s">
        <v>1774</v>
      </c>
      <c r="L62" s="679"/>
      <c r="M62" s="682"/>
    </row>
    <row r="63" spans="1:13" ht="14.25">
      <c r="A63" s="1530"/>
      <c r="B63" s="677" t="s">
        <v>1194</v>
      </c>
      <c r="C63" s="1178">
        <f t="shared" si="4"/>
        <v>3.8888888888888883E-2</v>
      </c>
      <c r="D63" s="1528"/>
      <c r="E63" s="1538"/>
      <c r="F63" s="1139"/>
      <c r="G63" s="1139"/>
      <c r="H63" s="1139"/>
      <c r="I63" s="1139"/>
      <c r="J63" s="1138"/>
      <c r="K63" s="679" t="s">
        <v>1774</v>
      </c>
      <c r="L63" s="679"/>
      <c r="M63" s="682"/>
    </row>
    <row r="64" spans="1:13" ht="14.25">
      <c r="A64" s="1530"/>
      <c r="B64" s="704" t="s">
        <v>2056</v>
      </c>
      <c r="C64" s="1178">
        <f t="shared" si="4"/>
        <v>3.8888888888888883E-2</v>
      </c>
      <c r="D64" s="678">
        <v>20</v>
      </c>
      <c r="E64" s="1131">
        <f>'OR08-分公司理赔'!M29</f>
        <v>20</v>
      </c>
      <c r="F64" s="1139"/>
      <c r="G64" s="1139"/>
      <c r="H64" s="1139"/>
      <c r="I64" s="1139"/>
      <c r="J64" s="1138"/>
      <c r="K64" s="679" t="s">
        <v>1774</v>
      </c>
      <c r="L64" s="679"/>
      <c r="M64" s="682"/>
    </row>
    <row r="65" spans="1:13" ht="14.25">
      <c r="A65" s="1530"/>
      <c r="B65" s="705" t="s">
        <v>2055</v>
      </c>
      <c r="C65" s="1178">
        <f t="shared" si="4"/>
        <v>3.8888888888888883E-2</v>
      </c>
      <c r="D65" s="678">
        <v>12</v>
      </c>
      <c r="E65" s="1131">
        <f>'OR08-分公司理赔'!M31</f>
        <v>12</v>
      </c>
      <c r="F65" s="1139"/>
      <c r="G65" s="1139"/>
      <c r="H65" s="1139"/>
      <c r="I65" s="1139"/>
      <c r="J65" s="1138"/>
      <c r="K65" s="679" t="s">
        <v>1774</v>
      </c>
      <c r="L65" s="679"/>
      <c r="M65" s="682"/>
    </row>
    <row r="66" spans="1:13" ht="14.25">
      <c r="A66" s="1530"/>
      <c r="B66" s="677" t="s">
        <v>1200</v>
      </c>
      <c r="C66" s="1178">
        <f t="shared" si="4"/>
        <v>3.8888888888888883E-2</v>
      </c>
      <c r="D66" s="678">
        <v>0</v>
      </c>
      <c r="E66" s="1142">
        <v>0</v>
      </c>
      <c r="F66" s="1139"/>
      <c r="G66" s="1139"/>
      <c r="H66" s="1139"/>
      <c r="I66" s="1139"/>
      <c r="J66" s="1138"/>
      <c r="K66" s="679" t="s">
        <v>1781</v>
      </c>
      <c r="L66" s="679"/>
      <c r="M66" s="682"/>
    </row>
    <row r="67" spans="1:13" ht="14.25">
      <c r="A67" s="1530"/>
      <c r="B67" s="688" t="s">
        <v>1157</v>
      </c>
      <c r="C67" s="1178">
        <f t="shared" si="4"/>
        <v>3.8888888888888883E-2</v>
      </c>
      <c r="D67" s="678">
        <v>2</v>
      </c>
      <c r="E67" s="1131">
        <f>'OR08-分公司理赔'!M34</f>
        <v>2</v>
      </c>
      <c r="F67" s="1139"/>
      <c r="G67" s="1139"/>
      <c r="H67" s="1139"/>
      <c r="I67" s="1139"/>
      <c r="J67" s="1138"/>
      <c r="K67" s="679" t="s">
        <v>1774</v>
      </c>
      <c r="L67" s="679"/>
      <c r="M67" s="682"/>
    </row>
    <row r="68" spans="1:13" ht="14.25">
      <c r="A68" s="1530"/>
      <c r="B68" s="677" t="s">
        <v>1204</v>
      </c>
      <c r="C68" s="1178">
        <f t="shared" si="4"/>
        <v>3.8888888888888883E-2</v>
      </c>
      <c r="D68" s="678">
        <v>2</v>
      </c>
      <c r="E68" s="1131">
        <f>'OR08-分公司理赔'!M36</f>
        <v>2</v>
      </c>
      <c r="F68" s="1139"/>
      <c r="G68" s="1139"/>
      <c r="H68" s="1139"/>
      <c r="I68" s="1139"/>
      <c r="J68" s="1138"/>
      <c r="K68" s="679" t="s">
        <v>1774</v>
      </c>
      <c r="L68" s="679"/>
      <c r="M68" s="682"/>
    </row>
    <row r="69" spans="1:13" ht="14.25">
      <c r="A69" s="1530"/>
      <c r="B69" s="677" t="s">
        <v>1208</v>
      </c>
      <c r="C69" s="1178">
        <f t="shared" si="4"/>
        <v>3.8888888888888883E-2</v>
      </c>
      <c r="D69" s="678">
        <v>1</v>
      </c>
      <c r="E69" s="1131">
        <f>'OR08-分公司理赔'!M37</f>
        <v>1</v>
      </c>
      <c r="F69" s="1139"/>
      <c r="G69" s="1139"/>
      <c r="H69" s="1139"/>
      <c r="I69" s="1139"/>
      <c r="J69" s="1138"/>
      <c r="K69" s="679" t="s">
        <v>1774</v>
      </c>
      <c r="L69" s="706"/>
      <c r="M69" s="682"/>
    </row>
    <row r="70" spans="1:13" ht="15" thickBot="1">
      <c r="A70" s="1531"/>
      <c r="B70" s="707" t="s">
        <v>1869</v>
      </c>
      <c r="C70" s="1458">
        <f t="shared" si="4"/>
        <v>3.8888888888888883E-2</v>
      </c>
      <c r="D70" s="690">
        <v>10</v>
      </c>
      <c r="E70" s="1148">
        <f>MAX(10-($D$64-$E$64)-($D$65-E65),0)</f>
        <v>10</v>
      </c>
      <c r="F70" s="1151"/>
      <c r="G70" s="1151"/>
      <c r="H70" s="1151"/>
      <c r="I70" s="1151"/>
      <c r="J70" s="1152"/>
      <c r="K70" s="691" t="s">
        <v>1780</v>
      </c>
      <c r="L70" s="1518" t="s">
        <v>2054</v>
      </c>
      <c r="M70" s="1519"/>
    </row>
    <row r="71" spans="1:13" ht="14.25">
      <c r="A71" s="1529" t="s">
        <v>1874</v>
      </c>
      <c r="B71" s="698" t="s">
        <v>131</v>
      </c>
      <c r="C71" s="1456">
        <f t="shared" ref="C71:C79" si="5">40%*(1/18)</f>
        <v>2.2222222222222223E-2</v>
      </c>
      <c r="D71" s="674">
        <v>1</v>
      </c>
      <c r="E71" s="1153"/>
      <c r="F71" s="1154">
        <f>D71</f>
        <v>1</v>
      </c>
      <c r="G71" s="1155">
        <f>'OR13-分公司财务管理'!M22</f>
        <v>0.9</v>
      </c>
      <c r="H71" s="1156">
        <f>D71</f>
        <v>1</v>
      </c>
      <c r="I71" s="1157">
        <f>D71</f>
        <v>1</v>
      </c>
      <c r="J71" s="1158">
        <f>D71</f>
        <v>1</v>
      </c>
      <c r="K71" s="675" t="s">
        <v>1774</v>
      </c>
      <c r="L71" s="1534" t="s">
        <v>2031</v>
      </c>
      <c r="M71" s="1535"/>
    </row>
    <row r="72" spans="1:13" ht="14.25">
      <c r="A72" s="1530"/>
      <c r="B72" s="688" t="s">
        <v>1871</v>
      </c>
      <c r="C72" s="1178">
        <f t="shared" si="5"/>
        <v>2.2222222222222223E-2</v>
      </c>
      <c r="D72" s="678">
        <v>3</v>
      </c>
      <c r="E72" s="1159"/>
      <c r="F72" s="1132">
        <f>'OR13-分公司财务管理'!M23</f>
        <v>3</v>
      </c>
      <c r="G72" s="1133">
        <f>'OR13-分公司财务管理'!M23</f>
        <v>3</v>
      </c>
      <c r="H72" s="1134">
        <f>'OR13-分公司财务管理'!M23</f>
        <v>3</v>
      </c>
      <c r="I72" s="1135">
        <f>'OR13-分公司财务管理'!M23</f>
        <v>3</v>
      </c>
      <c r="J72" s="1136">
        <f>'OR13-分公司财务管理'!M23</f>
        <v>3</v>
      </c>
      <c r="K72" s="679" t="s">
        <v>1774</v>
      </c>
      <c r="L72" s="679"/>
      <c r="M72" s="682"/>
    </row>
    <row r="73" spans="1:13" ht="14.25">
      <c r="A73" s="1530"/>
      <c r="B73" s="688" t="s">
        <v>1248</v>
      </c>
      <c r="C73" s="1178">
        <f t="shared" si="5"/>
        <v>2.2222222222222223E-2</v>
      </c>
      <c r="D73" s="678">
        <v>3</v>
      </c>
      <c r="E73" s="1159"/>
      <c r="F73" s="1132">
        <f>'OR13-分公司财务管理'!M28</f>
        <v>3</v>
      </c>
      <c r="G73" s="1133">
        <f>'OR13-分公司财务管理'!M28</f>
        <v>3</v>
      </c>
      <c r="H73" s="1134">
        <f>'OR13-分公司财务管理'!M28</f>
        <v>3</v>
      </c>
      <c r="I73" s="1135">
        <f>'OR13-分公司财务管理'!M28</f>
        <v>3</v>
      </c>
      <c r="J73" s="1136">
        <f>'OR13-分公司财务管理'!M28</f>
        <v>3</v>
      </c>
      <c r="K73" s="679" t="s">
        <v>1774</v>
      </c>
      <c r="L73" s="679"/>
      <c r="M73" s="682"/>
    </row>
    <row r="74" spans="1:13" ht="14.25">
      <c r="A74" s="1530"/>
      <c r="B74" s="607" t="s">
        <v>1828</v>
      </c>
      <c r="C74" s="1178">
        <f t="shared" si="5"/>
        <v>2.2222222222222223E-2</v>
      </c>
      <c r="D74" s="678">
        <v>3</v>
      </c>
      <c r="E74" s="1159"/>
      <c r="F74" s="1139"/>
      <c r="G74" s="1133">
        <f>'OR13-分公司财务管理'!M32</f>
        <v>2.7</v>
      </c>
      <c r="H74" s="1139"/>
      <c r="I74" s="1139"/>
      <c r="J74" s="1138"/>
      <c r="K74" s="679" t="s">
        <v>1774</v>
      </c>
      <c r="L74" s="679"/>
      <c r="M74" s="682"/>
    </row>
    <row r="75" spans="1:13" ht="14.25">
      <c r="A75" s="1530"/>
      <c r="B75" s="404" t="s">
        <v>2002</v>
      </c>
      <c r="C75" s="1178"/>
      <c r="D75" s="678"/>
      <c r="E75" s="1159"/>
      <c r="F75" s="1160">
        <v>0</v>
      </c>
      <c r="G75" s="1160">
        <v>0</v>
      </c>
      <c r="H75" s="1160">
        <v>0</v>
      </c>
      <c r="I75" s="1160">
        <v>0</v>
      </c>
      <c r="J75" s="1463">
        <v>0</v>
      </c>
      <c r="K75" s="679" t="s">
        <v>1778</v>
      </c>
      <c r="L75" s="1520" t="s">
        <v>2003</v>
      </c>
      <c r="M75" s="1521"/>
    </row>
    <row r="76" spans="1:13" ht="14.25">
      <c r="A76" s="1530"/>
      <c r="B76" s="404" t="s">
        <v>2406</v>
      </c>
      <c r="C76" s="1178"/>
      <c r="D76" s="678"/>
      <c r="E76" s="1159"/>
      <c r="F76" s="1160">
        <v>0</v>
      </c>
      <c r="G76" s="1160">
        <v>0</v>
      </c>
      <c r="H76" s="1160">
        <v>0</v>
      </c>
      <c r="I76" s="1160">
        <v>0</v>
      </c>
      <c r="J76" s="1463">
        <v>0</v>
      </c>
      <c r="K76" s="679" t="s">
        <v>1778</v>
      </c>
      <c r="L76" s="1520" t="s">
        <v>2004</v>
      </c>
      <c r="M76" s="1521"/>
    </row>
    <row r="77" spans="1:13" ht="15" thickBot="1">
      <c r="A77" s="1530"/>
      <c r="B77" s="404"/>
      <c r="C77" s="1178">
        <f t="shared" si="5"/>
        <v>2.2222222222222223E-2</v>
      </c>
      <c r="D77" s="678">
        <v>12</v>
      </c>
      <c r="E77" s="1159"/>
      <c r="F77" s="1132">
        <f>12-0.5*F75/10-3*F76/10</f>
        <v>12</v>
      </c>
      <c r="G77" s="1133">
        <f>12-0.5*G75/10-3*G76/10</f>
        <v>12</v>
      </c>
      <c r="H77" s="1134">
        <f>12-0.5*H75/10-3*H76/10</f>
        <v>12</v>
      </c>
      <c r="I77" s="1135">
        <f>12-0.5*I75/10-3*I76/10</f>
        <v>12</v>
      </c>
      <c r="J77" s="1136">
        <f>12-0.5*J75/10-3*J76/10</f>
        <v>12</v>
      </c>
      <c r="K77" s="679" t="s">
        <v>1774</v>
      </c>
      <c r="L77" s="679"/>
      <c r="M77" s="682"/>
    </row>
    <row r="78" spans="1:13" ht="14.25">
      <c r="A78" s="1530"/>
      <c r="B78" s="688" t="s">
        <v>1872</v>
      </c>
      <c r="C78" s="1178">
        <f t="shared" si="5"/>
        <v>2.2222222222222223E-2</v>
      </c>
      <c r="D78" s="678">
        <v>2</v>
      </c>
      <c r="E78" s="1159"/>
      <c r="F78" s="1139"/>
      <c r="G78" s="1133">
        <v>2</v>
      </c>
      <c r="H78" s="1134">
        <f>'OR13-分公司财务管理'!M40</f>
        <v>1.8</v>
      </c>
      <c r="I78" s="1139"/>
      <c r="J78" s="1138"/>
      <c r="K78" s="679" t="s">
        <v>1774</v>
      </c>
      <c r="L78" s="1534" t="s">
        <v>2031</v>
      </c>
      <c r="M78" s="1535"/>
    </row>
    <row r="79" spans="1:13" ht="14.25">
      <c r="A79" s="1530"/>
      <c r="B79" s="688" t="s">
        <v>1260</v>
      </c>
      <c r="C79" s="1178">
        <f t="shared" si="5"/>
        <v>2.2222222222222223E-2</v>
      </c>
      <c r="D79" s="678">
        <v>2</v>
      </c>
      <c r="E79" s="1159"/>
      <c r="F79" s="1139"/>
      <c r="G79" s="1133">
        <f>'OR13-分公司财务管理'!M43</f>
        <v>2</v>
      </c>
      <c r="H79" s="1134">
        <f>'OR13-分公司财务管理'!M43</f>
        <v>2</v>
      </c>
      <c r="I79" s="1139"/>
      <c r="J79" s="1138"/>
      <c r="K79" s="679" t="s">
        <v>1774</v>
      </c>
      <c r="L79" s="679"/>
      <c r="M79" s="682"/>
    </row>
    <row r="80" spans="1:13" ht="15" thickBot="1">
      <c r="A80" s="1531"/>
      <c r="B80" s="708" t="s">
        <v>1873</v>
      </c>
      <c r="C80" s="1458">
        <f>40%*(1/18)</f>
        <v>2.2222222222222223E-2</v>
      </c>
      <c r="D80" s="690">
        <v>10</v>
      </c>
      <c r="E80" s="1161"/>
      <c r="F80" s="1162">
        <f>MAX($D$80-$D$77+F77,0)</f>
        <v>10</v>
      </c>
      <c r="G80" s="1162">
        <f>MAX($D$80-$D$77+G77,0)</f>
        <v>10</v>
      </c>
      <c r="H80" s="1162">
        <f>MAX($D$80-$D$77+H77,0)</f>
        <v>10</v>
      </c>
      <c r="I80" s="1162">
        <f>MAX($D$80-$D$77+I77,0)</f>
        <v>10</v>
      </c>
      <c r="J80" s="1162">
        <f>MAX($D$80-$D$77+J77,0)</f>
        <v>10</v>
      </c>
      <c r="K80" s="691" t="s">
        <v>1780</v>
      </c>
      <c r="L80" s="1518" t="s">
        <v>2054</v>
      </c>
      <c r="M80" s="1519"/>
    </row>
    <row r="81" spans="1:13" ht="43.5" thickBot="1">
      <c r="A81" s="709" t="s">
        <v>1833</v>
      </c>
      <c r="B81" s="710" t="s">
        <v>1875</v>
      </c>
      <c r="C81" s="1461">
        <f>60%*(1/18)</f>
        <v>3.3333333333333333E-2</v>
      </c>
      <c r="D81" s="711">
        <v>3</v>
      </c>
      <c r="E81" s="1163"/>
      <c r="F81" s="1164"/>
      <c r="G81" s="1165">
        <f>'OR12-财务管理'!P25</f>
        <v>0</v>
      </c>
      <c r="H81" s="1166">
        <f>'OR12-财务管理'!P25</f>
        <v>0</v>
      </c>
      <c r="I81" s="1164"/>
      <c r="J81" s="1167"/>
      <c r="K81" s="712" t="s">
        <v>1774</v>
      </c>
      <c r="L81" s="712"/>
      <c r="M81" s="713"/>
    </row>
    <row r="82" spans="1:13" ht="15">
      <c r="B82" s="665"/>
      <c r="D82" s="672" t="s">
        <v>1392</v>
      </c>
      <c r="E82" s="1168">
        <f>C3*D3+C8*D8+SUMPRODUCT(C16:C18,D16:D18)+C21*D21+SUMPRODUCT(C26:C28,D26:D28)+C29*D29+C31*D31+SUMPRODUCT(C34:C39,D34:D39)+SUMPRODUCT(C41:C70,D41:D70)</f>
        <v>6.716666666666665</v>
      </c>
      <c r="F82" s="1168">
        <f>C2*D2+SUMPRODUCT(C4:C15,D4:D15)+C17*D17+C18*D18+SUMPRODUCT(C20:C23,D20:D23)+C25*D25+SUMPRODUCT(C27:C30,D27:D30)+C32*D32+C33*D33+SUMPRODUCT(C37:C41,D37:D41)+SUMPRODUCT(C71:C73,D71:D73)+C77*D77+C80*D80</f>
        <v>3.9611111111111108</v>
      </c>
      <c r="G82" s="1168">
        <f>SUMPRODUCT(C2:C15,D2:D15)+SUMPRODUCT(C17:C21,D17:D21)+SUMPRODUCT(C23:C25,D23:D25)+SUMPRODUCT(C27:C29,D27:D29)+SUMPRODUCT(C32:C33,D32:D33)+SUMPRODUCT(C37:C41,D37:D41)+SUMPRODUCT(C71:C81,D71:D81)</f>
        <v>4.3555555555555543</v>
      </c>
      <c r="H82" s="1168">
        <f>C2*D2+SUMPRODUCT(C4:C15,D4:D15)+SUMPRODUCT(C17:C21,D17:D21)+SUMPRODUCT(C23:C25,D23:D25)+SUMPRODUCT(C27:C30,D27:D30)+C32*D32+C33*D33+SUMPRODUCT(C37:C41,D37:D41)+SUMPRODUCT(C71:C73,D71:D73)+SUMPRODUCT(C75:C81,D75:D81)</f>
        <v>4.3055555555555554</v>
      </c>
      <c r="I82" s="1168">
        <f>C2*D2+SUMPRODUCT(C4:C15,D4:D15)+SUMPRODUCT(C19:C21,D19:D21)+SUMPRODUCT(C23:C25,D23:D25)+SUMPRODUCT(C27:C30,D27:D30)+C32*D32+C33*D33+SUMPRODUCT(C37:C41,D37:D41)+SUMPRODUCT(C71:C73,D71:D73)+C77*D77+C80*D80+C17*D17+C18*D18</f>
        <v>4.1166666666666663</v>
      </c>
      <c r="J82" s="1168">
        <f>C2*D2+SUMPRODUCT(C4:C15,D4:D15)+SUMPRODUCT(C17:C18,D17:D18)+SUMPRODUCT(C20:C21,D20:D21)+C23*D23+C25*D25+SUMPRODUCT(C27:C30,D27:D30)+C32*D32+C33*D33+SUMPRODUCT(C37:C41,D37:D41)+SUMPRODUCT(C71:C73,D71:D73)+C77*D77+C80*D80</f>
        <v>3.8833333333333333</v>
      </c>
    </row>
    <row r="83" spans="1:13" ht="15">
      <c r="A83" s="714"/>
      <c r="B83" s="665"/>
      <c r="D83" s="672" t="s">
        <v>1836</v>
      </c>
      <c r="E83" s="1168">
        <f t="shared" ref="E83:J83" si="6">SUMPRODUCT($C$2:$C$81,E2:E81)</f>
        <v>6.505385304659498</v>
      </c>
      <c r="F83" s="1168">
        <f t="shared" si="6"/>
        <v>3.5273063565928839</v>
      </c>
      <c r="G83" s="1168">
        <f t="shared" si="6"/>
        <v>4.1163950456323333</v>
      </c>
      <c r="H83" s="1168">
        <f t="shared" si="6"/>
        <v>3.9330396289043854</v>
      </c>
      <c r="I83" s="1168">
        <f t="shared" si="6"/>
        <v>4.0312910329828933</v>
      </c>
      <c r="J83" s="1168">
        <f t="shared" si="6"/>
        <v>3.7896047686163969</v>
      </c>
    </row>
    <row r="84" spans="1:13" ht="15">
      <c r="A84" s="714"/>
      <c r="B84" s="665"/>
      <c r="D84" s="672" t="s">
        <v>1386</v>
      </c>
      <c r="E84" s="1168">
        <f>E83/E82*100</f>
        <v>96.854371781531015</v>
      </c>
      <c r="F84" s="1168">
        <f t="shared" ref="F84:J84" si="7">F83/F82*100</f>
        <v>89.048407319315444</v>
      </c>
      <c r="G84" s="1168">
        <f t="shared" si="7"/>
        <v>94.509069925232168</v>
      </c>
      <c r="H84" s="1168">
        <f t="shared" si="7"/>
        <v>91.348017187456705</v>
      </c>
      <c r="I84" s="1168">
        <f t="shared" si="7"/>
        <v>97.926097967195801</v>
      </c>
      <c r="J84" s="1168">
        <f t="shared" si="7"/>
        <v>97.586388891409356</v>
      </c>
    </row>
    <row r="85" spans="1:13" ht="14.25">
      <c r="A85" s="714"/>
      <c r="B85" s="715" t="s">
        <v>1805</v>
      </c>
    </row>
    <row r="86" spans="1:13" ht="14.25">
      <c r="A86" s="714"/>
      <c r="B86" s="665"/>
      <c r="G86" s="1170"/>
      <c r="H86" s="1170"/>
      <c r="I86" s="1170"/>
      <c r="J86" s="1170"/>
    </row>
    <row r="87" spans="1:13" ht="15">
      <c r="A87" s="714"/>
      <c r="B87" s="665"/>
      <c r="C87" s="1462" t="s">
        <v>1401</v>
      </c>
      <c r="D87" s="794">
        <f>VALUE($I$84)</f>
        <v>97.926097967195801</v>
      </c>
      <c r="G87" s="1170"/>
      <c r="H87" s="1170"/>
      <c r="I87" s="1170"/>
      <c r="J87" s="1170"/>
    </row>
    <row r="88" spans="1:13" ht="15">
      <c r="A88" s="714"/>
      <c r="B88" s="665"/>
      <c r="C88" s="1462" t="s">
        <v>1402</v>
      </c>
      <c r="D88" s="794">
        <f>VALUE($J$84)</f>
        <v>97.586388891409356</v>
      </c>
      <c r="G88" s="1170"/>
      <c r="H88" s="1170"/>
      <c r="I88" s="1170"/>
      <c r="J88" s="1170"/>
    </row>
    <row r="89" spans="1:13" ht="15">
      <c r="A89" s="714"/>
      <c r="B89" s="665"/>
      <c r="C89" s="1462" t="s">
        <v>1399</v>
      </c>
      <c r="D89" s="794">
        <f>VALUE($G$84)</f>
        <v>94.509069925232168</v>
      </c>
    </row>
    <row r="90" spans="1:13" ht="15">
      <c r="A90" s="665"/>
      <c r="B90" s="665"/>
      <c r="C90" s="1462" t="s">
        <v>1397</v>
      </c>
      <c r="D90" s="794">
        <f>VALUE($E$84)</f>
        <v>96.854371781531015</v>
      </c>
    </row>
    <row r="91" spans="1:13" ht="15">
      <c r="A91" s="665"/>
      <c r="C91" s="1462" t="s">
        <v>1400</v>
      </c>
      <c r="D91" s="794">
        <f>VALUE($H$84)</f>
        <v>91.348017187456705</v>
      </c>
    </row>
    <row r="92" spans="1:13" ht="15">
      <c r="C92" s="1462" t="s">
        <v>1398</v>
      </c>
      <c r="D92" s="794">
        <f>VALUE($F$84)</f>
        <v>89.048407319315444</v>
      </c>
    </row>
    <row r="93" spans="1:13">
      <c r="A93" s="622" t="s">
        <v>1968</v>
      </c>
    </row>
    <row r="94" spans="1:13">
      <c r="A94" s="622" t="s">
        <v>1967</v>
      </c>
    </row>
    <row r="95" spans="1:13">
      <c r="A95" s="622" t="s">
        <v>1966</v>
      </c>
    </row>
    <row r="96" spans="1:13">
      <c r="A96" s="622" t="s">
        <v>1965</v>
      </c>
    </row>
  </sheetData>
  <sortState ref="C87:D92">
    <sortCondition descending="1" ref="D87"/>
  </sortState>
  <dataConsolidate/>
  <mergeCells count="25">
    <mergeCell ref="L1:M1"/>
    <mergeCell ref="L17:M17"/>
    <mergeCell ref="L27:M27"/>
    <mergeCell ref="L28:M28"/>
    <mergeCell ref="E60:E63"/>
    <mergeCell ref="L30:M30"/>
    <mergeCell ref="L7:M7"/>
    <mergeCell ref="L32:M32"/>
    <mergeCell ref="L3:M3"/>
    <mergeCell ref="L70:M70"/>
    <mergeCell ref="L75:M75"/>
    <mergeCell ref="L76:M76"/>
    <mergeCell ref="A2:A16"/>
    <mergeCell ref="A17:A41"/>
    <mergeCell ref="D60:D63"/>
    <mergeCell ref="A42:A51"/>
    <mergeCell ref="A52:A70"/>
    <mergeCell ref="B5:B6"/>
    <mergeCell ref="B7:B8"/>
    <mergeCell ref="A71:A80"/>
    <mergeCell ref="B38:B39"/>
    <mergeCell ref="L71:M71"/>
    <mergeCell ref="L41:M41"/>
    <mergeCell ref="L80:M80"/>
    <mergeCell ref="L78:M78"/>
  </mergeCells>
  <phoneticPr fontId="3" type="noConversion"/>
  <conditionalFormatting sqref="F2:J2">
    <cfRule type="cellIs" dxfId="391" priority="79" operator="lessThan">
      <formula>$D$2</formula>
    </cfRule>
  </conditionalFormatting>
  <conditionalFormatting sqref="F4:J4">
    <cfRule type="cellIs" dxfId="390" priority="78" operator="lessThan">
      <formula>$D$4</formula>
    </cfRule>
  </conditionalFormatting>
  <conditionalFormatting sqref="F75:J76 E38:J38 F5:J5">
    <cfRule type="cellIs" dxfId="389" priority="77" operator="greaterThan">
      <formula>0</formula>
    </cfRule>
  </conditionalFormatting>
  <conditionalFormatting sqref="F10:J10">
    <cfRule type="cellIs" dxfId="388" priority="73" operator="lessThan">
      <formula>$D$10</formula>
    </cfRule>
    <cfRule type="cellIs" dxfId="387" priority="76" operator="lessThan">
      <formula>$D$10</formula>
    </cfRule>
  </conditionalFormatting>
  <conditionalFormatting sqref="F9:J9">
    <cfRule type="cellIs" dxfId="386" priority="75" operator="lessThan">
      <formula>$D$9</formula>
    </cfRule>
  </conditionalFormatting>
  <conditionalFormatting sqref="F6:G6">
    <cfRule type="cellIs" dxfId="385" priority="74" operator="lessThan">
      <formula>$D$6</formula>
    </cfRule>
  </conditionalFormatting>
  <conditionalFormatting sqref="F11:J15">
    <cfRule type="cellIs" dxfId="384" priority="72" operator="lessThan">
      <formula>D11</formula>
    </cfRule>
  </conditionalFormatting>
  <conditionalFormatting sqref="F11:J11">
    <cfRule type="cellIs" dxfId="383" priority="71" operator="lessThan">
      <formula>$D$11</formula>
    </cfRule>
  </conditionalFormatting>
  <conditionalFormatting sqref="F12:J12">
    <cfRule type="cellIs" dxfId="382" priority="70" operator="lessThan">
      <formula>$D$12</formula>
    </cfRule>
  </conditionalFormatting>
  <conditionalFormatting sqref="F13:J13">
    <cfRule type="cellIs" dxfId="381" priority="69" operator="lessThan">
      <formula>$D$13</formula>
    </cfRule>
  </conditionalFormatting>
  <conditionalFormatting sqref="F14:J14">
    <cfRule type="cellIs" dxfId="380" priority="68" operator="lessThan">
      <formula>$D$14</formula>
    </cfRule>
  </conditionalFormatting>
  <conditionalFormatting sqref="F15:J15">
    <cfRule type="cellIs" dxfId="379" priority="67" operator="lessThan">
      <formula>$D$15</formula>
    </cfRule>
  </conditionalFormatting>
  <conditionalFormatting sqref="E16">
    <cfRule type="cellIs" dxfId="378" priority="66" operator="lessThan">
      <formula>$D$16</formula>
    </cfRule>
  </conditionalFormatting>
  <conditionalFormatting sqref="E17:J17">
    <cfRule type="cellIs" dxfId="377" priority="65" operator="lessThan">
      <formula>$D$17</formula>
    </cfRule>
  </conditionalFormatting>
  <conditionalFormatting sqref="E18:H18 J18">
    <cfRule type="cellIs" dxfId="376" priority="64" operator="lessThan">
      <formula>$D$18</formula>
    </cfRule>
  </conditionalFormatting>
  <conditionalFormatting sqref="F23:J23">
    <cfRule type="cellIs" dxfId="375" priority="63" operator="lessThan">
      <formula>$D$23</formula>
    </cfRule>
  </conditionalFormatting>
  <conditionalFormatting sqref="F25:J25">
    <cfRule type="cellIs" dxfId="374" priority="62" operator="lessThan">
      <formula>$D$25</formula>
    </cfRule>
  </conditionalFormatting>
  <conditionalFormatting sqref="E26">
    <cfRule type="cellIs" dxfId="373" priority="59" operator="lessThan">
      <formula>$D$26</formula>
    </cfRule>
  </conditionalFormatting>
  <conditionalFormatting sqref="E29:J29">
    <cfRule type="cellIs" dxfId="372" priority="57" operator="lessThan">
      <formula>$D$29</formula>
    </cfRule>
  </conditionalFormatting>
  <conditionalFormatting sqref="E31">
    <cfRule type="cellIs" dxfId="371" priority="56" operator="lessThan">
      <formula>$D$31</formula>
    </cfRule>
  </conditionalFormatting>
  <conditionalFormatting sqref="F33:J33">
    <cfRule type="cellIs" dxfId="370" priority="55" operator="lessThan">
      <formula>$D$33</formula>
    </cfRule>
  </conditionalFormatting>
  <conditionalFormatting sqref="E34">
    <cfRule type="cellIs" dxfId="369" priority="54" operator="lessThan">
      <formula>$D$34</formula>
    </cfRule>
  </conditionalFormatting>
  <conditionalFormatting sqref="E35">
    <cfRule type="cellIs" dxfId="368" priority="53" operator="lessThan">
      <formula>$D$35</formula>
    </cfRule>
  </conditionalFormatting>
  <conditionalFormatting sqref="E36">
    <cfRule type="cellIs" dxfId="367" priority="51" operator="lessThan">
      <formula>$D$36</formula>
    </cfRule>
  </conditionalFormatting>
  <conditionalFormatting sqref="E39:J39">
    <cfRule type="cellIs" dxfId="366" priority="49" operator="lessThan">
      <formula>$D$39</formula>
    </cfRule>
  </conditionalFormatting>
  <conditionalFormatting sqref="F40:J40">
    <cfRule type="cellIs" dxfId="365" priority="48" operator="lessThan">
      <formula>$D$40</formula>
    </cfRule>
  </conditionalFormatting>
  <conditionalFormatting sqref="E42:E70">
    <cfRule type="cellIs" dxfId="364" priority="46" operator="lessThan">
      <formula>$D42</formula>
    </cfRule>
  </conditionalFormatting>
  <conditionalFormatting sqref="F71:J73">
    <cfRule type="cellIs" dxfId="363" priority="43" operator="lessThan">
      <formula>$D71</formula>
    </cfRule>
  </conditionalFormatting>
  <conditionalFormatting sqref="G74">
    <cfRule type="cellIs" dxfId="362" priority="42" operator="lessThan">
      <formula>$D$74</formula>
    </cfRule>
  </conditionalFormatting>
  <conditionalFormatting sqref="F77">
    <cfRule type="cellIs" dxfId="361" priority="40" operator="lessThan">
      <formula>$D$77</formula>
    </cfRule>
  </conditionalFormatting>
  <conditionalFormatting sqref="G78:H78">
    <cfRule type="cellIs" dxfId="360" priority="39" operator="lessThan">
      <formula>$D$78</formula>
    </cfRule>
  </conditionalFormatting>
  <conditionalFormatting sqref="G79:H79">
    <cfRule type="cellIs" dxfId="359" priority="38" operator="lessThan">
      <formula>2</formula>
    </cfRule>
  </conditionalFormatting>
  <conditionalFormatting sqref="F80:J80">
    <cfRule type="cellIs" dxfId="358" priority="37" operator="lessThan">
      <formula>$D$80</formula>
    </cfRule>
  </conditionalFormatting>
  <conditionalFormatting sqref="F30 H30:J30">
    <cfRule type="cellIs" dxfId="357" priority="36" operator="lessThan">
      <formula>$D$30</formula>
    </cfRule>
  </conditionalFormatting>
  <conditionalFormatting sqref="F22">
    <cfRule type="cellIs" dxfId="356" priority="35" operator="lessThan">
      <formula>$D$22</formula>
    </cfRule>
  </conditionalFormatting>
  <conditionalFormatting sqref="H27:J27 E27:F27">
    <cfRule type="cellIs" dxfId="355" priority="33" operator="lessThan">
      <formula>$D$27</formula>
    </cfRule>
  </conditionalFormatting>
  <conditionalFormatting sqref="E28:F28 H28:J28 G27:G28">
    <cfRule type="cellIs" dxfId="354" priority="31" operator="lessThan">
      <formula>$D$28</formula>
    </cfRule>
  </conditionalFormatting>
  <conditionalFormatting sqref="H75">
    <cfRule type="cellIs" dxfId="353" priority="26" operator="lessThan">
      <formula>$D75</formula>
    </cfRule>
  </conditionalFormatting>
  <conditionalFormatting sqref="H77">
    <cfRule type="cellIs" dxfId="352" priority="24" operator="lessThan">
      <formula>$D77</formula>
    </cfRule>
  </conditionalFormatting>
  <conditionalFormatting sqref="E8:J8">
    <cfRule type="aboveAverage" dxfId="351" priority="21"/>
  </conditionalFormatting>
  <conditionalFormatting sqref="E7:J7">
    <cfRule type="cellIs" dxfId="350" priority="17" operator="lessThan">
      <formula>1</formula>
    </cfRule>
  </conditionalFormatting>
  <conditionalFormatting sqref="F32:J32">
    <cfRule type="cellIs" dxfId="349" priority="16" operator="lessThan">
      <formula>3</formula>
    </cfRule>
  </conditionalFormatting>
  <conditionalFormatting sqref="E41:J41">
    <cfRule type="cellIs" dxfId="348" priority="15" operator="lessThan">
      <formula>10</formula>
    </cfRule>
  </conditionalFormatting>
  <conditionalFormatting sqref="E70">
    <cfRule type="cellIs" dxfId="347" priority="14" operator="lessThan">
      <formula>$D70</formula>
    </cfRule>
  </conditionalFormatting>
  <conditionalFormatting sqref="G32">
    <cfRule type="cellIs" dxfId="346" priority="13" operator="lessThan">
      <formula>3</formula>
    </cfRule>
  </conditionalFormatting>
  <conditionalFormatting sqref="F32">
    <cfRule type="cellIs" dxfId="345" priority="12" operator="lessThan">
      <formula>$D$30</formula>
    </cfRule>
  </conditionalFormatting>
  <conditionalFormatting sqref="G32:J32">
    <cfRule type="cellIs" dxfId="344" priority="11" operator="lessThan">
      <formula>$D$30</formula>
    </cfRule>
  </conditionalFormatting>
  <conditionalFormatting sqref="F41">
    <cfRule type="cellIs" dxfId="343" priority="10" operator="lessThan">
      <formula>3</formula>
    </cfRule>
  </conditionalFormatting>
  <conditionalFormatting sqref="F41">
    <cfRule type="cellIs" dxfId="342" priority="9" operator="lessThan">
      <formula>$D$30</formula>
    </cfRule>
  </conditionalFormatting>
  <conditionalFormatting sqref="F41">
    <cfRule type="cellIs" dxfId="341" priority="8" operator="lessThan">
      <formula>$D41</formula>
    </cfRule>
  </conditionalFormatting>
  <conditionalFormatting sqref="I18">
    <cfRule type="cellIs" dxfId="340" priority="7" operator="lessThan">
      <formula>$D$18</formula>
    </cfRule>
  </conditionalFormatting>
  <conditionalFormatting sqref="E7:F7">
    <cfRule type="cellIs" dxfId="339" priority="6" operator="lessThan">
      <formula>$D$4</formula>
    </cfRule>
  </conditionalFormatting>
  <conditionalFormatting sqref="H7:J7">
    <cfRule type="cellIs" dxfId="338" priority="5" operator="lessThan">
      <formula>$D$4</formula>
    </cfRule>
  </conditionalFormatting>
  <conditionalFormatting sqref="H75">
    <cfRule type="cellIs" dxfId="337" priority="4" operator="lessThan">
      <formula>$D75</formula>
    </cfRule>
  </conditionalFormatting>
  <hyperlinks>
    <hyperlink ref="A93" location="绩效总分!A1" display="绩效总分"/>
    <hyperlink ref="A94" location="'总公司绩效-I'!A1" display="总公司绩效-I"/>
    <hyperlink ref="A95" location="分公司绩效!A1" display="分公司绩效"/>
    <hyperlink ref="A96" location="目录!A1" display="目录"/>
  </hyperlinks>
  <pageMargins left="0.7" right="0.7" top="0.75" bottom="0.75" header="0.3" footer="0.3"/>
  <pageSetup paperSize="9" orientation="portrait" r:id="rId1"/>
  <ignoredErrors>
    <ignoredError sqref="G24:I24" formula="1"/>
  </ignoredError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L142"/>
  <sheetViews>
    <sheetView workbookViewId="0">
      <pane xSplit="4" ySplit="1" topLeftCell="E113" activePane="bottomRight" state="frozenSplit"/>
      <selection pane="topRight" activeCell="E1" sqref="E1"/>
      <selection pane="bottomLeft" activeCell="A19" sqref="A19"/>
      <selection pane="bottomRight" activeCell="H138" sqref="H138"/>
    </sheetView>
  </sheetViews>
  <sheetFormatPr defaultRowHeight="13.5"/>
  <cols>
    <col min="1" max="1" width="7.625" style="720" customWidth="1"/>
    <col min="2" max="2" width="47" style="720" customWidth="1"/>
    <col min="3" max="3" width="10.375" style="312" customWidth="1"/>
    <col min="4" max="4" width="9.25" style="720" bestFit="1" customWidth="1"/>
    <col min="5" max="5" width="9.625" style="720" bestFit="1" customWidth="1"/>
    <col min="6" max="6" width="8.375" style="720" bestFit="1" customWidth="1"/>
    <col min="7" max="7" width="9.75" style="720" customWidth="1"/>
    <col min="8" max="8" width="10.25" style="720" customWidth="1"/>
    <col min="9" max="9" width="8.5" style="720" bestFit="1" customWidth="1"/>
    <col min="10" max="10" width="16.75" style="720" customWidth="1"/>
    <col min="11" max="11" width="11.25" style="720" bestFit="1" customWidth="1"/>
    <col min="12" max="16384" width="9" style="720"/>
  </cols>
  <sheetData>
    <row r="1" spans="1:12" ht="15.75" thickBot="1">
      <c r="A1" s="717" t="s">
        <v>1815</v>
      </c>
      <c r="B1" s="718" t="s">
        <v>1810</v>
      </c>
      <c r="C1" s="1451" t="s">
        <v>1816</v>
      </c>
      <c r="D1" s="718" t="s">
        <v>485</v>
      </c>
      <c r="E1" s="719" t="s">
        <v>1079</v>
      </c>
      <c r="F1" s="719" t="s">
        <v>1817</v>
      </c>
      <c r="G1" s="719" t="s">
        <v>1281</v>
      </c>
      <c r="H1" s="719" t="s">
        <v>1396</v>
      </c>
      <c r="I1" s="719" t="s">
        <v>1280</v>
      </c>
      <c r="J1" s="718" t="s">
        <v>1777</v>
      </c>
    </row>
    <row r="2" spans="1:12" ht="16.5" customHeight="1">
      <c r="A2" s="1556" t="s">
        <v>1824</v>
      </c>
      <c r="B2" s="721" t="s">
        <v>7</v>
      </c>
      <c r="C2" s="1571">
        <v>1.6666666666666666E-2</v>
      </c>
      <c r="D2" s="1568">
        <v>5</v>
      </c>
      <c r="E2" s="1548"/>
      <c r="F2" s="1548"/>
      <c r="G2" s="1548"/>
      <c r="H2" s="1548"/>
      <c r="I2" s="1565">
        <f>'OR02-销售承保'!R31</f>
        <v>5</v>
      </c>
      <c r="J2" s="722" t="s">
        <v>1774</v>
      </c>
      <c r="K2" s="723" t="s">
        <v>1819</v>
      </c>
      <c r="L2" s="724"/>
    </row>
    <row r="3" spans="1:12" ht="16.5" customHeight="1">
      <c r="A3" s="1552"/>
      <c r="B3" s="725" t="s">
        <v>10</v>
      </c>
      <c r="C3" s="1572"/>
      <c r="D3" s="1569"/>
      <c r="E3" s="1549"/>
      <c r="F3" s="1549"/>
      <c r="G3" s="1549"/>
      <c r="H3" s="1549"/>
      <c r="I3" s="1566"/>
      <c r="J3" s="726" t="s">
        <v>1774</v>
      </c>
      <c r="K3" s="723" t="s">
        <v>1820</v>
      </c>
      <c r="L3" s="727"/>
    </row>
    <row r="4" spans="1:12" ht="16.5" customHeight="1">
      <c r="A4" s="1552"/>
      <c r="B4" s="725" t="s">
        <v>13</v>
      </c>
      <c r="C4" s="1573">
        <v>1.6666666666666666E-2</v>
      </c>
      <c r="D4" s="1570">
        <v>5</v>
      </c>
      <c r="E4" s="1550"/>
      <c r="F4" s="1550"/>
      <c r="G4" s="1550"/>
      <c r="H4" s="1550"/>
      <c r="I4" s="1567">
        <f>'OR02-销售承保'!R33</f>
        <v>5</v>
      </c>
      <c r="J4" s="726" t="s">
        <v>1774</v>
      </c>
      <c r="K4" s="723" t="s">
        <v>1811</v>
      </c>
      <c r="L4" s="728"/>
    </row>
    <row r="5" spans="1:12" ht="16.5" customHeight="1">
      <c r="A5" s="1552"/>
      <c r="B5" s="725" t="s">
        <v>17</v>
      </c>
      <c r="C5" s="1572"/>
      <c r="D5" s="1569"/>
      <c r="E5" s="1549"/>
      <c r="F5" s="1549"/>
      <c r="G5" s="1549"/>
      <c r="H5" s="1549"/>
      <c r="I5" s="1566"/>
      <c r="J5" s="726" t="s">
        <v>1774</v>
      </c>
      <c r="K5" s="723" t="s">
        <v>1812</v>
      </c>
      <c r="L5" s="729"/>
    </row>
    <row r="6" spans="1:12" ht="17.25" thickBot="1">
      <c r="A6" s="1557"/>
      <c r="B6" s="730" t="s">
        <v>21</v>
      </c>
      <c r="C6" s="1452">
        <v>1.6666666666666666E-2</v>
      </c>
      <c r="D6" s="731">
        <v>5</v>
      </c>
      <c r="E6" s="732"/>
      <c r="F6" s="732"/>
      <c r="G6" s="732"/>
      <c r="H6" s="732"/>
      <c r="I6" s="733">
        <f>'OR02-销售承保'!H35</f>
        <v>5</v>
      </c>
      <c r="J6" s="734" t="s">
        <v>1774</v>
      </c>
      <c r="K6" s="723" t="s">
        <v>1821</v>
      </c>
      <c r="L6" s="735"/>
    </row>
    <row r="7" spans="1:12" ht="57.75" thickBot="1">
      <c r="A7" s="736" t="s">
        <v>1822</v>
      </c>
      <c r="B7" s="737" t="s">
        <v>1823</v>
      </c>
      <c r="C7" s="1453">
        <f>70%*(1/18)</f>
        <v>3.8888888888888883E-2</v>
      </c>
      <c r="D7" s="738">
        <v>3</v>
      </c>
      <c r="E7" s="739"/>
      <c r="F7" s="739"/>
      <c r="G7" s="739"/>
      <c r="H7" s="739"/>
      <c r="I7" s="740">
        <f>'OR04-分公司销售、承保、保全'!M70</f>
        <v>3</v>
      </c>
      <c r="J7" s="741" t="s">
        <v>1774</v>
      </c>
    </row>
    <row r="8" spans="1:12" ht="13.5" customHeight="1">
      <c r="A8" s="1556" t="s">
        <v>1276</v>
      </c>
      <c r="B8" s="742" t="s">
        <v>1823</v>
      </c>
      <c r="C8" s="1454">
        <f>70%*(1/18)</f>
        <v>3.8888888888888883E-2</v>
      </c>
      <c r="D8" s="743">
        <v>2</v>
      </c>
      <c r="E8" s="744"/>
      <c r="F8" s="744"/>
      <c r="G8" s="744"/>
      <c r="H8" s="744"/>
      <c r="I8" s="745">
        <f>'OR08-分公司理赔'!M34</f>
        <v>2</v>
      </c>
      <c r="J8" s="722" t="s">
        <v>1774</v>
      </c>
    </row>
    <row r="9" spans="1:12" ht="13.5" customHeight="1">
      <c r="A9" s="1552"/>
      <c r="B9" s="746" t="s">
        <v>1204</v>
      </c>
      <c r="C9" s="1455">
        <f>70%*(1/18)</f>
        <v>3.8888888888888883E-2</v>
      </c>
      <c r="D9" s="747">
        <v>2</v>
      </c>
      <c r="E9" s="748"/>
      <c r="F9" s="748"/>
      <c r="G9" s="748"/>
      <c r="H9" s="748"/>
      <c r="I9" s="749">
        <f>'OR08-分公司理赔'!M36</f>
        <v>2</v>
      </c>
      <c r="J9" s="726" t="s">
        <v>1774</v>
      </c>
    </row>
    <row r="10" spans="1:12" ht="13.5" customHeight="1" thickBot="1">
      <c r="A10" s="1557"/>
      <c r="B10" s="750" t="s">
        <v>1208</v>
      </c>
      <c r="C10" s="1452">
        <f>70%*(1/18)</f>
        <v>3.8888888888888883E-2</v>
      </c>
      <c r="D10" s="731">
        <v>1</v>
      </c>
      <c r="E10" s="732"/>
      <c r="F10" s="732"/>
      <c r="G10" s="732"/>
      <c r="H10" s="732"/>
      <c r="I10" s="733">
        <f>'OR08-分公司理赔'!M37</f>
        <v>1</v>
      </c>
      <c r="J10" s="734" t="s">
        <v>1774</v>
      </c>
    </row>
    <row r="11" spans="1:12" ht="15" customHeight="1">
      <c r="A11" s="1556" t="s">
        <v>1806</v>
      </c>
      <c r="B11" s="751" t="s">
        <v>26</v>
      </c>
      <c r="C11" s="1456">
        <f>1/18</f>
        <v>5.5555555555555552E-2</v>
      </c>
      <c r="D11" s="752">
        <v>2</v>
      </c>
      <c r="E11" s="753">
        <f>'OR10-资金运用'!M4</f>
        <v>2</v>
      </c>
      <c r="F11" s="744"/>
      <c r="G11" s="744"/>
      <c r="H11" s="744"/>
      <c r="I11" s="754"/>
      <c r="J11" s="722" t="s">
        <v>1774</v>
      </c>
    </row>
    <row r="12" spans="1:12" ht="16.5">
      <c r="A12" s="1552"/>
      <c r="B12" s="755" t="s">
        <v>27</v>
      </c>
      <c r="C12" s="1178">
        <f>1/18</f>
        <v>5.5555555555555552E-2</v>
      </c>
      <c r="D12" s="756">
        <v>2</v>
      </c>
      <c r="E12" s="757">
        <f>'OR10-资金运用'!M5</f>
        <v>2</v>
      </c>
      <c r="F12" s="748"/>
      <c r="G12" s="748"/>
      <c r="H12" s="748"/>
      <c r="I12" s="758"/>
      <c r="J12" s="726" t="s">
        <v>1774</v>
      </c>
    </row>
    <row r="13" spans="1:12" ht="16.5">
      <c r="A13" s="1552"/>
      <c r="B13" s="755" t="s">
        <v>29</v>
      </c>
      <c r="C13" s="1178">
        <f t="shared" ref="C13:C62" si="0">1/18</f>
        <v>5.5555555555555552E-2</v>
      </c>
      <c r="D13" s="756">
        <v>2</v>
      </c>
      <c r="E13" s="757">
        <f>'OR10-资金运用'!M6</f>
        <v>2</v>
      </c>
      <c r="F13" s="748"/>
      <c r="G13" s="748"/>
      <c r="H13" s="748"/>
      <c r="I13" s="758"/>
      <c r="J13" s="726" t="s">
        <v>1774</v>
      </c>
    </row>
    <row r="14" spans="1:12" ht="14.25">
      <c r="A14" s="1552"/>
      <c r="B14" s="755" t="s">
        <v>30</v>
      </c>
      <c r="C14" s="1580">
        <f t="shared" si="0"/>
        <v>5.5555555555555552E-2</v>
      </c>
      <c r="D14" s="1558">
        <v>1</v>
      </c>
      <c r="E14" s="1554">
        <f>'OR10-资金运用'!M7</f>
        <v>1</v>
      </c>
      <c r="F14" s="1550"/>
      <c r="G14" s="1550"/>
      <c r="H14" s="1550"/>
      <c r="I14" s="1576"/>
      <c r="J14" s="726" t="s">
        <v>1774</v>
      </c>
    </row>
    <row r="15" spans="1:12" ht="14.25">
      <c r="A15" s="1552"/>
      <c r="B15" s="755" t="s">
        <v>32</v>
      </c>
      <c r="C15" s="1561"/>
      <c r="D15" s="1559"/>
      <c r="E15" s="1555"/>
      <c r="F15" s="1549"/>
      <c r="G15" s="1549"/>
      <c r="H15" s="1549"/>
      <c r="I15" s="1577"/>
      <c r="J15" s="726" t="s">
        <v>1774</v>
      </c>
    </row>
    <row r="16" spans="1:12" ht="16.5">
      <c r="A16" s="1552"/>
      <c r="B16" s="755" t="s">
        <v>34</v>
      </c>
      <c r="C16" s="1178">
        <f t="shared" si="0"/>
        <v>5.5555555555555552E-2</v>
      </c>
      <c r="D16" s="756">
        <v>1</v>
      </c>
      <c r="E16" s="757">
        <f>'OR10-资金运用'!M9</f>
        <v>1</v>
      </c>
      <c r="F16" s="748"/>
      <c r="G16" s="748"/>
      <c r="H16" s="748"/>
      <c r="I16" s="758"/>
      <c r="J16" s="726" t="s">
        <v>1774</v>
      </c>
    </row>
    <row r="17" spans="1:10" ht="16.5">
      <c r="A17" s="1552"/>
      <c r="B17" s="755" t="s">
        <v>37</v>
      </c>
      <c r="C17" s="1178">
        <f t="shared" si="0"/>
        <v>5.5555555555555552E-2</v>
      </c>
      <c r="D17" s="756">
        <v>2</v>
      </c>
      <c r="E17" s="757">
        <f>'OR10-资金运用'!M12</f>
        <v>2</v>
      </c>
      <c r="F17" s="748"/>
      <c r="G17" s="748"/>
      <c r="H17" s="748"/>
      <c r="I17" s="758"/>
      <c r="J17" s="726" t="s">
        <v>1774</v>
      </c>
    </row>
    <row r="18" spans="1:10" ht="14.25">
      <c r="A18" s="1552"/>
      <c r="B18" s="755" t="s">
        <v>41</v>
      </c>
      <c r="C18" s="1580">
        <f t="shared" si="0"/>
        <v>5.5555555555555552E-2</v>
      </c>
      <c r="D18" s="1558">
        <v>1</v>
      </c>
      <c r="E18" s="1554">
        <f>'OR10-资金运用'!M16</f>
        <v>1</v>
      </c>
      <c r="F18" s="1550"/>
      <c r="G18" s="1550"/>
      <c r="H18" s="1550"/>
      <c r="I18" s="1576"/>
      <c r="J18" s="726" t="s">
        <v>1774</v>
      </c>
    </row>
    <row r="19" spans="1:10" ht="14.25">
      <c r="A19" s="1552"/>
      <c r="B19" s="755" t="s">
        <v>42</v>
      </c>
      <c r="C19" s="1561"/>
      <c r="D19" s="1559"/>
      <c r="E19" s="1555"/>
      <c r="F19" s="1549"/>
      <c r="G19" s="1549"/>
      <c r="H19" s="1549"/>
      <c r="I19" s="1577"/>
      <c r="J19" s="726" t="s">
        <v>1774</v>
      </c>
    </row>
    <row r="20" spans="1:10" ht="16.5">
      <c r="A20" s="1552"/>
      <c r="B20" s="755" t="s">
        <v>43</v>
      </c>
      <c r="C20" s="1178">
        <f t="shared" si="0"/>
        <v>5.5555555555555552E-2</v>
      </c>
      <c r="D20" s="756">
        <v>1</v>
      </c>
      <c r="E20" s="757">
        <f>'OR10-资金运用'!M18</f>
        <v>1</v>
      </c>
      <c r="F20" s="748"/>
      <c r="G20" s="748"/>
      <c r="H20" s="748"/>
      <c r="I20" s="758"/>
      <c r="J20" s="726" t="s">
        <v>1774</v>
      </c>
    </row>
    <row r="21" spans="1:10" ht="14.25">
      <c r="A21" s="1552"/>
      <c r="B21" s="755" t="s">
        <v>46</v>
      </c>
      <c r="C21" s="1580">
        <f t="shared" si="0"/>
        <v>5.5555555555555552E-2</v>
      </c>
      <c r="D21" s="1558">
        <v>1</v>
      </c>
      <c r="E21" s="1554">
        <f>'OR10-资金运用'!M21</f>
        <v>1</v>
      </c>
      <c r="F21" s="1550"/>
      <c r="G21" s="1550"/>
      <c r="H21" s="1550"/>
      <c r="I21" s="1576"/>
      <c r="J21" s="726" t="s">
        <v>1774</v>
      </c>
    </row>
    <row r="22" spans="1:10" ht="14.25" customHeight="1">
      <c r="A22" s="1552"/>
      <c r="B22" s="755" t="s">
        <v>48</v>
      </c>
      <c r="C22" s="1561"/>
      <c r="D22" s="1559"/>
      <c r="E22" s="1555"/>
      <c r="F22" s="1549"/>
      <c r="G22" s="1549"/>
      <c r="H22" s="1549"/>
      <c r="I22" s="1577"/>
      <c r="J22" s="726" t="s">
        <v>1774</v>
      </c>
    </row>
    <row r="23" spans="1:10" ht="14.25">
      <c r="A23" s="1552"/>
      <c r="B23" s="755" t="s">
        <v>50</v>
      </c>
      <c r="C23" s="1580">
        <f t="shared" si="0"/>
        <v>5.5555555555555552E-2</v>
      </c>
      <c r="D23" s="1558">
        <v>1</v>
      </c>
      <c r="E23" s="1554">
        <f>'OR10-资金运用'!M23</f>
        <v>1</v>
      </c>
      <c r="F23" s="1550"/>
      <c r="G23" s="1550"/>
      <c r="H23" s="1550"/>
      <c r="I23" s="1576"/>
      <c r="J23" s="726" t="s">
        <v>1774</v>
      </c>
    </row>
    <row r="24" spans="1:10" ht="14.25">
      <c r="A24" s="1552"/>
      <c r="B24" s="755" t="s">
        <v>52</v>
      </c>
      <c r="C24" s="1561"/>
      <c r="D24" s="1559"/>
      <c r="E24" s="1555"/>
      <c r="F24" s="1549"/>
      <c r="G24" s="1549"/>
      <c r="H24" s="1549"/>
      <c r="I24" s="1577"/>
      <c r="J24" s="726" t="s">
        <v>1774</v>
      </c>
    </row>
    <row r="25" spans="1:10" ht="14.25" customHeight="1">
      <c r="A25" s="1552"/>
      <c r="B25" s="755" t="s">
        <v>1813</v>
      </c>
      <c r="C25" s="1580">
        <f t="shared" si="0"/>
        <v>5.5555555555555552E-2</v>
      </c>
      <c r="D25" s="1558">
        <v>1</v>
      </c>
      <c r="E25" s="1554">
        <f>'OR10-资金运用'!M25</f>
        <v>1</v>
      </c>
      <c r="F25" s="1550"/>
      <c r="G25" s="1550"/>
      <c r="H25" s="1550"/>
      <c r="I25" s="1576"/>
      <c r="J25" s="726" t="s">
        <v>1774</v>
      </c>
    </row>
    <row r="26" spans="1:10" ht="16.5" customHeight="1">
      <c r="A26" s="1552"/>
      <c r="B26" s="755" t="s">
        <v>1814</v>
      </c>
      <c r="C26" s="1561"/>
      <c r="D26" s="1559"/>
      <c r="E26" s="1555"/>
      <c r="F26" s="1549"/>
      <c r="G26" s="1549"/>
      <c r="H26" s="1549"/>
      <c r="I26" s="1577"/>
      <c r="J26" s="726" t="s">
        <v>1774</v>
      </c>
    </row>
    <row r="27" spans="1:10" ht="16.5">
      <c r="A27" s="1552"/>
      <c r="B27" s="755" t="s">
        <v>54</v>
      </c>
      <c r="C27" s="1178">
        <f t="shared" si="0"/>
        <v>5.5555555555555552E-2</v>
      </c>
      <c r="D27" s="756">
        <v>5</v>
      </c>
      <c r="E27" s="757">
        <f>'OR10-资金运用'!M27</f>
        <v>5</v>
      </c>
      <c r="F27" s="748"/>
      <c r="G27" s="748"/>
      <c r="H27" s="748"/>
      <c r="I27" s="758"/>
      <c r="J27" s="726" t="s">
        <v>1774</v>
      </c>
    </row>
    <row r="28" spans="1:10" ht="16.5">
      <c r="A28" s="1552"/>
      <c r="B28" s="755" t="s">
        <v>56</v>
      </c>
      <c r="C28" s="1178">
        <f t="shared" si="0"/>
        <v>5.5555555555555552E-2</v>
      </c>
      <c r="D28" s="756">
        <v>1</v>
      </c>
      <c r="E28" s="757">
        <f>'OR10-资金运用'!M28</f>
        <v>1</v>
      </c>
      <c r="F28" s="748"/>
      <c r="G28" s="748"/>
      <c r="H28" s="748"/>
      <c r="I28" s="758"/>
      <c r="J28" s="726" t="s">
        <v>1774</v>
      </c>
    </row>
    <row r="29" spans="1:10" ht="14.25" customHeight="1">
      <c r="A29" s="1552"/>
      <c r="B29" s="755" t="s">
        <v>58</v>
      </c>
      <c r="C29" s="1178">
        <f t="shared" si="0"/>
        <v>5.5555555555555552E-2</v>
      </c>
      <c r="D29" s="756">
        <v>1</v>
      </c>
      <c r="E29" s="757">
        <f>'OR10-资金运用'!M29</f>
        <v>1</v>
      </c>
      <c r="F29" s="748"/>
      <c r="G29" s="748"/>
      <c r="H29" s="748"/>
      <c r="I29" s="758"/>
      <c r="J29" s="726" t="s">
        <v>1774</v>
      </c>
    </row>
    <row r="30" spans="1:10" ht="16.5" customHeight="1">
      <c r="A30" s="1552"/>
      <c r="B30" s="755" t="s">
        <v>60</v>
      </c>
      <c r="C30" s="1178">
        <f t="shared" si="0"/>
        <v>5.5555555555555552E-2</v>
      </c>
      <c r="D30" s="756">
        <v>2</v>
      </c>
      <c r="E30" s="757">
        <f>'OR10-资金运用'!M30</f>
        <v>2</v>
      </c>
      <c r="F30" s="748"/>
      <c r="G30" s="748"/>
      <c r="H30" s="748"/>
      <c r="I30" s="758"/>
      <c r="J30" s="726" t="s">
        <v>1774</v>
      </c>
    </row>
    <row r="31" spans="1:10" ht="16.5">
      <c r="A31" s="1552"/>
      <c r="B31" s="755" t="s">
        <v>62</v>
      </c>
      <c r="C31" s="1178">
        <f t="shared" si="0"/>
        <v>5.5555555555555552E-2</v>
      </c>
      <c r="D31" s="756">
        <v>4</v>
      </c>
      <c r="E31" s="757">
        <f>'OR10-资金运用'!M31</f>
        <v>4</v>
      </c>
      <c r="F31" s="748"/>
      <c r="G31" s="748"/>
      <c r="H31" s="748"/>
      <c r="I31" s="758"/>
      <c r="J31" s="726" t="s">
        <v>1774</v>
      </c>
    </row>
    <row r="32" spans="1:10" ht="14.25" customHeight="1">
      <c r="A32" s="1552"/>
      <c r="B32" s="755" t="s">
        <v>64</v>
      </c>
      <c r="C32" s="1580">
        <f t="shared" si="0"/>
        <v>5.5555555555555552E-2</v>
      </c>
      <c r="D32" s="1558">
        <v>3</v>
      </c>
      <c r="E32" s="1554">
        <f>'OR10-资金运用'!M32</f>
        <v>3</v>
      </c>
      <c r="F32" s="1550"/>
      <c r="G32" s="1550"/>
      <c r="H32" s="1550"/>
      <c r="I32" s="1576"/>
      <c r="J32" s="726" t="s">
        <v>1774</v>
      </c>
    </row>
    <row r="33" spans="1:10" ht="14.25">
      <c r="A33" s="1552"/>
      <c r="B33" s="755" t="s">
        <v>66</v>
      </c>
      <c r="C33" s="1561"/>
      <c r="D33" s="1559"/>
      <c r="E33" s="1555"/>
      <c r="F33" s="1549"/>
      <c r="G33" s="1549"/>
      <c r="H33" s="1549"/>
      <c r="I33" s="1577"/>
      <c r="J33" s="726" t="s">
        <v>1774</v>
      </c>
    </row>
    <row r="34" spans="1:10" ht="14.25" customHeight="1">
      <c r="A34" s="1552"/>
      <c r="B34" s="746" t="s">
        <v>67</v>
      </c>
      <c r="C34" s="1178">
        <f t="shared" si="0"/>
        <v>5.5555555555555552E-2</v>
      </c>
      <c r="D34" s="756">
        <v>5</v>
      </c>
      <c r="E34" s="757">
        <f>'OR10-资金运用'!M34</f>
        <v>5</v>
      </c>
      <c r="F34" s="748"/>
      <c r="G34" s="748"/>
      <c r="H34" s="748"/>
      <c r="I34" s="758"/>
      <c r="J34" s="726" t="s">
        <v>1774</v>
      </c>
    </row>
    <row r="35" spans="1:10" ht="16.5">
      <c r="A35" s="1552"/>
      <c r="B35" s="755" t="s">
        <v>69</v>
      </c>
      <c r="C35" s="1178">
        <f t="shared" si="0"/>
        <v>5.5555555555555552E-2</v>
      </c>
      <c r="D35" s="756">
        <v>1</v>
      </c>
      <c r="E35" s="757">
        <f>'OR10-资金运用'!M35</f>
        <v>1</v>
      </c>
      <c r="F35" s="748"/>
      <c r="G35" s="748"/>
      <c r="H35" s="748"/>
      <c r="I35" s="758"/>
      <c r="J35" s="726" t="s">
        <v>1774</v>
      </c>
    </row>
    <row r="36" spans="1:10" ht="14.25" customHeight="1">
      <c r="A36" s="1552"/>
      <c r="B36" s="755" t="s">
        <v>71</v>
      </c>
      <c r="C36" s="1580">
        <f t="shared" si="0"/>
        <v>5.5555555555555552E-2</v>
      </c>
      <c r="D36" s="1558">
        <v>1</v>
      </c>
      <c r="E36" s="1554">
        <f>'OR10-资金运用'!M36</f>
        <v>1</v>
      </c>
      <c r="F36" s="1550"/>
      <c r="G36" s="1550"/>
      <c r="H36" s="1550"/>
      <c r="I36" s="1576"/>
      <c r="J36" s="726" t="s">
        <v>1774</v>
      </c>
    </row>
    <row r="37" spans="1:10" ht="14.25">
      <c r="A37" s="1552"/>
      <c r="B37" s="755" t="s">
        <v>73</v>
      </c>
      <c r="C37" s="1561"/>
      <c r="D37" s="1559"/>
      <c r="E37" s="1555"/>
      <c r="F37" s="1549"/>
      <c r="G37" s="1549"/>
      <c r="H37" s="1549"/>
      <c r="I37" s="1577"/>
      <c r="J37" s="726" t="s">
        <v>1774</v>
      </c>
    </row>
    <row r="38" spans="1:10" ht="14.25">
      <c r="A38" s="1552"/>
      <c r="B38" s="755" t="s">
        <v>74</v>
      </c>
      <c r="C38" s="1580">
        <f t="shared" si="0"/>
        <v>5.5555555555555552E-2</v>
      </c>
      <c r="D38" s="1558">
        <v>1</v>
      </c>
      <c r="E38" s="1554">
        <f>'OR10-资金运用'!M38</f>
        <v>1</v>
      </c>
      <c r="F38" s="1550"/>
      <c r="G38" s="1550"/>
      <c r="H38" s="1550"/>
      <c r="I38" s="1576"/>
      <c r="J38" s="726" t="s">
        <v>1774</v>
      </c>
    </row>
    <row r="39" spans="1:10" ht="14.25">
      <c r="A39" s="1552"/>
      <c r="B39" s="755" t="s">
        <v>76</v>
      </c>
      <c r="C39" s="1561"/>
      <c r="D39" s="1559"/>
      <c r="E39" s="1555"/>
      <c r="F39" s="1549"/>
      <c r="G39" s="1549"/>
      <c r="H39" s="1549"/>
      <c r="I39" s="1577"/>
      <c r="J39" s="726" t="s">
        <v>1774</v>
      </c>
    </row>
    <row r="40" spans="1:10" ht="14.25">
      <c r="A40" s="1552"/>
      <c r="B40" s="755" t="s">
        <v>77</v>
      </c>
      <c r="C40" s="1580">
        <f t="shared" si="0"/>
        <v>5.5555555555555552E-2</v>
      </c>
      <c r="D40" s="1558">
        <v>1</v>
      </c>
      <c r="E40" s="1554">
        <f>'OR10-资金运用'!M40</f>
        <v>1</v>
      </c>
      <c r="F40" s="1550"/>
      <c r="G40" s="1550"/>
      <c r="H40" s="1550"/>
      <c r="I40" s="1576"/>
      <c r="J40" s="726" t="s">
        <v>1774</v>
      </c>
    </row>
    <row r="41" spans="1:10" ht="14.25">
      <c r="A41" s="1552"/>
      <c r="B41" s="755" t="s">
        <v>79</v>
      </c>
      <c r="C41" s="1561"/>
      <c r="D41" s="1559"/>
      <c r="E41" s="1555"/>
      <c r="F41" s="1549"/>
      <c r="G41" s="1549"/>
      <c r="H41" s="1549"/>
      <c r="I41" s="1577"/>
      <c r="J41" s="726" t="s">
        <v>1774</v>
      </c>
    </row>
    <row r="42" spans="1:10" ht="16.5">
      <c r="A42" s="1552"/>
      <c r="B42" s="755" t="s">
        <v>80</v>
      </c>
      <c r="C42" s="1178">
        <f t="shared" si="0"/>
        <v>5.5555555555555552E-2</v>
      </c>
      <c r="D42" s="756">
        <v>5</v>
      </c>
      <c r="E42" s="757">
        <f>'OR10-资金运用'!M42</f>
        <v>5</v>
      </c>
      <c r="F42" s="748"/>
      <c r="G42" s="748"/>
      <c r="H42" s="748"/>
      <c r="I42" s="758"/>
      <c r="J42" s="726" t="s">
        <v>1774</v>
      </c>
    </row>
    <row r="43" spans="1:10" ht="14.25" customHeight="1">
      <c r="A43" s="1552"/>
      <c r="B43" s="755" t="s">
        <v>81</v>
      </c>
      <c r="C43" s="1580">
        <f t="shared" si="0"/>
        <v>5.5555555555555552E-2</v>
      </c>
      <c r="D43" s="1558">
        <v>2</v>
      </c>
      <c r="E43" s="1554">
        <f>'OR10-资金运用'!M43</f>
        <v>2</v>
      </c>
      <c r="F43" s="1550"/>
      <c r="G43" s="1550"/>
      <c r="H43" s="1550"/>
      <c r="I43" s="1576"/>
      <c r="J43" s="726" t="s">
        <v>1774</v>
      </c>
    </row>
    <row r="44" spans="1:10" ht="14.25">
      <c r="A44" s="1552"/>
      <c r="B44" s="755" t="s">
        <v>83</v>
      </c>
      <c r="C44" s="1561"/>
      <c r="D44" s="1559"/>
      <c r="E44" s="1555"/>
      <c r="F44" s="1549"/>
      <c r="G44" s="1549"/>
      <c r="H44" s="1549"/>
      <c r="I44" s="1577"/>
      <c r="J44" s="726" t="s">
        <v>1774</v>
      </c>
    </row>
    <row r="45" spans="1:10" ht="14.25">
      <c r="A45" s="1552"/>
      <c r="B45" s="755" t="s">
        <v>84</v>
      </c>
      <c r="C45" s="1580">
        <f t="shared" si="0"/>
        <v>5.5555555555555552E-2</v>
      </c>
      <c r="D45" s="1558">
        <v>1</v>
      </c>
      <c r="E45" s="1554">
        <f>'OR10-资金运用'!M45</f>
        <v>1</v>
      </c>
      <c r="F45" s="1550"/>
      <c r="G45" s="1550"/>
      <c r="H45" s="1550"/>
      <c r="I45" s="1576"/>
      <c r="J45" s="726" t="s">
        <v>1774</v>
      </c>
    </row>
    <row r="46" spans="1:10" ht="14.25">
      <c r="A46" s="1552"/>
      <c r="B46" s="755" t="s">
        <v>86</v>
      </c>
      <c r="C46" s="1561"/>
      <c r="D46" s="1559"/>
      <c r="E46" s="1555"/>
      <c r="F46" s="1549"/>
      <c r="G46" s="1549"/>
      <c r="H46" s="1549"/>
      <c r="I46" s="1577"/>
      <c r="J46" s="726" t="s">
        <v>1774</v>
      </c>
    </row>
    <row r="47" spans="1:10" ht="14.25" customHeight="1">
      <c r="A47" s="1552"/>
      <c r="B47" s="755" t="s">
        <v>87</v>
      </c>
      <c r="C47" s="1178">
        <f t="shared" si="0"/>
        <v>5.5555555555555552E-2</v>
      </c>
      <c r="D47" s="756">
        <v>5</v>
      </c>
      <c r="E47" s="757">
        <f>'OR10-资金运用'!M47</f>
        <v>5</v>
      </c>
      <c r="F47" s="759"/>
      <c r="G47" s="759"/>
      <c r="H47" s="759"/>
      <c r="I47" s="760"/>
      <c r="J47" s="726" t="s">
        <v>1774</v>
      </c>
    </row>
    <row r="48" spans="1:10" ht="14.25">
      <c r="A48" s="1552"/>
      <c r="B48" s="755" t="s">
        <v>88</v>
      </c>
      <c r="C48" s="1580">
        <f t="shared" si="0"/>
        <v>5.5555555555555552E-2</v>
      </c>
      <c r="D48" s="1558">
        <v>1</v>
      </c>
      <c r="E48" s="1554">
        <f>'OR10-资金运用'!M48</f>
        <v>1</v>
      </c>
      <c r="F48" s="1550"/>
      <c r="G48" s="1578">
        <f>'OR10-资金运用'!M48</f>
        <v>1</v>
      </c>
      <c r="H48" s="1550"/>
      <c r="I48" s="1576"/>
      <c r="J48" s="726" t="s">
        <v>1774</v>
      </c>
    </row>
    <row r="49" spans="1:10" ht="14.25" customHeight="1">
      <c r="A49" s="1552"/>
      <c r="B49" s="755" t="s">
        <v>90</v>
      </c>
      <c r="C49" s="1561"/>
      <c r="D49" s="1559"/>
      <c r="E49" s="1555"/>
      <c r="F49" s="1549"/>
      <c r="G49" s="1579"/>
      <c r="H49" s="1549"/>
      <c r="I49" s="1577"/>
      <c r="J49" s="726" t="s">
        <v>1774</v>
      </c>
    </row>
    <row r="50" spans="1:10" ht="14.25">
      <c r="A50" s="1552"/>
      <c r="B50" s="746" t="s">
        <v>91</v>
      </c>
      <c r="C50" s="1580">
        <f t="shared" si="0"/>
        <v>5.5555555555555552E-2</v>
      </c>
      <c r="D50" s="1558">
        <v>1</v>
      </c>
      <c r="E50" s="1554">
        <f>'OR10-资金运用'!M50</f>
        <v>1</v>
      </c>
      <c r="F50" s="1550"/>
      <c r="G50" s="1550"/>
      <c r="H50" s="1550"/>
      <c r="I50" s="1576"/>
      <c r="J50" s="726" t="s">
        <v>1774</v>
      </c>
    </row>
    <row r="51" spans="1:10" ht="14.25" customHeight="1">
      <c r="A51" s="1552"/>
      <c r="B51" s="755" t="s">
        <v>93</v>
      </c>
      <c r="C51" s="1561"/>
      <c r="D51" s="1559"/>
      <c r="E51" s="1555"/>
      <c r="F51" s="1549"/>
      <c r="G51" s="1549"/>
      <c r="H51" s="1549"/>
      <c r="I51" s="1577"/>
      <c r="J51" s="726" t="s">
        <v>1774</v>
      </c>
    </row>
    <row r="52" spans="1:10" ht="16.5">
      <c r="A52" s="1552"/>
      <c r="B52" s="755" t="s">
        <v>95</v>
      </c>
      <c r="C52" s="1178">
        <f t="shared" si="0"/>
        <v>5.5555555555555552E-2</v>
      </c>
      <c r="D52" s="756">
        <v>5</v>
      </c>
      <c r="E52" s="759"/>
      <c r="F52" s="759"/>
      <c r="G52" s="761">
        <f>'OR10-资金运用'!M52</f>
        <v>5</v>
      </c>
      <c r="H52" s="759"/>
      <c r="I52" s="760"/>
      <c r="J52" s="726" t="s">
        <v>1774</v>
      </c>
    </row>
    <row r="53" spans="1:10" ht="16.5">
      <c r="A53" s="1552"/>
      <c r="B53" s="755" t="s">
        <v>96</v>
      </c>
      <c r="C53" s="1457">
        <f t="shared" si="0"/>
        <v>5.5555555555555552E-2</v>
      </c>
      <c r="D53" s="756">
        <v>5</v>
      </c>
      <c r="E53" s="763">
        <f>'OR10-资金运用'!M53</f>
        <v>5</v>
      </c>
      <c r="F53" s="759"/>
      <c r="G53" s="759"/>
      <c r="H53" s="759"/>
      <c r="I53" s="760"/>
      <c r="J53" s="726" t="s">
        <v>1774</v>
      </c>
    </row>
    <row r="54" spans="1:10" ht="14.25" customHeight="1">
      <c r="A54" s="1552"/>
      <c r="B54" s="755" t="s">
        <v>97</v>
      </c>
      <c r="C54" s="1560">
        <f t="shared" si="0"/>
        <v>5.5555555555555552E-2</v>
      </c>
      <c r="D54" s="1558">
        <v>3</v>
      </c>
      <c r="E54" s="1574">
        <f>'OR10-资金运用'!M54</f>
        <v>3</v>
      </c>
      <c r="F54" s="1550"/>
      <c r="G54" s="1550"/>
      <c r="H54" s="1550"/>
      <c r="I54" s="1576"/>
      <c r="J54" s="726" t="s">
        <v>1774</v>
      </c>
    </row>
    <row r="55" spans="1:10" ht="14.25">
      <c r="A55" s="1552"/>
      <c r="B55" s="755" t="s">
        <v>99</v>
      </c>
      <c r="C55" s="1561"/>
      <c r="D55" s="1559"/>
      <c r="E55" s="1575"/>
      <c r="F55" s="1549"/>
      <c r="G55" s="1549"/>
      <c r="H55" s="1549"/>
      <c r="I55" s="1577"/>
      <c r="J55" s="726" t="s">
        <v>1774</v>
      </c>
    </row>
    <row r="56" spans="1:10" ht="14.25" customHeight="1">
      <c r="A56" s="1552"/>
      <c r="B56" s="746" t="s">
        <v>100</v>
      </c>
      <c r="C56" s="1178">
        <f t="shared" si="0"/>
        <v>5.5555555555555552E-2</v>
      </c>
      <c r="D56" s="756">
        <v>1</v>
      </c>
      <c r="E56" s="759"/>
      <c r="F56" s="759"/>
      <c r="G56" s="759"/>
      <c r="H56" s="759"/>
      <c r="I56" s="749">
        <f>'OR10-资金运用'!M56</f>
        <v>1</v>
      </c>
      <c r="J56" s="726" t="s">
        <v>1774</v>
      </c>
    </row>
    <row r="57" spans="1:10" ht="16.5">
      <c r="A57" s="1552"/>
      <c r="B57" s="746" t="s">
        <v>101</v>
      </c>
      <c r="C57" s="1178">
        <f t="shared" si="0"/>
        <v>5.5555555555555552E-2</v>
      </c>
      <c r="D57" s="756">
        <v>1</v>
      </c>
      <c r="E57" s="759"/>
      <c r="F57" s="759"/>
      <c r="G57" s="759"/>
      <c r="H57" s="759"/>
      <c r="I57" s="749">
        <f>'OR10-资金运用'!M57</f>
        <v>1</v>
      </c>
      <c r="J57" s="726" t="s">
        <v>1774</v>
      </c>
    </row>
    <row r="58" spans="1:10" ht="16.5">
      <c r="A58" s="1552"/>
      <c r="B58" s="746" t="s">
        <v>102</v>
      </c>
      <c r="C58" s="1178">
        <f t="shared" si="0"/>
        <v>5.5555555555555552E-2</v>
      </c>
      <c r="D58" s="756">
        <v>1</v>
      </c>
      <c r="E58" s="759"/>
      <c r="F58" s="759"/>
      <c r="G58" s="759"/>
      <c r="H58" s="759"/>
      <c r="I58" s="749">
        <f>'OR10-资金运用'!M58</f>
        <v>1</v>
      </c>
      <c r="J58" s="726" t="s">
        <v>1774</v>
      </c>
    </row>
    <row r="59" spans="1:10" ht="14.25" customHeight="1">
      <c r="A59" s="1552"/>
      <c r="B59" s="746" t="s">
        <v>103</v>
      </c>
      <c r="C59" s="1178">
        <f t="shared" si="0"/>
        <v>5.5555555555555552E-2</v>
      </c>
      <c r="D59" s="756">
        <v>2</v>
      </c>
      <c r="E59" s="759"/>
      <c r="F59" s="759"/>
      <c r="G59" s="759"/>
      <c r="H59" s="759"/>
      <c r="I59" s="749">
        <f>'OR10-资金运用'!M59</f>
        <v>2</v>
      </c>
      <c r="J59" s="726" t="s">
        <v>1774</v>
      </c>
    </row>
    <row r="60" spans="1:10" ht="16.5" customHeight="1">
      <c r="A60" s="1552"/>
      <c r="B60" s="746" t="s">
        <v>104</v>
      </c>
      <c r="C60" s="1178">
        <f t="shared" si="0"/>
        <v>5.5555555555555552E-2</v>
      </c>
      <c r="D60" s="756">
        <v>2</v>
      </c>
      <c r="E60" s="759"/>
      <c r="F60" s="759"/>
      <c r="G60" s="759"/>
      <c r="H60" s="759"/>
      <c r="I60" s="749">
        <f>'OR10-资金运用'!M60</f>
        <v>2</v>
      </c>
      <c r="J60" s="726" t="s">
        <v>1774</v>
      </c>
    </row>
    <row r="61" spans="1:10" ht="14.25" customHeight="1">
      <c r="A61" s="1552"/>
      <c r="B61" s="746" t="s">
        <v>105</v>
      </c>
      <c r="C61" s="1178">
        <f t="shared" si="0"/>
        <v>5.5555555555555552E-2</v>
      </c>
      <c r="D61" s="756">
        <v>3</v>
      </c>
      <c r="E61" s="763">
        <f>'OR10-资金运用'!M61</f>
        <v>3</v>
      </c>
      <c r="F61" s="748"/>
      <c r="G61" s="748"/>
      <c r="H61" s="748"/>
      <c r="I61" s="758"/>
      <c r="J61" s="726" t="s">
        <v>1774</v>
      </c>
    </row>
    <row r="62" spans="1:10" ht="16.5" customHeight="1" thickBot="1">
      <c r="A62" s="1557"/>
      <c r="B62" s="750" t="s">
        <v>107</v>
      </c>
      <c r="C62" s="1458">
        <f t="shared" si="0"/>
        <v>5.5555555555555552E-2</v>
      </c>
      <c r="D62" s="764">
        <v>2</v>
      </c>
      <c r="E62" s="765">
        <f>'OR10-资金运用'!M62</f>
        <v>2</v>
      </c>
      <c r="F62" s="732"/>
      <c r="G62" s="732"/>
      <c r="H62" s="732"/>
      <c r="I62" s="766"/>
      <c r="J62" s="734" t="s">
        <v>1774</v>
      </c>
    </row>
    <row r="63" spans="1:10" ht="16.5">
      <c r="A63" s="1562" t="s">
        <v>1818</v>
      </c>
      <c r="B63" s="751" t="s">
        <v>1963</v>
      </c>
      <c r="C63" s="1456">
        <f>1/9</f>
        <v>0.1111111111111111</v>
      </c>
      <c r="D63" s="752">
        <v>8</v>
      </c>
      <c r="E63" s="744"/>
      <c r="F63" s="767">
        <f>'OR15-准备金再保险'!K4*'OR15-准备金再保险'!H4</f>
        <v>5.333333333333333</v>
      </c>
      <c r="G63" s="744"/>
      <c r="H63" s="744"/>
      <c r="I63" s="754"/>
      <c r="J63" s="722" t="s">
        <v>1780</v>
      </c>
    </row>
    <row r="64" spans="1:10" ht="14.25" customHeight="1">
      <c r="A64" s="1563"/>
      <c r="B64" s="746" t="s">
        <v>158</v>
      </c>
      <c r="C64" s="1178">
        <f t="shared" ref="C64:C73" si="1">1/9</f>
        <v>0.1111111111111111</v>
      </c>
      <c r="D64" s="756">
        <v>9</v>
      </c>
      <c r="E64" s="748"/>
      <c r="F64" s="768">
        <f>'OR15-准备金再保险'!H7</f>
        <v>9</v>
      </c>
      <c r="G64" s="748"/>
      <c r="H64" s="748"/>
      <c r="I64" s="758"/>
      <c r="J64" s="726" t="s">
        <v>1774</v>
      </c>
    </row>
    <row r="65" spans="1:10" ht="16.5" customHeight="1">
      <c r="A65" s="1563"/>
      <c r="B65" s="746" t="s">
        <v>159</v>
      </c>
      <c r="C65" s="1178">
        <f t="shared" si="1"/>
        <v>0.1111111111111111</v>
      </c>
      <c r="D65" s="756">
        <v>9</v>
      </c>
      <c r="E65" s="748"/>
      <c r="F65" s="768">
        <f>'OR15-准备金再保险'!H8</f>
        <v>9</v>
      </c>
      <c r="G65" s="748"/>
      <c r="H65" s="748"/>
      <c r="I65" s="758"/>
      <c r="J65" s="726" t="s">
        <v>1774</v>
      </c>
    </row>
    <row r="66" spans="1:10" ht="16.5" customHeight="1">
      <c r="A66" s="1563"/>
      <c r="B66" s="746" t="s">
        <v>479</v>
      </c>
      <c r="C66" s="1178">
        <f t="shared" si="1"/>
        <v>0.1111111111111111</v>
      </c>
      <c r="D66" s="756">
        <v>9</v>
      </c>
      <c r="E66" s="748"/>
      <c r="F66" s="768">
        <f>$D$66*'OR15-准备金再保险'!$K$9</f>
        <v>6.1363636363636358</v>
      </c>
      <c r="G66" s="748"/>
      <c r="H66" s="748"/>
      <c r="I66" s="758"/>
      <c r="J66" s="726" t="s">
        <v>2032</v>
      </c>
    </row>
    <row r="67" spans="1:10" ht="16.5">
      <c r="A67" s="1563"/>
      <c r="B67" s="746" t="s">
        <v>162</v>
      </c>
      <c r="C67" s="1178">
        <f t="shared" si="1"/>
        <v>0.1111111111111111</v>
      </c>
      <c r="D67" s="756">
        <v>8</v>
      </c>
      <c r="E67" s="748"/>
      <c r="F67" s="768">
        <f>'OR15-准备金再保险'!M12</f>
        <v>8</v>
      </c>
      <c r="G67" s="748"/>
      <c r="H67" s="748"/>
      <c r="I67" s="758"/>
      <c r="J67" s="726" t="s">
        <v>1774</v>
      </c>
    </row>
    <row r="68" spans="1:10" ht="16.5">
      <c r="A68" s="1563"/>
      <c r="B68" s="746" t="s">
        <v>1699</v>
      </c>
      <c r="C68" s="1178">
        <f t="shared" si="1"/>
        <v>0.1111111111111111</v>
      </c>
      <c r="D68" s="756">
        <v>8</v>
      </c>
      <c r="E68" s="748"/>
      <c r="F68" s="768">
        <f>'OR15-准备金再保险'!M13</f>
        <v>8</v>
      </c>
      <c r="G68" s="748"/>
      <c r="H68" s="748"/>
      <c r="I68" s="758"/>
      <c r="J68" s="726" t="s">
        <v>1774</v>
      </c>
    </row>
    <row r="69" spans="1:10" ht="16.5">
      <c r="A69" s="1563"/>
      <c r="B69" s="746" t="s">
        <v>480</v>
      </c>
      <c r="C69" s="1178">
        <f t="shared" si="1"/>
        <v>0.1111111111111111</v>
      </c>
      <c r="D69" s="756">
        <v>10</v>
      </c>
      <c r="E69" s="748"/>
      <c r="F69" s="768">
        <f>'OR15-准备金再保险'!M14</f>
        <v>10</v>
      </c>
      <c r="G69" s="748"/>
      <c r="H69" s="748"/>
      <c r="I69" s="758"/>
      <c r="J69" s="726" t="s">
        <v>1774</v>
      </c>
    </row>
    <row r="70" spans="1:10" ht="14.25" customHeight="1">
      <c r="A70" s="1563"/>
      <c r="B70" s="746" t="s">
        <v>481</v>
      </c>
      <c r="C70" s="1178">
        <f t="shared" si="1"/>
        <v>0.1111111111111111</v>
      </c>
      <c r="D70" s="756">
        <v>10</v>
      </c>
      <c r="E70" s="748"/>
      <c r="F70" s="768">
        <f>'OR15-准备金再保险'!M15</f>
        <v>10</v>
      </c>
      <c r="G70" s="748"/>
      <c r="H70" s="748"/>
      <c r="I70" s="758"/>
      <c r="J70" s="726" t="s">
        <v>1774</v>
      </c>
    </row>
    <row r="71" spans="1:10" ht="16.5">
      <c r="A71" s="1563"/>
      <c r="B71" s="746" t="s">
        <v>482</v>
      </c>
      <c r="C71" s="1178">
        <f t="shared" si="1"/>
        <v>0.1111111111111111</v>
      </c>
      <c r="D71" s="756">
        <v>9</v>
      </c>
      <c r="E71" s="748"/>
      <c r="F71" s="768">
        <f>'OR15-准备金再保险'!M16</f>
        <v>9</v>
      </c>
      <c r="G71" s="748"/>
      <c r="H71" s="748"/>
      <c r="I71" s="758"/>
      <c r="J71" s="726" t="s">
        <v>1774</v>
      </c>
    </row>
    <row r="72" spans="1:10" ht="16.5">
      <c r="A72" s="1563"/>
      <c r="B72" s="746" t="s">
        <v>163</v>
      </c>
      <c r="C72" s="1178">
        <f t="shared" si="1"/>
        <v>0.1111111111111111</v>
      </c>
      <c r="D72" s="756">
        <v>10</v>
      </c>
      <c r="E72" s="748"/>
      <c r="F72" s="768">
        <f>'OR15-准备金再保险'!M17</f>
        <v>10</v>
      </c>
      <c r="G72" s="748"/>
      <c r="H72" s="748"/>
      <c r="I72" s="758"/>
      <c r="J72" s="726" t="s">
        <v>1774</v>
      </c>
    </row>
    <row r="73" spans="1:10" ht="13.5" customHeight="1" thickBot="1">
      <c r="A73" s="1564"/>
      <c r="B73" s="750" t="s">
        <v>483</v>
      </c>
      <c r="C73" s="1458">
        <f t="shared" si="1"/>
        <v>0.1111111111111111</v>
      </c>
      <c r="D73" s="764">
        <v>10</v>
      </c>
      <c r="E73" s="732"/>
      <c r="F73" s="769">
        <f>'OR15-准备金再保险'!M18</f>
        <v>10</v>
      </c>
      <c r="G73" s="732"/>
      <c r="H73" s="732"/>
      <c r="I73" s="766"/>
      <c r="J73" s="734" t="s">
        <v>1774</v>
      </c>
    </row>
    <row r="74" spans="1:10" ht="15" customHeight="1">
      <c r="A74" s="1551" t="s">
        <v>1825</v>
      </c>
      <c r="B74" s="770" t="s">
        <v>1826</v>
      </c>
      <c r="C74" s="1459">
        <v>2.2222222222222223E-2</v>
      </c>
      <c r="D74" s="771">
        <v>5</v>
      </c>
      <c r="E74" s="772"/>
      <c r="F74" s="772"/>
      <c r="G74" s="773">
        <f>'OR13-分公司财务管理'!M4</f>
        <v>5</v>
      </c>
      <c r="H74" s="774">
        <f>'OR13-分公司财务管理'!M4</f>
        <v>5</v>
      </c>
      <c r="I74" s="775"/>
      <c r="J74" s="776" t="s">
        <v>1774</v>
      </c>
    </row>
    <row r="75" spans="1:10" ht="16.5">
      <c r="A75" s="1552"/>
      <c r="B75" s="725" t="s">
        <v>1756</v>
      </c>
      <c r="C75" s="1178">
        <v>2.2222222222222223E-2</v>
      </c>
      <c r="D75" s="756">
        <v>2</v>
      </c>
      <c r="E75" s="748"/>
      <c r="F75" s="748"/>
      <c r="G75" s="761">
        <f>'OR13-分公司财务管理'!M5</f>
        <v>1.4</v>
      </c>
      <c r="H75" s="777">
        <f>'OR13-分公司财务管理'!M5</f>
        <v>1.4</v>
      </c>
      <c r="I75" s="758"/>
      <c r="J75" s="778" t="s">
        <v>1774</v>
      </c>
    </row>
    <row r="76" spans="1:10" ht="16.5">
      <c r="A76" s="1552"/>
      <c r="B76" s="725" t="s">
        <v>1827</v>
      </c>
      <c r="C76" s="1178">
        <v>2.2222222222222223E-2</v>
      </c>
      <c r="D76" s="756">
        <v>2</v>
      </c>
      <c r="E76" s="748"/>
      <c r="F76" s="748"/>
      <c r="G76" s="761">
        <v>2</v>
      </c>
      <c r="H76" s="777">
        <v>2</v>
      </c>
      <c r="I76" s="758"/>
      <c r="J76" s="778" t="s">
        <v>1775</v>
      </c>
    </row>
    <row r="77" spans="1:10" ht="16.5">
      <c r="A77" s="1552"/>
      <c r="B77" s="725" t="s">
        <v>43</v>
      </c>
      <c r="C77" s="1178">
        <v>2.2222222222222223E-2</v>
      </c>
      <c r="D77" s="756">
        <v>2</v>
      </c>
      <c r="E77" s="748"/>
      <c r="F77" s="748"/>
      <c r="G77" s="761">
        <f>'OR13-分公司财务管理'!M12</f>
        <v>2</v>
      </c>
      <c r="H77" s="777">
        <f>'OR13-分公司财务管理'!M12</f>
        <v>2</v>
      </c>
      <c r="I77" s="758"/>
      <c r="J77" s="778" t="s">
        <v>1774</v>
      </c>
    </row>
    <row r="78" spans="1:10" ht="16.5">
      <c r="A78" s="1552"/>
      <c r="B78" s="725" t="s">
        <v>1224</v>
      </c>
      <c r="C78" s="1178">
        <v>2.2222222222222223E-2</v>
      </c>
      <c r="D78" s="756">
        <v>2</v>
      </c>
      <c r="E78" s="748"/>
      <c r="F78" s="748"/>
      <c r="G78" s="761">
        <f>'OR13-分公司财务管理'!M15</f>
        <v>2</v>
      </c>
      <c r="H78" s="748"/>
      <c r="I78" s="758"/>
      <c r="J78" s="778" t="s">
        <v>1774</v>
      </c>
    </row>
    <row r="79" spans="1:10" ht="16.5">
      <c r="A79" s="1552"/>
      <c r="B79" s="725" t="s">
        <v>117</v>
      </c>
      <c r="C79" s="1178">
        <v>2.2222222222222223E-2</v>
      </c>
      <c r="D79" s="756">
        <v>2</v>
      </c>
      <c r="E79" s="748"/>
      <c r="F79" s="748"/>
      <c r="G79" s="761">
        <f>'OR13-分公司财务管理'!M16</f>
        <v>2</v>
      </c>
      <c r="H79" s="777">
        <f>'OR13-分公司财务管理'!M16</f>
        <v>2</v>
      </c>
      <c r="I79" s="758"/>
      <c r="J79" s="778" t="s">
        <v>1774</v>
      </c>
    </row>
    <row r="80" spans="1:10" ht="16.5">
      <c r="A80" s="1552"/>
      <c r="B80" s="779" t="s">
        <v>1759</v>
      </c>
      <c r="C80" s="1457">
        <v>2.2222222222222223E-2</v>
      </c>
      <c r="D80" s="756">
        <v>4</v>
      </c>
      <c r="E80" s="748"/>
      <c r="F80" s="748"/>
      <c r="G80" s="748"/>
      <c r="H80" s="777">
        <f>'OR13-分公司财务管理'!M17</f>
        <v>4</v>
      </c>
      <c r="I80" s="758"/>
      <c r="J80" s="778" t="s">
        <v>1774</v>
      </c>
    </row>
    <row r="81" spans="1:10" ht="16.5">
      <c r="A81" s="1552"/>
      <c r="B81" s="779" t="s">
        <v>1760</v>
      </c>
      <c r="C81" s="1178">
        <v>2.2222222222222223E-2</v>
      </c>
      <c r="D81" s="756">
        <v>6</v>
      </c>
      <c r="E81" s="748"/>
      <c r="F81" s="748"/>
      <c r="G81" s="748"/>
      <c r="H81" s="777">
        <f>'OR13-分公司财务管理'!M20</f>
        <v>6</v>
      </c>
      <c r="I81" s="758"/>
      <c r="J81" s="778" t="s">
        <v>1774</v>
      </c>
    </row>
    <row r="82" spans="1:10" ht="16.5">
      <c r="A82" s="1552"/>
      <c r="B82" s="725" t="s">
        <v>131</v>
      </c>
      <c r="C82" s="1178">
        <v>2.2222222222222223E-2</v>
      </c>
      <c r="D82" s="756">
        <v>1</v>
      </c>
      <c r="E82" s="748"/>
      <c r="F82" s="748"/>
      <c r="G82" s="761">
        <f>'OR13-分公司财务管理'!M22</f>
        <v>0.9</v>
      </c>
      <c r="H82" s="748"/>
      <c r="I82" s="758"/>
      <c r="J82" s="778" t="s">
        <v>1774</v>
      </c>
    </row>
    <row r="83" spans="1:10" ht="16.5">
      <c r="A83" s="1552"/>
      <c r="B83" s="725" t="s">
        <v>1242</v>
      </c>
      <c r="C83" s="1178">
        <v>2.2222222222222223E-2</v>
      </c>
      <c r="D83" s="756">
        <v>3</v>
      </c>
      <c r="E83" s="748"/>
      <c r="F83" s="748"/>
      <c r="G83" s="748"/>
      <c r="H83" s="777">
        <f>'OR13-分公司财务管理'!M23</f>
        <v>3</v>
      </c>
      <c r="I83" s="758"/>
      <c r="J83" s="778" t="s">
        <v>1774</v>
      </c>
    </row>
    <row r="84" spans="1:10" ht="16.5">
      <c r="A84" s="1552"/>
      <c r="B84" s="725" t="s">
        <v>1248</v>
      </c>
      <c r="C84" s="1178">
        <v>2.2222222222222223E-2</v>
      </c>
      <c r="D84" s="756">
        <v>3</v>
      </c>
      <c r="E84" s="748"/>
      <c r="F84" s="748"/>
      <c r="G84" s="748"/>
      <c r="H84" s="777">
        <f>'OR13-分公司财务管理'!M28</f>
        <v>3</v>
      </c>
      <c r="I84" s="758"/>
      <c r="J84" s="778" t="s">
        <v>1774</v>
      </c>
    </row>
    <row r="85" spans="1:10" ht="16.5">
      <c r="A85" s="1552"/>
      <c r="B85" s="725" t="s">
        <v>1828</v>
      </c>
      <c r="C85" s="1178">
        <v>2.2222222222222223E-2</v>
      </c>
      <c r="D85" s="756">
        <v>3</v>
      </c>
      <c r="E85" s="748"/>
      <c r="F85" s="748"/>
      <c r="G85" s="748"/>
      <c r="H85" s="777">
        <f>'OR13-分公司财务管理'!M32</f>
        <v>2.7</v>
      </c>
      <c r="I85" s="758"/>
      <c r="J85" s="778" t="s">
        <v>1774</v>
      </c>
    </row>
    <row r="86" spans="1:10" ht="16.5">
      <c r="A86" s="1552"/>
      <c r="B86" s="779" t="s">
        <v>2028</v>
      </c>
      <c r="C86" s="1178">
        <v>2.2222222222222223E-2</v>
      </c>
      <c r="D86" s="756">
        <v>10</v>
      </c>
      <c r="E86" s="748"/>
      <c r="F86" s="748"/>
      <c r="G86" s="761">
        <f>'OR13-分公司财务管理'!M35</f>
        <v>10</v>
      </c>
      <c r="H86" s="748"/>
      <c r="I86" s="758"/>
      <c r="J86" s="778" t="s">
        <v>1774</v>
      </c>
    </row>
    <row r="87" spans="1:10" ht="16.5">
      <c r="A87" s="1552"/>
      <c r="B87" s="725" t="s">
        <v>1254</v>
      </c>
      <c r="C87" s="1178">
        <v>2.2222222222222223E-2</v>
      </c>
      <c r="D87" s="756">
        <v>3</v>
      </c>
      <c r="E87" s="748"/>
      <c r="F87" s="748"/>
      <c r="G87" s="761">
        <f>'OR13-分公司财务管理'!M37</f>
        <v>3</v>
      </c>
      <c r="H87" s="748"/>
      <c r="I87" s="758"/>
      <c r="J87" s="778" t="s">
        <v>1774</v>
      </c>
    </row>
    <row r="88" spans="1:10" ht="16.5">
      <c r="A88" s="1552"/>
      <c r="B88" s="779" t="s">
        <v>2027</v>
      </c>
      <c r="C88" s="1178">
        <v>2.2222222222222223E-2</v>
      </c>
      <c r="D88" s="756">
        <v>12</v>
      </c>
      <c r="E88" s="748"/>
      <c r="F88" s="748"/>
      <c r="G88" s="748"/>
      <c r="H88" s="777">
        <f>'OR13-分公司财务管理'!M38</f>
        <v>12</v>
      </c>
      <c r="I88" s="758"/>
      <c r="J88" s="778" t="s">
        <v>1774</v>
      </c>
    </row>
    <row r="89" spans="1:10" ht="16.5">
      <c r="A89" s="1552"/>
      <c r="B89" s="725" t="s">
        <v>1764</v>
      </c>
      <c r="C89" s="1178">
        <v>2.2222222222222223E-2</v>
      </c>
      <c r="D89" s="756">
        <v>2</v>
      </c>
      <c r="E89" s="748"/>
      <c r="F89" s="748"/>
      <c r="G89" s="761">
        <f>'OR13-分公司财务管理'!M40</f>
        <v>1.8</v>
      </c>
      <c r="H89" s="748"/>
      <c r="I89" s="758"/>
      <c r="J89" s="778" t="s">
        <v>1774</v>
      </c>
    </row>
    <row r="90" spans="1:10" ht="16.5">
      <c r="A90" s="1552"/>
      <c r="B90" s="725" t="s">
        <v>1260</v>
      </c>
      <c r="C90" s="1178">
        <v>2.2222222222222223E-2</v>
      </c>
      <c r="D90" s="756">
        <v>2</v>
      </c>
      <c r="E90" s="748"/>
      <c r="F90" s="748"/>
      <c r="G90" s="761">
        <f>'OR13-分公司财务管理'!M43</f>
        <v>2</v>
      </c>
      <c r="H90" s="748"/>
      <c r="I90" s="758"/>
      <c r="J90" s="778" t="s">
        <v>1774</v>
      </c>
    </row>
    <row r="91" spans="1:10" ht="16.5">
      <c r="A91" s="1552"/>
      <c r="B91" s="779" t="s">
        <v>2029</v>
      </c>
      <c r="C91" s="1178">
        <v>2.2222222222222223E-2</v>
      </c>
      <c r="D91" s="756">
        <v>6</v>
      </c>
      <c r="E91" s="748"/>
      <c r="F91" s="748"/>
      <c r="G91" s="761">
        <f>'OR13-分公司财务管理'!M46</f>
        <v>6</v>
      </c>
      <c r="H91" s="777">
        <f>'OR13-分公司财务管理'!M46</f>
        <v>6</v>
      </c>
      <c r="I91" s="758"/>
      <c r="J91" s="778" t="s">
        <v>1774</v>
      </c>
    </row>
    <row r="92" spans="1:10" ht="16.5">
      <c r="A92" s="1552"/>
      <c r="B92" s="779" t="s">
        <v>140</v>
      </c>
      <c r="C92" s="1178">
        <v>2.2222222222222223E-2</v>
      </c>
      <c r="D92" s="756">
        <v>5</v>
      </c>
      <c r="E92" s="748"/>
      <c r="F92" s="748"/>
      <c r="G92" s="748"/>
      <c r="H92" s="777">
        <f>'OR13-分公司财务管理'!M48</f>
        <v>5</v>
      </c>
      <c r="I92" s="758"/>
      <c r="J92" s="778" t="s">
        <v>1774</v>
      </c>
    </row>
    <row r="93" spans="1:10" ht="16.5">
      <c r="A93" s="1552"/>
      <c r="B93" s="725" t="s">
        <v>1830</v>
      </c>
      <c r="C93" s="1178">
        <v>2.2222222222222223E-2</v>
      </c>
      <c r="D93" s="756">
        <v>0</v>
      </c>
      <c r="E93" s="780"/>
      <c r="F93" s="780"/>
      <c r="G93" s="780"/>
      <c r="H93" s="780"/>
      <c r="I93" s="781"/>
      <c r="J93" s="778" t="s">
        <v>1774</v>
      </c>
    </row>
    <row r="94" spans="1:10" ht="16.5">
      <c r="A94" s="1552"/>
      <c r="B94" s="725" t="s">
        <v>1751</v>
      </c>
      <c r="C94" s="1178">
        <v>2.2222222222222223E-2</v>
      </c>
      <c r="D94" s="756">
        <v>3</v>
      </c>
      <c r="E94" s="748"/>
      <c r="F94" s="748"/>
      <c r="G94" s="761">
        <f>'OR13-分公司财务管理'!M50</f>
        <v>3</v>
      </c>
      <c r="H94" s="777">
        <f>'OR13-分公司财务管理'!M50</f>
        <v>3</v>
      </c>
      <c r="I94" s="749">
        <f>'OR13-分公司财务管理'!M50</f>
        <v>3</v>
      </c>
      <c r="J94" s="778" t="s">
        <v>1774</v>
      </c>
    </row>
    <row r="95" spans="1:10" ht="16.5">
      <c r="A95" s="1552"/>
      <c r="B95" s="725" t="s">
        <v>1752</v>
      </c>
      <c r="C95" s="1178">
        <v>2.2222222222222223E-2</v>
      </c>
      <c r="D95" s="756">
        <v>2</v>
      </c>
      <c r="E95" s="748"/>
      <c r="F95" s="748"/>
      <c r="G95" s="761">
        <f>'OR13-分公司财务管理'!M52</f>
        <v>2</v>
      </c>
      <c r="H95" s="777">
        <f>'OR13-分公司财务管理'!M52</f>
        <v>2</v>
      </c>
      <c r="I95" s="749">
        <f>'OR13-分公司财务管理'!M52</f>
        <v>2</v>
      </c>
      <c r="J95" s="778" t="s">
        <v>1774</v>
      </c>
    </row>
    <row r="96" spans="1:10" ht="17.25" thickBot="1">
      <c r="A96" s="1553"/>
      <c r="B96" s="779" t="s">
        <v>1831</v>
      </c>
      <c r="C96" s="1457">
        <v>2.2222222222222223E-2</v>
      </c>
      <c r="D96" s="762">
        <v>10</v>
      </c>
      <c r="E96" s="759"/>
      <c r="F96" s="759"/>
      <c r="G96" s="782">
        <f>MAX($D$96-($D$86-G86)-($D$91-G91),0)</f>
        <v>10</v>
      </c>
      <c r="H96" s="782">
        <f>MAX($D$96-($D$81-H81)-($D$91-H91)-($D$88-H88),0)</f>
        <v>10</v>
      </c>
      <c r="I96" s="760"/>
      <c r="J96" s="783" t="s">
        <v>1883</v>
      </c>
    </row>
    <row r="97" spans="1:10" ht="16.5" customHeight="1">
      <c r="A97" s="1543" t="s">
        <v>1833</v>
      </c>
      <c r="B97" s="784" t="s">
        <v>1692</v>
      </c>
      <c r="C97" s="1456">
        <f>60%*(1/18)</f>
        <v>3.3333333333333333E-2</v>
      </c>
      <c r="D97" s="752">
        <v>6</v>
      </c>
      <c r="E97" s="744"/>
      <c r="F97" s="744"/>
      <c r="G97" s="785">
        <v>6</v>
      </c>
      <c r="H97" s="786">
        <v>6</v>
      </c>
      <c r="I97" s="754"/>
      <c r="J97" s="722" t="s">
        <v>1884</v>
      </c>
    </row>
    <row r="98" spans="1:10" ht="16.5">
      <c r="A98" s="1544"/>
      <c r="B98" s="787" t="s">
        <v>190</v>
      </c>
      <c r="C98" s="1178">
        <f t="shared" ref="C98:C124" si="2">60%*(1/18)</f>
        <v>3.3333333333333333E-2</v>
      </c>
      <c r="D98" s="756">
        <v>4</v>
      </c>
      <c r="E98" s="748"/>
      <c r="F98" s="748"/>
      <c r="G98" s="761">
        <f>'OR12-财务管理'!$P$6</f>
        <v>4</v>
      </c>
      <c r="H98" s="777">
        <f>'OR12-财务管理'!$P$6</f>
        <v>4</v>
      </c>
      <c r="I98" s="758"/>
      <c r="J98" s="726" t="s">
        <v>1774</v>
      </c>
    </row>
    <row r="99" spans="1:10" ht="16.5">
      <c r="A99" s="1544"/>
      <c r="B99" s="787" t="s">
        <v>1709</v>
      </c>
      <c r="C99" s="1460">
        <f t="shared" si="2"/>
        <v>3.3333333333333333E-2</v>
      </c>
      <c r="D99" s="756">
        <v>2</v>
      </c>
      <c r="E99" s="748"/>
      <c r="F99" s="748"/>
      <c r="G99" s="761">
        <f>'OR12-财务管理'!P7</f>
        <v>2</v>
      </c>
      <c r="H99" s="777">
        <f>'OR12-财务管理'!P7</f>
        <v>2</v>
      </c>
      <c r="I99" s="758"/>
      <c r="J99" s="726" t="s">
        <v>1774</v>
      </c>
    </row>
    <row r="100" spans="1:10" ht="16.5">
      <c r="A100" s="1544"/>
      <c r="B100" s="787" t="s">
        <v>1711</v>
      </c>
      <c r="C100" s="1178">
        <f t="shared" si="2"/>
        <v>3.3333333333333333E-2</v>
      </c>
      <c r="D100" s="756">
        <v>4</v>
      </c>
      <c r="E100" s="748"/>
      <c r="F100" s="748"/>
      <c r="G100" s="761">
        <f>'OR12-财务管理'!$P$11</f>
        <v>4</v>
      </c>
      <c r="H100" s="777">
        <f>'OR12-财务管理'!$P$11</f>
        <v>4</v>
      </c>
      <c r="I100" s="758"/>
      <c r="J100" s="726" t="s">
        <v>1774</v>
      </c>
    </row>
    <row r="101" spans="1:10" ht="16.5">
      <c r="A101" s="1544"/>
      <c r="B101" s="746" t="s">
        <v>117</v>
      </c>
      <c r="C101" s="1460">
        <f t="shared" si="2"/>
        <v>3.3333333333333333E-2</v>
      </c>
      <c r="D101" s="756">
        <v>4</v>
      </c>
      <c r="E101" s="748"/>
      <c r="F101" s="748"/>
      <c r="G101" s="761">
        <f>'OR12-财务管理'!P14</f>
        <v>4</v>
      </c>
      <c r="H101" s="777">
        <f>G101</f>
        <v>4</v>
      </c>
      <c r="I101" s="758"/>
      <c r="J101" s="726" t="s">
        <v>1774</v>
      </c>
    </row>
    <row r="102" spans="1:10" ht="16.5">
      <c r="A102" s="1544"/>
      <c r="B102" s="746" t="s">
        <v>54</v>
      </c>
      <c r="C102" s="1178">
        <f t="shared" si="2"/>
        <v>3.3333333333333333E-2</v>
      </c>
      <c r="D102" s="756">
        <v>5</v>
      </c>
      <c r="E102" s="748"/>
      <c r="F102" s="748"/>
      <c r="G102" s="761">
        <f>'OR12-财务管理'!P15</f>
        <v>5</v>
      </c>
      <c r="H102" s="777">
        <f>G102</f>
        <v>5</v>
      </c>
      <c r="I102" s="758"/>
      <c r="J102" s="726" t="s">
        <v>1774</v>
      </c>
    </row>
    <row r="103" spans="1:10" ht="16.5">
      <c r="A103" s="1544"/>
      <c r="B103" s="746" t="s">
        <v>122</v>
      </c>
      <c r="C103" s="1178">
        <f t="shared" si="2"/>
        <v>3.3333333333333333E-2</v>
      </c>
      <c r="D103" s="756">
        <v>1</v>
      </c>
      <c r="E103" s="748"/>
      <c r="F103" s="748"/>
      <c r="G103" s="748"/>
      <c r="H103" s="777">
        <f>'OR12-财务管理'!P16</f>
        <v>1</v>
      </c>
      <c r="I103" s="758"/>
      <c r="J103" s="726" t="s">
        <v>1774</v>
      </c>
    </row>
    <row r="104" spans="1:10" ht="16.5">
      <c r="A104" s="1544"/>
      <c r="B104" s="779" t="s">
        <v>125</v>
      </c>
      <c r="C104" s="1178">
        <f t="shared" si="2"/>
        <v>3.3333333333333333E-2</v>
      </c>
      <c r="D104" s="756">
        <v>4</v>
      </c>
      <c r="E104" s="748"/>
      <c r="F104" s="748"/>
      <c r="G104" s="748"/>
      <c r="H104" s="777">
        <f>'OR12-财务管理'!P17</f>
        <v>4</v>
      </c>
      <c r="I104" s="758"/>
      <c r="J104" s="726" t="s">
        <v>1774</v>
      </c>
    </row>
    <row r="105" spans="1:10" ht="16.5">
      <c r="A105" s="1544"/>
      <c r="B105" s="746" t="s">
        <v>126</v>
      </c>
      <c r="C105" s="1178">
        <f t="shared" si="2"/>
        <v>3.3333333333333333E-2</v>
      </c>
      <c r="D105" s="756">
        <v>1</v>
      </c>
      <c r="E105" s="748"/>
      <c r="F105" s="748"/>
      <c r="G105" s="761">
        <f>'OR12-财务管理'!P18</f>
        <v>1</v>
      </c>
      <c r="H105" s="748"/>
      <c r="I105" s="758"/>
      <c r="J105" s="726" t="s">
        <v>1774</v>
      </c>
    </row>
    <row r="106" spans="1:10" ht="16.5">
      <c r="A106" s="1544"/>
      <c r="B106" s="779" t="s">
        <v>129</v>
      </c>
      <c r="C106" s="1178">
        <f t="shared" si="2"/>
        <v>3.3333333333333333E-2</v>
      </c>
      <c r="D106" s="756">
        <v>5</v>
      </c>
      <c r="E106" s="748"/>
      <c r="F106" s="748"/>
      <c r="G106" s="761">
        <f>'OR12-财务管理'!P19</f>
        <v>5</v>
      </c>
      <c r="H106" s="748"/>
      <c r="I106" s="758"/>
      <c r="J106" s="726" t="s">
        <v>1774</v>
      </c>
    </row>
    <row r="107" spans="1:10" ht="16.5">
      <c r="A107" s="1544"/>
      <c r="B107" s="779" t="s">
        <v>130</v>
      </c>
      <c r="C107" s="1178">
        <f t="shared" si="2"/>
        <v>3.3333333333333333E-2</v>
      </c>
      <c r="D107" s="756">
        <v>5</v>
      </c>
      <c r="E107" s="748"/>
      <c r="F107" s="748"/>
      <c r="G107" s="748"/>
      <c r="H107" s="777">
        <f>'OR12-财务管理'!P19</f>
        <v>5</v>
      </c>
      <c r="I107" s="758"/>
      <c r="J107" s="726" t="s">
        <v>1774</v>
      </c>
    </row>
    <row r="108" spans="1:10" ht="16.5">
      <c r="A108" s="1544"/>
      <c r="B108" s="746" t="s">
        <v>192</v>
      </c>
      <c r="C108" s="1178">
        <f t="shared" si="2"/>
        <v>3.3333333333333333E-2</v>
      </c>
      <c r="D108" s="756">
        <v>1</v>
      </c>
      <c r="E108" s="748"/>
      <c r="F108" s="748"/>
      <c r="G108" s="761">
        <f>'OR12-财务管理'!P21</f>
        <v>1</v>
      </c>
      <c r="H108" s="748"/>
      <c r="I108" s="758"/>
      <c r="J108" s="726" t="s">
        <v>1774</v>
      </c>
    </row>
    <row r="109" spans="1:10" ht="16.5">
      <c r="A109" s="1544"/>
      <c r="B109" s="746" t="s">
        <v>131</v>
      </c>
      <c r="C109" s="1178">
        <f t="shared" si="2"/>
        <v>3.3333333333333333E-2</v>
      </c>
      <c r="D109" s="756">
        <v>1</v>
      </c>
      <c r="E109" s="748"/>
      <c r="F109" s="748"/>
      <c r="G109" s="761">
        <f>'OR12-财务管理'!P22</f>
        <v>1</v>
      </c>
      <c r="H109" s="748"/>
      <c r="I109" s="758"/>
      <c r="J109" s="726" t="s">
        <v>1774</v>
      </c>
    </row>
    <row r="110" spans="1:10" ht="16.5">
      <c r="A110" s="1544"/>
      <c r="B110" s="779" t="s">
        <v>1693</v>
      </c>
      <c r="C110" s="1178">
        <f t="shared" si="2"/>
        <v>3.3333333333333333E-2</v>
      </c>
      <c r="D110" s="756">
        <v>4</v>
      </c>
      <c r="E110" s="748"/>
      <c r="F110" s="748"/>
      <c r="G110" s="761">
        <f>'OR12-财务管理'!P23</f>
        <v>4</v>
      </c>
      <c r="H110" s="777">
        <f>G110</f>
        <v>4</v>
      </c>
      <c r="I110" s="758"/>
      <c r="J110" s="726" t="s">
        <v>1774</v>
      </c>
    </row>
    <row r="111" spans="1:10" ht="16.5">
      <c r="A111" s="1544"/>
      <c r="B111" s="746" t="s">
        <v>193</v>
      </c>
      <c r="C111" s="1178">
        <f t="shared" si="2"/>
        <v>3.3333333333333333E-2</v>
      </c>
      <c r="D111" s="756">
        <v>1</v>
      </c>
      <c r="E111" s="748"/>
      <c r="F111" s="748"/>
      <c r="G111" s="761">
        <f>'OR12-财务管理'!P24</f>
        <v>1</v>
      </c>
      <c r="H111" s="748"/>
      <c r="I111" s="758"/>
      <c r="J111" s="726" t="s">
        <v>1774</v>
      </c>
    </row>
    <row r="112" spans="1:10" ht="16.5">
      <c r="A112" s="1544"/>
      <c r="B112" s="788" t="s">
        <v>1697</v>
      </c>
      <c r="C112" s="1178">
        <f>60%*(1/18)</f>
        <v>3.3333333333333333E-2</v>
      </c>
      <c r="D112" s="756">
        <v>3</v>
      </c>
      <c r="E112" s="748"/>
      <c r="F112" s="748"/>
      <c r="G112" s="761">
        <f>'OR12-财务管理'!P25</f>
        <v>0</v>
      </c>
      <c r="H112" s="748"/>
      <c r="I112" s="758"/>
      <c r="J112" s="726" t="s">
        <v>1774</v>
      </c>
    </row>
    <row r="113" spans="1:10" ht="16.5">
      <c r="A113" s="1544"/>
      <c r="B113" s="746" t="s">
        <v>194</v>
      </c>
      <c r="C113" s="1178">
        <f t="shared" si="2"/>
        <v>3.3333333333333333E-2</v>
      </c>
      <c r="D113" s="756">
        <v>1</v>
      </c>
      <c r="E113" s="748"/>
      <c r="F113" s="748"/>
      <c r="G113" s="748"/>
      <c r="H113" s="777">
        <f>'OR12-财务管理'!P28</f>
        <v>1</v>
      </c>
      <c r="I113" s="758"/>
      <c r="J113" s="726" t="s">
        <v>1774</v>
      </c>
    </row>
    <row r="114" spans="1:10" ht="16.5">
      <c r="A114" s="1544"/>
      <c r="B114" s="779" t="s">
        <v>136</v>
      </c>
      <c r="C114" s="1178">
        <f t="shared" si="2"/>
        <v>3.3333333333333333E-2</v>
      </c>
      <c r="D114" s="756">
        <v>3</v>
      </c>
      <c r="E114" s="748"/>
      <c r="F114" s="748"/>
      <c r="G114" s="748"/>
      <c r="H114" s="777">
        <f>'OR12-财务管理'!P29</f>
        <v>3</v>
      </c>
      <c r="I114" s="758"/>
      <c r="J114" s="726" t="s">
        <v>1774</v>
      </c>
    </row>
    <row r="115" spans="1:10" ht="16.5">
      <c r="A115" s="1544"/>
      <c r="B115" s="746" t="s">
        <v>137</v>
      </c>
      <c r="C115" s="1460">
        <f t="shared" si="2"/>
        <v>3.3333333333333333E-2</v>
      </c>
      <c r="D115" s="756">
        <v>1</v>
      </c>
      <c r="E115" s="748"/>
      <c r="F115" s="748"/>
      <c r="G115" s="748"/>
      <c r="H115" s="777">
        <f>'OR12-财务管理'!P30</f>
        <v>1</v>
      </c>
      <c r="I115" s="758"/>
      <c r="J115" s="726" t="s">
        <v>1774</v>
      </c>
    </row>
    <row r="116" spans="1:10" ht="16.5">
      <c r="A116" s="1544"/>
      <c r="B116" s="779" t="s">
        <v>140</v>
      </c>
      <c r="C116" s="1178">
        <f t="shared" si="2"/>
        <v>3.3333333333333333E-2</v>
      </c>
      <c r="D116" s="756">
        <v>4</v>
      </c>
      <c r="E116" s="748"/>
      <c r="F116" s="748"/>
      <c r="G116" s="748"/>
      <c r="H116" s="777">
        <f>'OR12-财务管理'!P31</f>
        <v>4</v>
      </c>
      <c r="I116" s="758"/>
      <c r="J116" s="726" t="s">
        <v>1774</v>
      </c>
    </row>
    <row r="117" spans="1:10" ht="16.5">
      <c r="A117" s="1544"/>
      <c r="B117" s="746" t="s">
        <v>141</v>
      </c>
      <c r="C117" s="1460">
        <f t="shared" si="2"/>
        <v>3.3333333333333333E-2</v>
      </c>
      <c r="D117" s="756">
        <v>2</v>
      </c>
      <c r="E117" s="748"/>
      <c r="F117" s="748"/>
      <c r="G117" s="748"/>
      <c r="H117" s="777">
        <f>'OR12-财务管理'!P32</f>
        <v>2</v>
      </c>
      <c r="I117" s="758"/>
      <c r="J117" s="726" t="s">
        <v>1774</v>
      </c>
    </row>
    <row r="118" spans="1:10" ht="16.5">
      <c r="A118" s="1544"/>
      <c r="B118" s="746" t="s">
        <v>102</v>
      </c>
      <c r="C118" s="1178">
        <f t="shared" si="2"/>
        <v>3.3333333333333333E-2</v>
      </c>
      <c r="D118" s="756">
        <v>4</v>
      </c>
      <c r="E118" s="748"/>
      <c r="F118" s="748"/>
      <c r="G118" s="748"/>
      <c r="H118" s="777">
        <f>'OR12-财务管理'!P33</f>
        <v>4</v>
      </c>
      <c r="I118" s="758"/>
      <c r="J118" s="726" t="s">
        <v>1774</v>
      </c>
    </row>
    <row r="119" spans="1:10" ht="16.5">
      <c r="A119" s="1544"/>
      <c r="B119" s="746" t="s">
        <v>144</v>
      </c>
      <c r="C119" s="1178">
        <f t="shared" si="2"/>
        <v>3.3333333333333333E-2</v>
      </c>
      <c r="D119" s="756">
        <v>3</v>
      </c>
      <c r="E119" s="748"/>
      <c r="F119" s="748"/>
      <c r="G119" s="748"/>
      <c r="H119" s="777">
        <f>'OR12-财务管理'!P34</f>
        <v>3</v>
      </c>
      <c r="I119" s="758"/>
      <c r="J119" s="726" t="s">
        <v>1774</v>
      </c>
    </row>
    <row r="120" spans="1:10" ht="16.5">
      <c r="A120" s="1544"/>
      <c r="B120" s="746" t="s">
        <v>147</v>
      </c>
      <c r="C120" s="1178">
        <f t="shared" si="2"/>
        <v>3.3333333333333333E-2</v>
      </c>
      <c r="D120" s="756">
        <v>3</v>
      </c>
      <c r="E120" s="748"/>
      <c r="F120" s="748"/>
      <c r="G120" s="748"/>
      <c r="H120" s="777">
        <f>'OR12-财务管理'!P35</f>
        <v>3</v>
      </c>
      <c r="I120" s="758"/>
      <c r="J120" s="726" t="s">
        <v>1774</v>
      </c>
    </row>
    <row r="121" spans="1:10" ht="16.5">
      <c r="A121" s="1544"/>
      <c r="B121" s="746" t="s">
        <v>1712</v>
      </c>
      <c r="C121" s="1178">
        <f t="shared" si="2"/>
        <v>3.3333333333333333E-2</v>
      </c>
      <c r="D121" s="756">
        <v>3</v>
      </c>
      <c r="E121" s="748"/>
      <c r="F121" s="748"/>
      <c r="G121" s="748"/>
      <c r="H121" s="777">
        <f>'OR12-财务管理'!P36</f>
        <v>3</v>
      </c>
      <c r="I121" s="749">
        <f>H121</f>
        <v>3</v>
      </c>
      <c r="J121" s="726" t="s">
        <v>1774</v>
      </c>
    </row>
    <row r="122" spans="1:10" ht="16.5">
      <c r="A122" s="1544"/>
      <c r="B122" s="746" t="s">
        <v>105</v>
      </c>
      <c r="C122" s="1178">
        <f t="shared" si="2"/>
        <v>3.3333333333333333E-2</v>
      </c>
      <c r="D122" s="756">
        <v>3</v>
      </c>
      <c r="E122" s="748"/>
      <c r="F122" s="748"/>
      <c r="G122" s="761">
        <f>'OR12-财务管理'!P39</f>
        <v>3</v>
      </c>
      <c r="H122" s="777">
        <f>G122</f>
        <v>3</v>
      </c>
      <c r="I122" s="758"/>
      <c r="J122" s="726" t="s">
        <v>1774</v>
      </c>
    </row>
    <row r="123" spans="1:10" ht="16.5">
      <c r="A123" s="1544"/>
      <c r="B123" s="789" t="s">
        <v>107</v>
      </c>
      <c r="C123" s="1178">
        <f t="shared" si="2"/>
        <v>3.3333333333333333E-2</v>
      </c>
      <c r="D123" s="762">
        <v>2</v>
      </c>
      <c r="E123" s="748"/>
      <c r="F123" s="748"/>
      <c r="G123" s="761">
        <f>'OR12-财务管理'!P40</f>
        <v>2</v>
      </c>
      <c r="H123" s="777">
        <f>G123</f>
        <v>2</v>
      </c>
      <c r="I123" s="758"/>
      <c r="J123" s="726" t="s">
        <v>1774</v>
      </c>
    </row>
    <row r="124" spans="1:10" ht="17.25" thickBot="1">
      <c r="A124" s="1545"/>
      <c r="B124" s="750" t="s">
        <v>632</v>
      </c>
      <c r="C124" s="1458">
        <f t="shared" si="2"/>
        <v>3.3333333333333333E-2</v>
      </c>
      <c r="D124" s="764">
        <v>10</v>
      </c>
      <c r="E124" s="732"/>
      <c r="F124" s="732"/>
      <c r="G124" s="790">
        <f>MAX($D$124-($D$106-G106)-($D$110-G110),0)</f>
        <v>10</v>
      </c>
      <c r="H124" s="790">
        <f>MAX($D$124-($D$107-H107)-($D$110-H110)-($D$114-H114)-($D$116-H116),0)</f>
        <v>10</v>
      </c>
      <c r="I124" s="766"/>
      <c r="J124" s="734" t="s">
        <v>1774</v>
      </c>
    </row>
    <row r="125" spans="1:10" ht="13.5" customHeight="1" thickBot="1">
      <c r="A125" s="1546" t="s">
        <v>1571</v>
      </c>
      <c r="B125" s="1547"/>
      <c r="C125" s="1461">
        <f>1/18</f>
        <v>5.5555555555555552E-2</v>
      </c>
      <c r="D125" s="791">
        <v>98.05</v>
      </c>
      <c r="E125" s="739"/>
      <c r="F125" s="739"/>
      <c r="G125" s="739"/>
      <c r="H125" s="739"/>
      <c r="I125" s="792">
        <f>信息系统!K137</f>
        <v>90.3</v>
      </c>
      <c r="J125" s="741" t="s">
        <v>1774</v>
      </c>
    </row>
    <row r="126" spans="1:10" ht="15">
      <c r="D126" s="719" t="s">
        <v>1392</v>
      </c>
      <c r="E126" s="793">
        <f>SUMPRODUCT(C11:C51,D11:D51)+SUMPRODUCT(C53:C55,D53:D55)+SUMPRODUCT(C61:C62,E61:E62)</f>
        <v>3.7777777777777768</v>
      </c>
      <c r="F126" s="793">
        <f>SUMPRODUCT(C63:C73,D63:D73)</f>
        <v>11.111111111111109</v>
      </c>
      <c r="G126" s="793">
        <f>C48*D48+C52*D52+SUMPRODUCT(C74:C79,D74:D79)+C82*D82+SUMPRODUCT(C86:C87,D86:D87)+SUMPRODUCT(C89:C90,D89:D90)+C91*D91+SUMPRODUCT(C94:C102,D94:D102)+C105*D105+C106*D106+C108*D108+C109*D109+SUMPRODUCT(C110:C112,D110:D112)+SUMPRODUCT(C122:C124,D122:D124)</f>
        <v>3.3999999999999995</v>
      </c>
      <c r="H126" s="793">
        <f>SUMPRODUCT(C113:C124,D113:D124)+C110*D110+C107*D107+SUMPRODUCT(C91:C104,D91:D104)+C88*D88+SUMPRODUCT(C83:C85,D83:D85)+C81*D81+SUMPRODUCT(C79:C80,D79:D80)+SUMPRODUCT(C74:C77,D74:D77)</f>
        <v>4.1555555555555559</v>
      </c>
      <c r="I126" s="793">
        <f>SUMPRODUCT(C2:C10,D2:D10)+SUMPRODUCT(C56:C60,D56:D60)+SUMPRODUCT(C94:C95,D94:D95)+C121*D121+C125*D125</f>
        <v>6.6083333333333334</v>
      </c>
    </row>
    <row r="127" spans="1:10" ht="15">
      <c r="D127" s="719" t="s">
        <v>1836</v>
      </c>
      <c r="E127" s="793">
        <f>SUMPRODUCT($C$2:$C$125,E2:E125)</f>
        <v>3.7777777777777763</v>
      </c>
      <c r="F127" s="793">
        <f>SUMPRODUCT($C$2:$C$125,F2:F125)</f>
        <v>10.496632996632995</v>
      </c>
      <c r="G127" s="793">
        <f>SUMPRODUCT($C$2:$C$125,G2:G125)</f>
        <v>3.28</v>
      </c>
      <c r="H127" s="793">
        <f>SUMPRODUCT($C$2:$C$125,H2:H125)</f>
        <v>4.1355555555555554</v>
      </c>
      <c r="I127" s="793">
        <f>SUMPRODUCT($C$2:$C$125,I2:I125)</f>
        <v>6.177777777777778</v>
      </c>
    </row>
    <row r="128" spans="1:10" ht="15">
      <c r="D128" s="719" t="s">
        <v>1386</v>
      </c>
      <c r="E128" s="793">
        <f>E127/E126*100</f>
        <v>99.999999999999986</v>
      </c>
      <c r="F128" s="793">
        <f>F127/F126*100</f>
        <v>94.469696969696969</v>
      </c>
      <c r="G128" s="793">
        <f>G127/G126*100</f>
        <v>96.47058823529413</v>
      </c>
      <c r="H128" s="793">
        <f>H127/H126*100</f>
        <v>99.518716577540104</v>
      </c>
      <c r="I128" s="793">
        <f>I127/I126*100</f>
        <v>93.484657419083646</v>
      </c>
    </row>
    <row r="133" spans="1:5" ht="15">
      <c r="C133" s="1462" t="s">
        <v>1079</v>
      </c>
      <c r="D133" s="794">
        <f>VALUE($E$128)</f>
        <v>99.999999999999986</v>
      </c>
    </row>
    <row r="134" spans="1:5" ht="15">
      <c r="C134" s="1462" t="s">
        <v>1281</v>
      </c>
      <c r="D134" s="794">
        <f>VALUE($G$128)</f>
        <v>96.47058823529413</v>
      </c>
    </row>
    <row r="135" spans="1:5" ht="15">
      <c r="A135" s="795"/>
      <c r="B135" s="795"/>
      <c r="C135" s="1462" t="s">
        <v>1396</v>
      </c>
      <c r="D135" s="794">
        <f>VALUE($H$128)</f>
        <v>99.518716577540104</v>
      </c>
      <c r="E135" s="795"/>
    </row>
    <row r="136" spans="1:5" ht="15">
      <c r="C136" s="1462" t="s">
        <v>1817</v>
      </c>
      <c r="D136" s="794">
        <f>VALUE($F$128)</f>
        <v>94.469696969696969</v>
      </c>
    </row>
    <row r="137" spans="1:5" ht="15">
      <c r="C137" s="1462" t="s">
        <v>1280</v>
      </c>
      <c r="D137" s="794">
        <f>VALUE($I$128)</f>
        <v>93.484657419083646</v>
      </c>
    </row>
    <row r="139" spans="1:5">
      <c r="A139" s="796" t="s">
        <v>1968</v>
      </c>
    </row>
    <row r="140" spans="1:5">
      <c r="A140" s="796" t="s">
        <v>1964</v>
      </c>
    </row>
    <row r="141" spans="1:5">
      <c r="A141" s="796" t="s">
        <v>1966</v>
      </c>
    </row>
    <row r="142" spans="1:5">
      <c r="A142" s="796" t="s">
        <v>1965</v>
      </c>
    </row>
  </sheetData>
  <sortState ref="C133:D137">
    <sortCondition descending="1" ref="D133"/>
  </sortState>
  <mergeCells count="119">
    <mergeCell ref="C14:C15"/>
    <mergeCell ref="C18:C19"/>
    <mergeCell ref="C21:C22"/>
    <mergeCell ref="C23:C24"/>
    <mergeCell ref="D50:D51"/>
    <mergeCell ref="D45:D46"/>
    <mergeCell ref="D48:D49"/>
    <mergeCell ref="D40:D41"/>
    <mergeCell ref="D43:D44"/>
    <mergeCell ref="D36:D37"/>
    <mergeCell ref="D38:D39"/>
    <mergeCell ref="D25:D26"/>
    <mergeCell ref="D32:D33"/>
    <mergeCell ref="D21:D22"/>
    <mergeCell ref="D23:D24"/>
    <mergeCell ref="D14:D15"/>
    <mergeCell ref="D18:D19"/>
    <mergeCell ref="C50:C51"/>
    <mergeCell ref="C48:C49"/>
    <mergeCell ref="C45:C46"/>
    <mergeCell ref="C43:C44"/>
    <mergeCell ref="C38:C39"/>
    <mergeCell ref="C36:C37"/>
    <mergeCell ref="C32:C33"/>
    <mergeCell ref="C25:C26"/>
    <mergeCell ref="C40:C41"/>
    <mergeCell ref="I18:I19"/>
    <mergeCell ref="G14:G15"/>
    <mergeCell ref="H14:H15"/>
    <mergeCell ref="F14:F15"/>
    <mergeCell ref="I14:I15"/>
    <mergeCell ref="E18:E19"/>
    <mergeCell ref="G18:G19"/>
    <mergeCell ref="H18:H19"/>
    <mergeCell ref="F18:F19"/>
    <mergeCell ref="E14:E15"/>
    <mergeCell ref="I21:I22"/>
    <mergeCell ref="I23:I24"/>
    <mergeCell ref="E25:E26"/>
    <mergeCell ref="G25:G26"/>
    <mergeCell ref="H25:H26"/>
    <mergeCell ref="F25:F26"/>
    <mergeCell ref="I25:I26"/>
    <mergeCell ref="E23:E24"/>
    <mergeCell ref="G23:G24"/>
    <mergeCell ref="H23:H24"/>
    <mergeCell ref="F23:F24"/>
    <mergeCell ref="E21:E22"/>
    <mergeCell ref="H21:H22"/>
    <mergeCell ref="F21:F22"/>
    <mergeCell ref="I38:I39"/>
    <mergeCell ref="E36:E37"/>
    <mergeCell ref="G36:G37"/>
    <mergeCell ref="H36:H37"/>
    <mergeCell ref="F36:F37"/>
    <mergeCell ref="I36:I37"/>
    <mergeCell ref="I32:I33"/>
    <mergeCell ref="E32:E33"/>
    <mergeCell ref="G32:G33"/>
    <mergeCell ref="H32:H33"/>
    <mergeCell ref="F32:F33"/>
    <mergeCell ref="I45:I46"/>
    <mergeCell ref="E43:E44"/>
    <mergeCell ref="G43:G44"/>
    <mergeCell ref="H43:H44"/>
    <mergeCell ref="F43:F44"/>
    <mergeCell ref="E40:E41"/>
    <mergeCell ref="G40:G41"/>
    <mergeCell ref="H40:H41"/>
    <mergeCell ref="F40:F41"/>
    <mergeCell ref="I40:I41"/>
    <mergeCell ref="I2:I3"/>
    <mergeCell ref="I4:I5"/>
    <mergeCell ref="A8:A10"/>
    <mergeCell ref="A2:A6"/>
    <mergeCell ref="D2:D3"/>
    <mergeCell ref="D4:D5"/>
    <mergeCell ref="C2:C3"/>
    <mergeCell ref="C4:C5"/>
    <mergeCell ref="E54:E55"/>
    <mergeCell ref="G54:G55"/>
    <mergeCell ref="H54:H55"/>
    <mergeCell ref="F54:F55"/>
    <mergeCell ref="I43:I44"/>
    <mergeCell ref="I54:I55"/>
    <mergeCell ref="E50:E51"/>
    <mergeCell ref="G50:G51"/>
    <mergeCell ref="H50:H51"/>
    <mergeCell ref="F50:F51"/>
    <mergeCell ref="I50:I51"/>
    <mergeCell ref="E48:E49"/>
    <mergeCell ref="H48:H49"/>
    <mergeCell ref="F48:F49"/>
    <mergeCell ref="I48:I49"/>
    <mergeCell ref="G48:G49"/>
    <mergeCell ref="A97:A124"/>
    <mergeCell ref="A125:B125"/>
    <mergeCell ref="E2:E3"/>
    <mergeCell ref="G2:G3"/>
    <mergeCell ref="H2:H3"/>
    <mergeCell ref="F2:F3"/>
    <mergeCell ref="E4:E5"/>
    <mergeCell ref="G4:G5"/>
    <mergeCell ref="H4:H5"/>
    <mergeCell ref="F4:F5"/>
    <mergeCell ref="A74:A96"/>
    <mergeCell ref="E45:E46"/>
    <mergeCell ref="G45:G46"/>
    <mergeCell ref="H45:H46"/>
    <mergeCell ref="F45:F46"/>
    <mergeCell ref="E38:E39"/>
    <mergeCell ref="G38:G39"/>
    <mergeCell ref="H38:H39"/>
    <mergeCell ref="F38:F39"/>
    <mergeCell ref="A11:A62"/>
    <mergeCell ref="D54:D55"/>
    <mergeCell ref="C54:C55"/>
    <mergeCell ref="A63:A73"/>
    <mergeCell ref="G21:G22"/>
  </mergeCells>
  <phoneticPr fontId="3" type="noConversion"/>
  <conditionalFormatting sqref="I2:I10">
    <cfRule type="cellIs" dxfId="336" priority="42" operator="lessThan">
      <formula>D2</formula>
    </cfRule>
  </conditionalFormatting>
  <conditionalFormatting sqref="E11:E51">
    <cfRule type="cellIs" dxfId="335" priority="41" operator="lessThan">
      <formula>D11</formula>
    </cfRule>
  </conditionalFormatting>
  <conditionalFormatting sqref="G48:G49">
    <cfRule type="cellIs" dxfId="334" priority="40" operator="lessThan">
      <formula>$D$48</formula>
    </cfRule>
  </conditionalFormatting>
  <conditionalFormatting sqref="G52">
    <cfRule type="cellIs" dxfId="333" priority="39" operator="lessThan">
      <formula>$D$52</formula>
    </cfRule>
  </conditionalFormatting>
  <conditionalFormatting sqref="E53:E55">
    <cfRule type="cellIs" dxfId="332" priority="38" operator="lessThan">
      <formula>D53</formula>
    </cfRule>
  </conditionalFormatting>
  <conditionalFormatting sqref="I56:I60">
    <cfRule type="cellIs" dxfId="331" priority="37" operator="lessThan">
      <formula>D56</formula>
    </cfRule>
  </conditionalFormatting>
  <conditionalFormatting sqref="E61:E62">
    <cfRule type="cellIs" dxfId="330" priority="36" operator="lessThan">
      <formula>D61</formula>
    </cfRule>
  </conditionalFormatting>
  <conditionalFormatting sqref="F63:F73">
    <cfRule type="cellIs" dxfId="329" priority="35" operator="lessThan">
      <formula>D63</formula>
    </cfRule>
  </conditionalFormatting>
  <conditionalFormatting sqref="G74:G79">
    <cfRule type="cellIs" dxfId="328" priority="34" operator="lessThan">
      <formula>D74</formula>
    </cfRule>
  </conditionalFormatting>
  <conditionalFormatting sqref="H79">
    <cfRule type="cellIs" dxfId="327" priority="32" operator="lessThan">
      <formula>$D$79</formula>
    </cfRule>
  </conditionalFormatting>
  <conditionalFormatting sqref="H80">
    <cfRule type="cellIs" dxfId="326" priority="31" operator="lessThan">
      <formula>$D$80</formula>
    </cfRule>
  </conditionalFormatting>
  <conditionalFormatting sqref="G82">
    <cfRule type="cellIs" dxfId="325" priority="30" operator="lessThan">
      <formula>$D$82</formula>
    </cfRule>
  </conditionalFormatting>
  <conditionalFormatting sqref="H83:H85 H94:H104 H113:H124">
    <cfRule type="cellIs" dxfId="324" priority="29" operator="lessThan">
      <formula>D83</formula>
    </cfRule>
  </conditionalFormatting>
  <conditionalFormatting sqref="G86">
    <cfRule type="cellIs" dxfId="323" priority="27" operator="lessThan">
      <formula>D86</formula>
    </cfRule>
  </conditionalFormatting>
  <conditionalFormatting sqref="G87">
    <cfRule type="cellIs" dxfId="322" priority="26" operator="lessThan">
      <formula>D87</formula>
    </cfRule>
  </conditionalFormatting>
  <conditionalFormatting sqref="H88">
    <cfRule type="cellIs" dxfId="321" priority="24" operator="lessThan">
      <formula>D88</formula>
    </cfRule>
  </conditionalFormatting>
  <conditionalFormatting sqref="G89:G90">
    <cfRule type="cellIs" dxfId="320" priority="23" operator="lessThan">
      <formula>D89</formula>
    </cfRule>
  </conditionalFormatting>
  <conditionalFormatting sqref="G91:H91">
    <cfRule type="cellIs" dxfId="319" priority="21" operator="lessThan">
      <formula>6</formula>
    </cfRule>
  </conditionalFormatting>
  <conditionalFormatting sqref="H92">
    <cfRule type="cellIs" dxfId="318" priority="19" operator="lessThan">
      <formula>5</formula>
    </cfRule>
  </conditionalFormatting>
  <conditionalFormatting sqref="G94:H102">
    <cfRule type="cellIs" dxfId="317" priority="18" operator="lessThan">
      <formula>D94</formula>
    </cfRule>
  </conditionalFormatting>
  <conditionalFormatting sqref="H74:H77">
    <cfRule type="cellIs" dxfId="316" priority="17" operator="lessThan">
      <formula>D74</formula>
    </cfRule>
  </conditionalFormatting>
  <conditionalFormatting sqref="I94:I95">
    <cfRule type="cellIs" dxfId="315" priority="15" operator="lessThan">
      <formula>D94</formula>
    </cfRule>
  </conditionalFormatting>
  <conditionalFormatting sqref="G105">
    <cfRule type="cellIs" dxfId="314" priority="13" operator="lessThan">
      <formula>$D$105</formula>
    </cfRule>
    <cfRule type="cellIs" dxfId="313" priority="14" operator="greaterThan">
      <formula>$D$105</formula>
    </cfRule>
  </conditionalFormatting>
  <conditionalFormatting sqref="G106">
    <cfRule type="cellIs" dxfId="312" priority="11" operator="lessThan">
      <formula>$D$106</formula>
    </cfRule>
  </conditionalFormatting>
  <conditionalFormatting sqref="H107">
    <cfRule type="cellIs" dxfId="311" priority="9" operator="lessThan">
      <formula>$D$107</formula>
    </cfRule>
  </conditionalFormatting>
  <conditionalFormatting sqref="G108:G109">
    <cfRule type="cellIs" dxfId="310" priority="8" operator="lessThan">
      <formula>$D$108</formula>
    </cfRule>
  </conditionalFormatting>
  <conditionalFormatting sqref="G110:H110">
    <cfRule type="cellIs" dxfId="309" priority="6" operator="lessThan">
      <formula>$D$110</formula>
    </cfRule>
  </conditionalFormatting>
  <conditionalFormatting sqref="G111:G112">
    <cfRule type="cellIs" dxfId="308" priority="5" operator="lessThan">
      <formula>D111</formula>
    </cfRule>
  </conditionalFormatting>
  <conditionalFormatting sqref="G122:G124 H124">
    <cfRule type="cellIs" dxfId="307" priority="3" operator="lessThan">
      <formula>D122</formula>
    </cfRule>
  </conditionalFormatting>
  <conditionalFormatting sqref="I121">
    <cfRule type="cellIs" dxfId="306" priority="2" operator="lessThan">
      <formula>$D$121</formula>
    </cfRule>
  </conditionalFormatting>
  <conditionalFormatting sqref="I125">
    <cfRule type="cellIs" dxfId="305" priority="1" operator="lessThan">
      <formula>$D$125</formula>
    </cfRule>
  </conditionalFormatting>
  <hyperlinks>
    <hyperlink ref="A139" location="绩效总分!A1" display="绩效总分"/>
    <hyperlink ref="A140" location="'总公司绩效-II'!A1" display="总公司绩效-II"/>
    <hyperlink ref="A141" location="分公司绩效!A1" display="分公司绩效"/>
    <hyperlink ref="A142" location="目录!A1" display="目录"/>
  </hyperlinks>
  <pageMargins left="0.7" right="0.7" top="0.75" bottom="0.75" header="0.3" footer="0.3"/>
  <ignoredErrors>
    <ignoredError sqref="F126" formulaRange="1"/>
  </ignoredErrors>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A132"/>
  <sheetViews>
    <sheetView workbookViewId="0">
      <pane xSplit="4" ySplit="1" topLeftCell="E80" activePane="bottomRight" state="frozenSplit"/>
      <selection pane="topRight" activeCell="P1" sqref="P1"/>
      <selection pane="bottomLeft" activeCell="A15" sqref="A15"/>
      <selection pane="bottomRight" activeCell="J93" sqref="J93:N109"/>
    </sheetView>
  </sheetViews>
  <sheetFormatPr defaultRowHeight="13.5"/>
  <cols>
    <col min="1" max="1" width="8" style="316" customWidth="1"/>
    <col min="2" max="2" width="48.125" style="316" customWidth="1"/>
    <col min="3" max="3" width="9.25" style="316" bestFit="1" customWidth="1"/>
    <col min="4" max="4" width="8.375" style="316" customWidth="1"/>
    <col min="5" max="5" width="7.25" style="316" customWidth="1"/>
    <col min="6" max="8" width="7.25" style="316" bestFit="1" customWidth="1"/>
    <col min="9" max="10" width="7.25" style="316" customWidth="1"/>
    <col min="11" max="14" width="7.25" style="316" bestFit="1" customWidth="1"/>
    <col min="15" max="15" width="14.375" style="316" customWidth="1"/>
    <col min="16" max="16" width="13.125" style="660" bestFit="1" customWidth="1"/>
    <col min="17" max="17" width="13.125" style="660" customWidth="1"/>
    <col min="18" max="19" width="6" style="316" customWidth="1"/>
    <col min="20" max="20" width="9" style="316"/>
    <col min="21" max="21" width="7.75" style="316" customWidth="1"/>
    <col min="22" max="22" width="8.875" style="316" customWidth="1"/>
    <col min="23" max="23" width="7.875" style="316" customWidth="1"/>
    <col min="24" max="25" width="9" style="316"/>
    <col min="26" max="26" width="6.875" style="316" customWidth="1"/>
    <col min="27" max="16384" width="9" style="316"/>
  </cols>
  <sheetData>
    <row r="1" spans="1:17" ht="15">
      <c r="A1" s="797" t="s">
        <v>1718</v>
      </c>
      <c r="B1" s="797" t="s">
        <v>1719</v>
      </c>
      <c r="C1" s="797" t="s">
        <v>1720</v>
      </c>
      <c r="D1" s="797" t="s">
        <v>1721</v>
      </c>
      <c r="E1" s="798" t="s">
        <v>1081</v>
      </c>
      <c r="F1" s="798" t="s">
        <v>1082</v>
      </c>
      <c r="G1" s="798" t="s">
        <v>1083</v>
      </c>
      <c r="H1" s="798" t="s">
        <v>1084</v>
      </c>
      <c r="I1" s="798" t="s">
        <v>1085</v>
      </c>
      <c r="J1" s="798" t="s">
        <v>1086</v>
      </c>
      <c r="K1" s="798" t="s">
        <v>1087</v>
      </c>
      <c r="L1" s="798" t="s">
        <v>1088</v>
      </c>
      <c r="M1" s="798" t="s">
        <v>1089</v>
      </c>
      <c r="N1" s="798" t="s">
        <v>1090</v>
      </c>
      <c r="O1" s="671" t="s">
        <v>1777</v>
      </c>
    </row>
    <row r="2" spans="1:17" ht="14.25">
      <c r="A2" s="1591" t="s">
        <v>1796</v>
      </c>
      <c r="B2" s="799" t="s">
        <v>1099</v>
      </c>
      <c r="C2" s="1429">
        <f t="shared" ref="C2:C61" si="0">70%*(1/18)</f>
        <v>3.8888888888888883E-2</v>
      </c>
      <c r="D2" s="800">
        <v>3</v>
      </c>
      <c r="E2" s="801">
        <v>3</v>
      </c>
      <c r="F2" s="801">
        <v>3</v>
      </c>
      <c r="G2" s="801">
        <v>3</v>
      </c>
      <c r="H2" s="801">
        <v>3</v>
      </c>
      <c r="I2" s="801">
        <v>3</v>
      </c>
      <c r="J2" s="801">
        <v>3</v>
      </c>
      <c r="K2" s="801">
        <v>3</v>
      </c>
      <c r="L2" s="801">
        <v>3</v>
      </c>
      <c r="M2" s="801">
        <v>3</v>
      </c>
      <c r="N2" s="801">
        <v>3</v>
      </c>
      <c r="O2" s="311" t="s">
        <v>1775</v>
      </c>
      <c r="P2" s="802"/>
      <c r="Q2" s="802"/>
    </row>
    <row r="3" spans="1:17" ht="14.25">
      <c r="A3" s="1592"/>
      <c r="B3" s="799" t="s">
        <v>1722</v>
      </c>
      <c r="C3" s="1429">
        <f t="shared" si="0"/>
        <v>3.8888888888888883E-2</v>
      </c>
      <c r="D3" s="800">
        <v>2</v>
      </c>
      <c r="E3" s="801">
        <v>2</v>
      </c>
      <c r="F3" s="801">
        <v>2</v>
      </c>
      <c r="G3" s="801">
        <v>2</v>
      </c>
      <c r="H3" s="801">
        <v>2</v>
      </c>
      <c r="I3" s="801">
        <v>2</v>
      </c>
      <c r="J3" s="801">
        <v>2</v>
      </c>
      <c r="K3" s="801">
        <v>2</v>
      </c>
      <c r="L3" s="801">
        <v>2</v>
      </c>
      <c r="M3" s="801">
        <v>2</v>
      </c>
      <c r="N3" s="801">
        <v>2</v>
      </c>
      <c r="O3" s="311" t="s">
        <v>1775</v>
      </c>
      <c r="P3" s="802"/>
      <c r="Q3" s="802"/>
    </row>
    <row r="4" spans="1:17" ht="14.25">
      <c r="A4" s="1592"/>
      <c r="B4" s="799" t="s">
        <v>1723</v>
      </c>
      <c r="C4" s="1429">
        <f t="shared" si="0"/>
        <v>3.8888888888888883E-2</v>
      </c>
      <c r="D4" s="800">
        <v>3</v>
      </c>
      <c r="E4" s="311">
        <f>'OR04-分公司销售、承保、保全'!W10</f>
        <v>1.5</v>
      </c>
      <c r="F4" s="311">
        <f>'OR04-分公司销售、承保、保全'!AC10</f>
        <v>3</v>
      </c>
      <c r="G4" s="311">
        <f>'OR04-分公司销售、承保、保全'!AI10</f>
        <v>1.5</v>
      </c>
      <c r="H4" s="311">
        <f>'OR04-分公司销售、承保、保全'!AO10</f>
        <v>1.5</v>
      </c>
      <c r="I4" s="311">
        <f>'OR04-分公司销售、承保、保全'!AU10</f>
        <v>1.5</v>
      </c>
      <c r="J4" s="311">
        <f>'OR04-分公司销售、承保、保全'!BA10</f>
        <v>1.5</v>
      </c>
      <c r="K4" s="311">
        <f>'OR04-分公司销售、承保、保全'!BG10</f>
        <v>1.5</v>
      </c>
      <c r="L4" s="311">
        <f>'OR04-分公司销售、承保、保全'!BM10</f>
        <v>1.5</v>
      </c>
      <c r="M4" s="311">
        <f>'OR04-分公司销售、承保、保全'!BS10</f>
        <v>1.5</v>
      </c>
      <c r="N4" s="311">
        <f>'OR04-分公司销售、承保、保全'!BY10</f>
        <v>1.5</v>
      </c>
      <c r="O4" s="311" t="s">
        <v>1776</v>
      </c>
    </row>
    <row r="5" spans="1:17" ht="14.25">
      <c r="A5" s="1592"/>
      <c r="B5" s="799" t="s">
        <v>1724</v>
      </c>
      <c r="C5" s="1429">
        <f t="shared" si="0"/>
        <v>3.8888888888888883E-2</v>
      </c>
      <c r="D5" s="800">
        <v>3</v>
      </c>
      <c r="E5" s="311">
        <f>'OR04-分公司销售、承保、保全'!W14</f>
        <v>3</v>
      </c>
      <c r="F5" s="311">
        <f>'OR04-分公司销售、承保、保全'!AC14</f>
        <v>3</v>
      </c>
      <c r="G5" s="311">
        <f>'OR04-分公司销售、承保、保全'!AI14</f>
        <v>3</v>
      </c>
      <c r="H5" s="311">
        <f>'OR04-分公司销售、承保、保全'!AO14</f>
        <v>3</v>
      </c>
      <c r="I5" s="311">
        <f>'OR04-分公司销售、承保、保全'!AU14</f>
        <v>3</v>
      </c>
      <c r="J5" s="311">
        <f>'OR04-分公司销售、承保、保全'!BA14</f>
        <v>3</v>
      </c>
      <c r="K5" s="311">
        <f>'OR04-分公司销售、承保、保全'!BG14</f>
        <v>3</v>
      </c>
      <c r="L5" s="311">
        <f>'OR04-分公司销售、承保、保全'!BM14</f>
        <v>3</v>
      </c>
      <c r="M5" s="311">
        <f>'OR04-分公司销售、承保、保全'!BS14</f>
        <v>3</v>
      </c>
      <c r="N5" s="311">
        <f>'OR04-分公司销售、承保、保全'!BY14</f>
        <v>3</v>
      </c>
      <c r="O5" s="311" t="s">
        <v>1776</v>
      </c>
    </row>
    <row r="6" spans="1:17" ht="14.25">
      <c r="A6" s="1592"/>
      <c r="B6" s="799" t="s">
        <v>1725</v>
      </c>
      <c r="C6" s="1429">
        <f t="shared" si="0"/>
        <v>3.8888888888888883E-2</v>
      </c>
      <c r="D6" s="800">
        <v>4</v>
      </c>
      <c r="E6" s="311">
        <f>'OR04-分公司销售、承保、保全'!W15</f>
        <v>4</v>
      </c>
      <c r="F6" s="311">
        <f>'OR04-分公司销售、承保、保全'!AC15</f>
        <v>4</v>
      </c>
      <c r="G6" s="311">
        <f>'OR04-分公司销售、承保、保全'!AI15</f>
        <v>4</v>
      </c>
      <c r="H6" s="311">
        <f>'OR04-分公司销售、承保、保全'!AO15</f>
        <v>4</v>
      </c>
      <c r="I6" s="311">
        <f>'OR04-分公司销售、承保、保全'!AU15</f>
        <v>4</v>
      </c>
      <c r="J6" s="311">
        <f>'OR04-分公司销售、承保、保全'!BA15</f>
        <v>4</v>
      </c>
      <c r="K6" s="311">
        <f>'OR04-分公司销售、承保、保全'!BG15</f>
        <v>4</v>
      </c>
      <c r="L6" s="311">
        <f>'OR04-分公司销售、承保、保全'!BM15</f>
        <v>4</v>
      </c>
      <c r="M6" s="311">
        <f>'OR04-分公司销售、承保、保全'!BS15</f>
        <v>4</v>
      </c>
      <c r="N6" s="311">
        <f>'OR04-分公司销售、承保、保全'!BY15</f>
        <v>4</v>
      </c>
      <c r="O6" s="311" t="s">
        <v>1776</v>
      </c>
    </row>
    <row r="7" spans="1:17" ht="14.25">
      <c r="A7" s="1592"/>
      <c r="B7" s="799" t="s">
        <v>1726</v>
      </c>
      <c r="C7" s="1429">
        <f t="shared" si="0"/>
        <v>3.8888888888888883E-2</v>
      </c>
      <c r="D7" s="800">
        <v>1</v>
      </c>
      <c r="E7" s="311">
        <f>'OR04-分公司销售、承保、保全'!W16</f>
        <v>1</v>
      </c>
      <c r="F7" s="311">
        <f>'OR04-分公司销售、承保、保全'!AC16</f>
        <v>1</v>
      </c>
      <c r="G7" s="311">
        <f>'OR04-分公司销售、承保、保全'!AI16</f>
        <v>1</v>
      </c>
      <c r="H7" s="311">
        <f>'OR04-分公司销售、承保、保全'!AO16</f>
        <v>1</v>
      </c>
      <c r="I7" s="311">
        <f>'OR04-分公司销售、承保、保全'!AU16</f>
        <v>1</v>
      </c>
      <c r="J7" s="311">
        <f>'OR04-分公司销售、承保、保全'!BA16</f>
        <v>1</v>
      </c>
      <c r="K7" s="311">
        <f>'OR04-分公司销售、承保、保全'!BG16</f>
        <v>1</v>
      </c>
      <c r="L7" s="311">
        <f>'OR04-分公司销售、承保、保全'!BM16</f>
        <v>1</v>
      </c>
      <c r="M7" s="311">
        <f>'OR04-分公司销售、承保、保全'!BS16</f>
        <v>1</v>
      </c>
      <c r="N7" s="311">
        <f>'OR04-分公司销售、承保、保全'!BY16</f>
        <v>1</v>
      </c>
      <c r="O7" s="311" t="s">
        <v>1776</v>
      </c>
    </row>
    <row r="8" spans="1:17" ht="14.25">
      <c r="A8" s="1592"/>
      <c r="B8" s="799" t="s">
        <v>1727</v>
      </c>
      <c r="C8" s="1429">
        <f t="shared" si="0"/>
        <v>3.8888888888888883E-2</v>
      </c>
      <c r="D8" s="800">
        <v>2</v>
      </c>
      <c r="E8" s="311">
        <f>'OR04-分公司销售、承保、保全'!W19</f>
        <v>2</v>
      </c>
      <c r="F8" s="311">
        <f>'OR04-分公司销售、承保、保全'!AC19</f>
        <v>2</v>
      </c>
      <c r="G8" s="311">
        <f>'OR04-分公司销售、承保、保全'!AI19</f>
        <v>2</v>
      </c>
      <c r="H8" s="311">
        <f>'OR04-分公司销售、承保、保全'!AO22</f>
        <v>2</v>
      </c>
      <c r="I8" s="311">
        <f>'OR04-分公司销售、承保、保全'!AU19</f>
        <v>2</v>
      </c>
      <c r="J8" s="311">
        <f>'OR04-分公司销售、承保、保全'!BA19</f>
        <v>2</v>
      </c>
      <c r="K8" s="311">
        <f>'OR04-分公司销售、承保、保全'!BG19</f>
        <v>2</v>
      </c>
      <c r="L8" s="311">
        <f>'OR04-分公司销售、承保、保全'!BM19</f>
        <v>2</v>
      </c>
      <c r="M8" s="311">
        <f>'OR04-分公司销售、承保、保全'!BS19</f>
        <v>2</v>
      </c>
      <c r="N8" s="311">
        <f>'OR04-分公司销售、承保、保全'!BY19</f>
        <v>2</v>
      </c>
      <c r="O8" s="311" t="s">
        <v>1776</v>
      </c>
    </row>
    <row r="9" spans="1:17" ht="14.25">
      <c r="A9" s="1592"/>
      <c r="B9" s="799" t="s">
        <v>1728</v>
      </c>
      <c r="C9" s="1429">
        <f t="shared" si="0"/>
        <v>3.8888888888888883E-2</v>
      </c>
      <c r="D9" s="800">
        <v>2</v>
      </c>
      <c r="E9" s="311">
        <f>'OR04-分公司销售、承保、保全'!W22</f>
        <v>2</v>
      </c>
      <c r="F9" s="311">
        <f>'OR04-分公司销售、承保、保全'!AC22</f>
        <v>2</v>
      </c>
      <c r="G9" s="311">
        <f>'OR04-分公司销售、承保、保全'!AI22</f>
        <v>2</v>
      </c>
      <c r="H9" s="311">
        <f>'OR04-分公司销售、承保、保全'!AO22</f>
        <v>2</v>
      </c>
      <c r="I9" s="311">
        <f>'OR04-分公司销售、承保、保全'!AU22</f>
        <v>1</v>
      </c>
      <c r="J9" s="311">
        <f>'OR04-分公司销售、承保、保全'!BA22</f>
        <v>2</v>
      </c>
      <c r="K9" s="311">
        <f>'OR04-分公司销售、承保、保全'!BG22</f>
        <v>2</v>
      </c>
      <c r="L9" s="311">
        <f>'OR04-分公司销售、承保、保全'!BM22</f>
        <v>2</v>
      </c>
      <c r="M9" s="311">
        <f>'OR04-分公司销售、承保、保全'!BS22</f>
        <v>2</v>
      </c>
      <c r="N9" s="311">
        <f>'OR04-分公司销售、承保、保全'!BY22</f>
        <v>2</v>
      </c>
      <c r="O9" s="311" t="s">
        <v>1776</v>
      </c>
    </row>
    <row r="10" spans="1:17" ht="14.25">
      <c r="A10" s="1592"/>
      <c r="B10" s="799" t="s">
        <v>1729</v>
      </c>
      <c r="C10" s="1429">
        <f t="shared" si="0"/>
        <v>3.8888888888888883E-2</v>
      </c>
      <c r="D10" s="800">
        <v>2</v>
      </c>
      <c r="E10" s="311">
        <f>'OR04-分公司销售、承保、保全'!W25</f>
        <v>0.5714285714285714</v>
      </c>
      <c r="F10" s="311">
        <f>'OR04-分公司销售、承保、保全'!AC25</f>
        <v>0.3263888888888889</v>
      </c>
      <c r="G10" s="311">
        <f>'OR04-分公司销售、承保、保全'!AI25</f>
        <v>0.44574780058651026</v>
      </c>
      <c r="H10" s="311">
        <f>'OR04-分公司销售、承保、保全'!AO25</f>
        <v>0.32558139534883723</v>
      </c>
      <c r="I10" s="311">
        <f>'OR04-分公司销售、承保、保全'!AU25</f>
        <v>0.92307692307692313</v>
      </c>
      <c r="J10" s="311">
        <f>'OR04-分公司销售、承保、保全'!BA25</f>
        <v>0.47111111111111109</v>
      </c>
      <c r="K10" s="311">
        <f>'OR04-分公司销售、承保、保全'!BG25</f>
        <v>0.24691358024691357</v>
      </c>
      <c r="L10" s="311">
        <f>'OR04-分公司销售、承保、保全'!BM25</f>
        <v>0.30877192982456142</v>
      </c>
      <c r="M10" s="311">
        <f>'OR04-分公司销售、承保、保全'!BS25</f>
        <v>0.46666666666666667</v>
      </c>
      <c r="N10" s="311">
        <f>'OR04-分公司销售、承保、保全'!BY25</f>
        <v>0.37237237237237236</v>
      </c>
      <c r="O10" s="311" t="s">
        <v>1776</v>
      </c>
    </row>
    <row r="11" spans="1:17" ht="14.25">
      <c r="A11" s="1592"/>
      <c r="B11" s="799" t="s">
        <v>1671</v>
      </c>
      <c r="C11" s="1430"/>
      <c r="D11" s="800"/>
      <c r="E11" s="311">
        <f>'OR04-分公司销售、承保、保全'!V28</f>
        <v>0</v>
      </c>
      <c r="F11" s="311">
        <f>'OR04-分公司销售、承保、保全'!AB28</f>
        <v>3</v>
      </c>
      <c r="G11" s="311">
        <f>'OR04-分公司销售、承保、保全'!AH28</f>
        <v>3</v>
      </c>
      <c r="H11" s="311">
        <f>'OR04-分公司销售、承保、保全'!AN28</f>
        <v>2</v>
      </c>
      <c r="I11" s="311">
        <f>'OR04-分公司销售、承保、保全'!AT28</f>
        <v>2</v>
      </c>
      <c r="J11" s="311">
        <f>'OR04-分公司销售、承保、保全'!AZ28</f>
        <v>1</v>
      </c>
      <c r="K11" s="311">
        <f>'OR04-分公司销售、承保、保全'!BF28</f>
        <v>0</v>
      </c>
      <c r="L11" s="311">
        <f>'OR04-分公司销售、承保、保全'!BL28</f>
        <v>2</v>
      </c>
      <c r="M11" s="311">
        <f>'OR04-分公司销售、承保、保全'!BR28</f>
        <v>0</v>
      </c>
      <c r="N11" s="311">
        <f>'OR04-分公司销售、承保、保全'!BX28</f>
        <v>1</v>
      </c>
      <c r="O11" s="311" t="s">
        <v>1779</v>
      </c>
    </row>
    <row r="12" spans="1:17" ht="14.25">
      <c r="A12" s="1592"/>
      <c r="B12" s="799" t="s">
        <v>2005</v>
      </c>
      <c r="C12" s="1430"/>
      <c r="D12" s="800"/>
      <c r="E12" s="311">
        <f>'OR04-分公司销售、承保、保全'!V29</f>
        <v>0</v>
      </c>
      <c r="F12" s="311">
        <f>'OR04-分公司销售、承保、保全'!AB29</f>
        <v>0</v>
      </c>
      <c r="G12" s="311">
        <f>'OR04-分公司销售、承保、保全'!AH29</f>
        <v>0</v>
      </c>
      <c r="H12" s="311">
        <f>'OR04-分公司销售、承保、保全'!AN29</f>
        <v>0</v>
      </c>
      <c r="I12" s="311">
        <f>'OR04-分公司销售、承保、保全'!AT29</f>
        <v>0</v>
      </c>
      <c r="J12" s="311">
        <f>'OR04-分公司销售、承保、保全'!AZ29</f>
        <v>0</v>
      </c>
      <c r="K12" s="311">
        <f>'OR04-分公司销售、承保、保全'!BF29</f>
        <v>0</v>
      </c>
      <c r="L12" s="311">
        <f>'OR04-分公司销售、承保、保全'!BL29</f>
        <v>0</v>
      </c>
      <c r="M12" s="311">
        <f>'OR04-分公司销售、承保、保全'!BR29</f>
        <v>0</v>
      </c>
      <c r="N12" s="311">
        <f>'OR04-分公司销售、承保、保全'!BX29</f>
        <v>0</v>
      </c>
      <c r="O12" s="311" t="s">
        <v>1778</v>
      </c>
    </row>
    <row r="13" spans="1:17" ht="14.25">
      <c r="A13" s="1592"/>
      <c r="B13" s="799"/>
      <c r="C13" s="1431">
        <f t="shared" si="0"/>
        <v>3.8888888888888883E-2</v>
      </c>
      <c r="D13" s="800">
        <v>6</v>
      </c>
      <c r="E13" s="311">
        <f>'OR04-分公司销售、承保、保全'!W28</f>
        <v>6</v>
      </c>
      <c r="F13" s="311">
        <f>'OR04-分公司销售、承保、保全'!AC28</f>
        <v>4.5</v>
      </c>
      <c r="G13" s="311">
        <f>'OR04-分公司销售、承保、保全'!AI28</f>
        <v>4.5</v>
      </c>
      <c r="H13" s="311">
        <f>'OR04-分公司销售、承保、保全'!AO28</f>
        <v>5</v>
      </c>
      <c r="I13" s="311">
        <f>'OR04-分公司销售、承保、保全'!AU28</f>
        <v>5</v>
      </c>
      <c r="J13" s="311">
        <f>'OR04-分公司销售、承保、保全'!BA28</f>
        <v>5.5</v>
      </c>
      <c r="K13" s="311">
        <f>'OR04-分公司销售、承保、保全'!BG28</f>
        <v>6</v>
      </c>
      <c r="L13" s="311">
        <f>'OR04-分公司销售、承保、保全'!BM28</f>
        <v>5</v>
      </c>
      <c r="M13" s="311">
        <f>'OR04-分公司销售、承保、保全'!BS28</f>
        <v>6</v>
      </c>
      <c r="N13" s="311">
        <f>'OR04-分公司销售、承保、保全'!BY28</f>
        <v>5.5</v>
      </c>
      <c r="O13" s="311" t="s">
        <v>1776</v>
      </c>
    </row>
    <row r="14" spans="1:17" ht="14.25">
      <c r="A14" s="1592"/>
      <c r="B14" s="799" t="s">
        <v>1124</v>
      </c>
      <c r="C14" s="1430"/>
      <c r="D14" s="800"/>
      <c r="E14" s="311">
        <f>'OR04-分公司销售、承保、保全'!V30</f>
        <v>0</v>
      </c>
      <c r="F14" s="311">
        <f>'OR04-分公司销售、承保、保全'!AB30</f>
        <v>0</v>
      </c>
      <c r="G14" s="311">
        <f>'OR04-分公司销售、承保、保全'!AH30</f>
        <v>0</v>
      </c>
      <c r="H14" s="311">
        <f>'OR04-分公司销售、承保、保全'!AN30</f>
        <v>0</v>
      </c>
      <c r="I14" s="311">
        <f>'OR04-分公司销售、承保、保全'!AT30</f>
        <v>0</v>
      </c>
      <c r="J14" s="311">
        <f>'OR04-分公司销售、承保、保全'!AZ30</f>
        <v>0</v>
      </c>
      <c r="K14" s="311">
        <f>'OR04-分公司销售、承保、保全'!BF30</f>
        <v>0</v>
      </c>
      <c r="L14" s="311">
        <f>'OR04-分公司销售、承保、保全'!BL30</f>
        <v>0</v>
      </c>
      <c r="M14" s="311">
        <f>'OR04-分公司销售、承保、保全'!BR30</f>
        <v>0</v>
      </c>
      <c r="N14" s="311">
        <f>'OR04-分公司销售、承保、保全'!BX30</f>
        <v>0</v>
      </c>
      <c r="O14" s="311" t="s">
        <v>1778</v>
      </c>
    </row>
    <row r="15" spans="1:17" ht="14.25">
      <c r="A15" s="1592"/>
      <c r="B15" s="799" t="s">
        <v>1125</v>
      </c>
      <c r="C15" s="1432"/>
      <c r="D15" s="800"/>
      <c r="E15" s="311">
        <f>'OR04-分公司销售、承保、保全'!V31</f>
        <v>0</v>
      </c>
      <c r="F15" s="311">
        <f>'OR04-分公司销售、承保、保全'!AB31</f>
        <v>0</v>
      </c>
      <c r="G15" s="311">
        <f>'OR04-分公司销售、承保、保全'!AH31</f>
        <v>0</v>
      </c>
      <c r="H15" s="311">
        <f>'OR04-分公司销售、承保、保全'!AN31</f>
        <v>0</v>
      </c>
      <c r="I15" s="311">
        <f>'OR04-分公司销售、承保、保全'!AT31</f>
        <v>0</v>
      </c>
      <c r="J15" s="311">
        <f>'OR04-分公司销售、承保、保全'!AZ31</f>
        <v>0</v>
      </c>
      <c r="K15" s="311">
        <f>'OR04-分公司销售、承保、保全'!BF31</f>
        <v>0</v>
      </c>
      <c r="L15" s="311">
        <f>'OR04-分公司销售、承保、保全'!BL31</f>
        <v>0</v>
      </c>
      <c r="M15" s="311">
        <f>'OR04-分公司销售、承保、保全'!BR31</f>
        <v>0</v>
      </c>
      <c r="N15" s="311">
        <f>'OR04-分公司销售、承保、保全'!BX31</f>
        <v>0</v>
      </c>
      <c r="O15" s="311" t="s">
        <v>1778</v>
      </c>
    </row>
    <row r="16" spans="1:17" ht="14.25">
      <c r="A16" s="1592"/>
      <c r="B16" s="799"/>
      <c r="C16" s="1431">
        <f t="shared" si="0"/>
        <v>3.8888888888888883E-2</v>
      </c>
      <c r="D16" s="800">
        <v>6</v>
      </c>
      <c r="E16" s="311">
        <f>'OR04-分公司销售、承保、保全'!W30</f>
        <v>6</v>
      </c>
      <c r="F16" s="311">
        <f>'OR04-分公司销售、承保、保全'!AC30</f>
        <v>6</v>
      </c>
      <c r="G16" s="311">
        <f>'OR04-分公司销售、承保、保全'!AI30</f>
        <v>6</v>
      </c>
      <c r="H16" s="311">
        <f>'OR04-分公司销售、承保、保全'!AO30</f>
        <v>6</v>
      </c>
      <c r="I16" s="311">
        <f>'OR04-分公司销售、承保、保全'!AU30</f>
        <v>6</v>
      </c>
      <c r="J16" s="311">
        <f>'OR04-分公司销售、承保、保全'!BA30</f>
        <v>6</v>
      </c>
      <c r="K16" s="311">
        <f>'OR04-分公司销售、承保、保全'!BG30</f>
        <v>6</v>
      </c>
      <c r="L16" s="311">
        <f>'OR04-分公司销售、承保、保全'!BM30</f>
        <v>6</v>
      </c>
      <c r="M16" s="311">
        <f>'OR04-分公司销售、承保、保全'!BS30</f>
        <v>6</v>
      </c>
      <c r="N16" s="311">
        <f>'OR04-分公司销售、承保、保全'!BY30</f>
        <v>6</v>
      </c>
      <c r="O16" s="311" t="s">
        <v>1776</v>
      </c>
    </row>
    <row r="17" spans="1:15" ht="14.25">
      <c r="A17" s="1592"/>
      <c r="B17" s="803" t="s">
        <v>1462</v>
      </c>
      <c r="C17" s="1430"/>
      <c r="D17" s="800"/>
      <c r="E17" s="311">
        <f>'OR04-分公司销售、承保、保全'!V32</f>
        <v>0</v>
      </c>
      <c r="F17" s="311">
        <f>'OR04-分公司销售、承保、保全'!AB32</f>
        <v>0</v>
      </c>
      <c r="G17" s="311">
        <f>'OR04-分公司销售、承保、保全'!AH32</f>
        <v>0</v>
      </c>
      <c r="H17" s="311">
        <f>'OR04-分公司销售、承保、保全'!AN32</f>
        <v>1</v>
      </c>
      <c r="I17" s="311">
        <f>'OR04-分公司销售、承保、保全'!AT32</f>
        <v>0</v>
      </c>
      <c r="J17" s="311">
        <f>'OR04-分公司销售、承保、保全'!AZ32</f>
        <v>0</v>
      </c>
      <c r="K17" s="311">
        <f>'OR04-分公司销售、承保、保全'!BF32</f>
        <v>0</v>
      </c>
      <c r="L17" s="311">
        <f>'OR04-分公司销售、承保、保全'!BL32</f>
        <v>0</v>
      </c>
      <c r="M17" s="311">
        <f>'OR04-分公司销售、承保、保全'!BR32</f>
        <v>0</v>
      </c>
      <c r="N17" s="311">
        <f>'OR04-分公司销售、承保、保全'!BX32</f>
        <v>0</v>
      </c>
      <c r="O17" s="311" t="s">
        <v>1778</v>
      </c>
    </row>
    <row r="18" spans="1:15" ht="14.25">
      <c r="A18" s="1592"/>
      <c r="B18" s="799" t="s">
        <v>2030</v>
      </c>
      <c r="C18" s="1432"/>
      <c r="D18" s="800"/>
      <c r="E18" s="311">
        <f>'OR04-分公司销售、承保、保全'!V33</f>
        <v>0</v>
      </c>
      <c r="F18" s="311">
        <f>'OR04-分公司销售、承保、保全'!AB33</f>
        <v>0</v>
      </c>
      <c r="G18" s="311">
        <f>'OR04-分公司销售、承保、保全'!AH33</f>
        <v>0</v>
      </c>
      <c r="H18" s="311">
        <f>'OR04-分公司销售、承保、保全'!AN33</f>
        <v>0</v>
      </c>
      <c r="I18" s="311">
        <f>'OR04-分公司销售、承保、保全'!AT33</f>
        <v>0</v>
      </c>
      <c r="J18" s="311">
        <f>'OR04-分公司销售、承保、保全'!AZ33</f>
        <v>0</v>
      </c>
      <c r="K18" s="311">
        <f>'OR04-分公司销售、承保、保全'!BF33</f>
        <v>0</v>
      </c>
      <c r="L18" s="311">
        <f>'OR04-分公司销售、承保、保全'!BL33</f>
        <v>0</v>
      </c>
      <c r="M18" s="311">
        <f>'OR04-分公司销售、承保、保全'!BR33</f>
        <v>0</v>
      </c>
      <c r="N18" s="311">
        <f>'OR04-分公司销售、承保、保全'!BX33</f>
        <v>0</v>
      </c>
      <c r="O18" s="311" t="s">
        <v>1778</v>
      </c>
    </row>
    <row r="19" spans="1:15" ht="14.25">
      <c r="A19" s="1592"/>
      <c r="B19" s="804"/>
      <c r="C19" s="1431">
        <f t="shared" si="0"/>
        <v>3.8888888888888883E-2</v>
      </c>
      <c r="D19" s="800">
        <v>6</v>
      </c>
      <c r="E19" s="311">
        <f>'OR04-分公司销售、承保、保全'!W32</f>
        <v>6</v>
      </c>
      <c r="F19" s="311">
        <f>'OR04-分公司销售、承保、保全'!AC32</f>
        <v>6</v>
      </c>
      <c r="G19" s="311">
        <f>'OR04-分公司销售、承保、保全'!AI32</f>
        <v>6</v>
      </c>
      <c r="H19" s="311">
        <f>'OR04-分公司销售、承保、保全'!AO32</f>
        <v>3</v>
      </c>
      <c r="I19" s="311">
        <f>'OR04-分公司销售、承保、保全'!AU32</f>
        <v>6</v>
      </c>
      <c r="J19" s="311">
        <f>'OR04-分公司销售、承保、保全'!BA32</f>
        <v>6</v>
      </c>
      <c r="K19" s="311">
        <f>'OR04-分公司销售、承保、保全'!BG32</f>
        <v>6</v>
      </c>
      <c r="L19" s="311">
        <f>'OR04-分公司销售、承保、保全'!BM32</f>
        <v>6</v>
      </c>
      <c r="M19" s="311">
        <f>'OR04-分公司销售、承保、保全'!BS32</f>
        <v>6</v>
      </c>
      <c r="N19" s="311">
        <f>'OR04-分公司销售、承保、保全'!BY32</f>
        <v>6</v>
      </c>
      <c r="O19" s="311" t="s">
        <v>1776</v>
      </c>
    </row>
    <row r="20" spans="1:15" ht="14.25">
      <c r="A20" s="1592"/>
      <c r="B20" s="799" t="s">
        <v>1730</v>
      </c>
      <c r="C20" s="1429">
        <f t="shared" si="0"/>
        <v>3.8888888888888883E-2</v>
      </c>
      <c r="D20" s="800">
        <v>1</v>
      </c>
      <c r="E20" s="311">
        <f>'OR04-分公司销售、承保、保全'!W34</f>
        <v>1</v>
      </c>
      <c r="F20" s="311">
        <f>'OR04-分公司销售、承保、保全'!AC34</f>
        <v>1</v>
      </c>
      <c r="G20" s="311">
        <f>'OR04-分公司销售、承保、保全'!AI34</f>
        <v>1</v>
      </c>
      <c r="H20" s="311">
        <f>'OR04-分公司销售、承保、保全'!AO34</f>
        <v>1</v>
      </c>
      <c r="I20" s="311">
        <f>'OR04-分公司销售、承保、保全'!AU34</f>
        <v>1</v>
      </c>
      <c r="J20" s="311">
        <f>'OR04-分公司销售、承保、保全'!BA34</f>
        <v>1</v>
      </c>
      <c r="K20" s="311">
        <f>'OR04-分公司销售、承保、保全'!BG34</f>
        <v>1</v>
      </c>
      <c r="L20" s="311">
        <f>'OR04-分公司销售、承保、保全'!BM34</f>
        <v>1</v>
      </c>
      <c r="M20" s="311">
        <f>'OR04-分公司销售、承保、保全'!BS34</f>
        <v>1</v>
      </c>
      <c r="N20" s="311">
        <f>'OR04-分公司销售、承保、保全'!BY34</f>
        <v>1</v>
      </c>
      <c r="O20" s="311" t="s">
        <v>1776</v>
      </c>
    </row>
    <row r="21" spans="1:15" ht="14.25">
      <c r="A21" s="1592"/>
      <c r="B21" s="799" t="s">
        <v>1731</v>
      </c>
      <c r="C21" s="1429">
        <f t="shared" si="0"/>
        <v>3.8888888888888883E-2</v>
      </c>
      <c r="D21" s="800">
        <v>2</v>
      </c>
      <c r="E21" s="311">
        <f>'OR04-分公司销售、承保、保全'!W35</f>
        <v>2</v>
      </c>
      <c r="F21" s="311">
        <f>'OR04-分公司销售、承保、保全'!AC35</f>
        <v>2</v>
      </c>
      <c r="G21" s="311">
        <f>'OR04-分公司销售、承保、保全'!AI35</f>
        <v>2</v>
      </c>
      <c r="H21" s="311">
        <f>'OR04-分公司销售、承保、保全'!AO35</f>
        <v>2</v>
      </c>
      <c r="I21" s="311">
        <f>'OR04-分公司销售、承保、保全'!AU35</f>
        <v>2</v>
      </c>
      <c r="J21" s="311">
        <f>'OR04-分公司销售、承保、保全'!BA35</f>
        <v>2</v>
      </c>
      <c r="K21" s="311">
        <f>'OR04-分公司销售、承保、保全'!BG35</f>
        <v>2</v>
      </c>
      <c r="L21" s="311">
        <f>'OR04-分公司销售、承保、保全'!BM35</f>
        <v>2</v>
      </c>
      <c r="M21" s="311">
        <f>'OR04-分公司销售、承保、保全'!BS35</f>
        <v>2</v>
      </c>
      <c r="N21" s="311">
        <f>'OR04-分公司销售、承保、保全'!BY35</f>
        <v>2</v>
      </c>
      <c r="O21" s="311" t="s">
        <v>1776</v>
      </c>
    </row>
    <row r="22" spans="1:15" ht="14.25">
      <c r="A22" s="1592"/>
      <c r="B22" s="799" t="s">
        <v>1732</v>
      </c>
      <c r="C22" s="1429">
        <f t="shared" si="0"/>
        <v>3.8888888888888883E-2</v>
      </c>
      <c r="D22" s="800">
        <v>2</v>
      </c>
      <c r="E22" s="311">
        <f>'OR04-分公司销售、承保、保全'!W38</f>
        <v>2</v>
      </c>
      <c r="F22" s="311">
        <f>'OR04-分公司销售、承保、保全'!AC38</f>
        <v>2</v>
      </c>
      <c r="G22" s="311">
        <f>'OR04-分公司销售、承保、保全'!AI38</f>
        <v>2</v>
      </c>
      <c r="H22" s="311">
        <f>'OR04-分公司销售、承保、保全'!AO38</f>
        <v>2</v>
      </c>
      <c r="I22" s="311">
        <f>'OR04-分公司销售、承保、保全'!AU38</f>
        <v>2</v>
      </c>
      <c r="J22" s="311">
        <f>'OR04-分公司销售、承保、保全'!BA38</f>
        <v>2</v>
      </c>
      <c r="K22" s="311">
        <f>'OR04-分公司销售、承保、保全'!BG38</f>
        <v>2</v>
      </c>
      <c r="L22" s="311">
        <f>'OR04-分公司销售、承保、保全'!BM38</f>
        <v>2</v>
      </c>
      <c r="M22" s="311">
        <f>'OR04-分公司销售、承保、保全'!BS38</f>
        <v>2</v>
      </c>
      <c r="N22" s="311">
        <f>'OR04-分公司销售、承保、保全'!BY38</f>
        <v>2</v>
      </c>
      <c r="O22" s="311" t="s">
        <v>1776</v>
      </c>
    </row>
    <row r="23" spans="1:15" ht="14.25">
      <c r="A23" s="1592"/>
      <c r="B23" s="799" t="s">
        <v>2007</v>
      </c>
      <c r="C23" s="1433"/>
      <c r="D23" s="800"/>
      <c r="E23" s="311">
        <f>'OR04-分公司销售、承保、保全'!V41</f>
        <v>0</v>
      </c>
      <c r="F23" s="311">
        <f>'OR04-分公司销售、承保、保全'!AB41</f>
        <v>0</v>
      </c>
      <c r="G23" s="311">
        <f>'OR04-分公司销售、承保、保全'!AH41</f>
        <v>0</v>
      </c>
      <c r="H23" s="311">
        <f>'OR04-分公司销售、承保、保全'!AN41</f>
        <v>0</v>
      </c>
      <c r="I23" s="311">
        <f>'OR04-分公司销售、承保、保全'!AT41</f>
        <v>0</v>
      </c>
      <c r="J23" s="311">
        <f>'OR04-分公司销售、承保、保全'!AZ41</f>
        <v>0</v>
      </c>
      <c r="K23" s="311">
        <f>'OR04-分公司销售、承保、保全'!BF41</f>
        <v>0</v>
      </c>
      <c r="L23" s="311">
        <f>'OR04-分公司销售、承保、保全'!BL41</f>
        <v>0</v>
      </c>
      <c r="M23" s="311">
        <f>'OR04-分公司销售、承保、保全'!BR41</f>
        <v>0</v>
      </c>
      <c r="N23" s="311">
        <f>'OR04-分公司销售、承保、保全'!BX41</f>
        <v>0</v>
      </c>
      <c r="O23" s="311" t="s">
        <v>1778</v>
      </c>
    </row>
    <row r="24" spans="1:15" ht="14.25">
      <c r="A24" s="1592"/>
      <c r="B24" s="799" t="s">
        <v>2008</v>
      </c>
      <c r="C24" s="1433"/>
      <c r="D24" s="800"/>
      <c r="E24" s="311">
        <f>'OR04-分公司销售、承保、保全'!V42</f>
        <v>0</v>
      </c>
      <c r="F24" s="311">
        <f>'OR04-分公司销售、承保、保全'!AB42</f>
        <v>0</v>
      </c>
      <c r="G24" s="311">
        <f>'OR04-分公司销售、承保、保全'!AH42</f>
        <v>0</v>
      </c>
      <c r="H24" s="311">
        <f>'OR04-分公司销售、承保、保全'!AN42</f>
        <v>0</v>
      </c>
      <c r="I24" s="311">
        <f>'OR04-分公司销售、承保、保全'!AT42</f>
        <v>0</v>
      </c>
      <c r="J24" s="311">
        <f>'OR04-分公司销售、承保、保全'!AZ42</f>
        <v>0</v>
      </c>
      <c r="K24" s="311">
        <f>'OR04-分公司销售、承保、保全'!BF42</f>
        <v>0</v>
      </c>
      <c r="L24" s="311">
        <f>'OR04-分公司销售、承保、保全'!BL42</f>
        <v>0</v>
      </c>
      <c r="M24" s="311">
        <f>'OR04-分公司销售、承保、保全'!BR42</f>
        <v>0</v>
      </c>
      <c r="N24" s="311">
        <f>'OR04-分公司销售、承保、保全'!BX42</f>
        <v>1</v>
      </c>
      <c r="O24" s="311" t="s">
        <v>1778</v>
      </c>
    </row>
    <row r="25" spans="1:15" ht="14.25">
      <c r="A25" s="1592"/>
      <c r="B25" s="804"/>
      <c r="C25" s="1429">
        <f t="shared" si="0"/>
        <v>3.8888888888888883E-2</v>
      </c>
      <c r="D25" s="800">
        <v>4</v>
      </c>
      <c r="E25" s="311">
        <f>'OR04-分公司销售、承保、保全'!W41</f>
        <v>4</v>
      </c>
      <c r="F25" s="311">
        <f>'OR04-分公司销售、承保、保全'!AC41</f>
        <v>4</v>
      </c>
      <c r="G25" s="311">
        <f>'OR04-分公司销售、承保、保全'!AI41</f>
        <v>4</v>
      </c>
      <c r="H25" s="311">
        <f>'OR04-分公司销售、承保、保全'!AO41</f>
        <v>4</v>
      </c>
      <c r="I25" s="311">
        <f>'OR04-分公司销售、承保、保全'!AU41</f>
        <v>4</v>
      </c>
      <c r="J25" s="311">
        <f>'OR04-分公司销售、承保、保全'!BA41</f>
        <v>4</v>
      </c>
      <c r="K25" s="311">
        <f>'OR04-分公司销售、承保、保全'!BG41</f>
        <v>4</v>
      </c>
      <c r="L25" s="311">
        <f>'OR04-分公司销售、承保、保全'!BM41</f>
        <v>4</v>
      </c>
      <c r="M25" s="311">
        <f>'OR04-分公司销售、承保、保全'!BS41</f>
        <v>4</v>
      </c>
      <c r="N25" s="311">
        <f>'OR04-分公司销售、承保、保全'!BY41</f>
        <v>3</v>
      </c>
      <c r="O25" s="311" t="s">
        <v>1776</v>
      </c>
    </row>
    <row r="26" spans="1:15" ht="14.25">
      <c r="A26" s="1592"/>
      <c r="B26" s="799" t="s">
        <v>1733</v>
      </c>
      <c r="C26" s="1430"/>
      <c r="D26" s="800"/>
      <c r="E26" s="311">
        <f>'OR04-分公司销售、承保、保全'!V43</f>
        <v>0</v>
      </c>
      <c r="F26" s="311">
        <f>'OR04-分公司销售、承保、保全'!AB43</f>
        <v>0</v>
      </c>
      <c r="G26" s="311">
        <f>'OR04-分公司销售、承保、保全'!AH43</f>
        <v>0</v>
      </c>
      <c r="H26" s="311">
        <f>'OR04-分公司销售、承保、保全'!AN43</f>
        <v>0</v>
      </c>
      <c r="I26" s="311">
        <f>'OR04-分公司销售、承保、保全'!AT43</f>
        <v>0</v>
      </c>
      <c r="J26" s="311">
        <f>'OR04-分公司销售、承保、保全'!AZ43</f>
        <v>0</v>
      </c>
      <c r="K26" s="311">
        <f>'OR04-分公司销售、承保、保全'!BF43</f>
        <v>0</v>
      </c>
      <c r="L26" s="311">
        <f>'OR04-分公司销售、承保、保全'!BL43</f>
        <v>0</v>
      </c>
      <c r="M26" s="311">
        <f>'OR04-分公司销售、承保、保全'!BR43</f>
        <v>0</v>
      </c>
      <c r="N26" s="311">
        <f>'OR04-分公司销售、承保、保全'!BX43</f>
        <v>0</v>
      </c>
      <c r="O26" s="311" t="s">
        <v>1779</v>
      </c>
    </row>
    <row r="27" spans="1:15" ht="14.25">
      <c r="A27" s="1592"/>
      <c r="B27" s="799" t="s">
        <v>1135</v>
      </c>
      <c r="C27" s="1430"/>
      <c r="D27" s="800"/>
      <c r="E27" s="311">
        <f>'OR04-分公司销售、承保、保全'!V44</f>
        <v>0</v>
      </c>
      <c r="F27" s="311">
        <f>'OR04-分公司销售、承保、保全'!AB44</f>
        <v>0</v>
      </c>
      <c r="G27" s="311">
        <f>'OR04-分公司销售、承保、保全'!AH44</f>
        <v>0</v>
      </c>
      <c r="H27" s="311">
        <f>'OR04-分公司销售、承保、保全'!AN44</f>
        <v>0</v>
      </c>
      <c r="I27" s="311">
        <f>'OR04-分公司销售、承保、保全'!AT44</f>
        <v>0</v>
      </c>
      <c r="J27" s="311">
        <f>'OR04-分公司销售、承保、保全'!AZ44</f>
        <v>0</v>
      </c>
      <c r="K27" s="311">
        <f>'OR04-分公司销售、承保、保全'!BF44</f>
        <v>0</v>
      </c>
      <c r="L27" s="311">
        <f>'OR04-分公司销售、承保、保全'!BL44</f>
        <v>0</v>
      </c>
      <c r="M27" s="311">
        <f>'OR04-分公司销售、承保、保全'!BR44</f>
        <v>0</v>
      </c>
      <c r="N27" s="311">
        <f>'OR04-分公司销售、承保、保全'!BX44</f>
        <v>0</v>
      </c>
      <c r="O27" s="311" t="s">
        <v>1778</v>
      </c>
    </row>
    <row r="28" spans="1:15" ht="14.25">
      <c r="A28" s="1592"/>
      <c r="B28" s="799"/>
      <c r="C28" s="1429">
        <f t="shared" si="0"/>
        <v>3.8888888888888883E-2</v>
      </c>
      <c r="D28" s="800">
        <v>6</v>
      </c>
      <c r="E28" s="311">
        <f>'OR04-分公司销售、承保、保全'!W43</f>
        <v>6</v>
      </c>
      <c r="F28" s="311">
        <f>'OR04-分公司销售、承保、保全'!AC43</f>
        <v>6</v>
      </c>
      <c r="G28" s="311">
        <f>'OR04-分公司销售、承保、保全'!AI43</f>
        <v>6</v>
      </c>
      <c r="H28" s="311">
        <f>'OR04-分公司销售、承保、保全'!AO43</f>
        <v>6</v>
      </c>
      <c r="I28" s="311">
        <f>'OR04-分公司销售、承保、保全'!AU43</f>
        <v>6</v>
      </c>
      <c r="J28" s="311">
        <f>'OR04-分公司销售、承保、保全'!BA43</f>
        <v>6</v>
      </c>
      <c r="K28" s="311">
        <f>'OR04-分公司销售、承保、保全'!BG43</f>
        <v>6</v>
      </c>
      <c r="L28" s="311">
        <f>'OR04-分公司销售、承保、保全'!BM43</f>
        <v>6</v>
      </c>
      <c r="M28" s="311">
        <f>'OR04-分公司销售、承保、保全'!BS43</f>
        <v>6</v>
      </c>
      <c r="N28" s="311">
        <f>'OR04-分公司销售、承保、保全'!BY43</f>
        <v>6</v>
      </c>
      <c r="O28" s="311" t="s">
        <v>1776</v>
      </c>
    </row>
    <row r="29" spans="1:15" ht="14.25">
      <c r="A29" s="1592"/>
      <c r="B29" s="799" t="s">
        <v>1734</v>
      </c>
      <c r="C29" s="1429">
        <f t="shared" si="0"/>
        <v>3.8888888888888883E-2</v>
      </c>
      <c r="D29" s="800">
        <v>3</v>
      </c>
      <c r="E29" s="311">
        <f>'OR04-分公司销售、承保、保全'!W45</f>
        <v>3</v>
      </c>
      <c r="F29" s="311">
        <f>'OR04-分公司销售、承保、保全'!AC45</f>
        <v>3</v>
      </c>
      <c r="G29" s="311">
        <f>'OR04-分公司销售、承保、保全'!AI45</f>
        <v>3</v>
      </c>
      <c r="H29" s="311">
        <f>'OR04-分公司销售、承保、保全'!AO45</f>
        <v>3</v>
      </c>
      <c r="I29" s="311">
        <f>'OR04-分公司销售、承保、保全'!AU45</f>
        <v>3</v>
      </c>
      <c r="J29" s="311">
        <f>'OR04-分公司销售、承保、保全'!BA45</f>
        <v>3</v>
      </c>
      <c r="K29" s="311">
        <f>'OR04-分公司销售、承保、保全'!BG45</f>
        <v>3</v>
      </c>
      <c r="L29" s="311">
        <f>'OR04-分公司销售、承保、保全'!BM45</f>
        <v>3</v>
      </c>
      <c r="M29" s="311">
        <f>'OR04-分公司销售、承保、保全'!BS45</f>
        <v>3</v>
      </c>
      <c r="N29" s="311">
        <f>'OR04-分公司销售、承保、保全'!BY45</f>
        <v>3</v>
      </c>
      <c r="O29" s="311" t="s">
        <v>1776</v>
      </c>
    </row>
    <row r="30" spans="1:15" ht="14.25">
      <c r="A30" s="1592"/>
      <c r="B30" s="799" t="s">
        <v>1137</v>
      </c>
      <c r="C30" s="1429">
        <f t="shared" si="0"/>
        <v>3.8888888888888883E-2</v>
      </c>
      <c r="D30" s="800">
        <v>2</v>
      </c>
      <c r="E30" s="311">
        <f>'OR04-分公司销售、承保、保全'!W48</f>
        <v>2</v>
      </c>
      <c r="F30" s="311">
        <f>'OR04-分公司销售、承保、保全'!AC48</f>
        <v>2</v>
      </c>
      <c r="G30" s="311">
        <f>'OR04-分公司销售、承保、保全'!AI48</f>
        <v>2</v>
      </c>
      <c r="H30" s="311">
        <f>'OR04-分公司销售、承保、保全'!AO48</f>
        <v>2</v>
      </c>
      <c r="I30" s="311">
        <f>'OR04-分公司销售、承保、保全'!AU48</f>
        <v>2</v>
      </c>
      <c r="J30" s="311">
        <f>'OR04-分公司销售、承保、保全'!BA48</f>
        <v>2</v>
      </c>
      <c r="K30" s="311">
        <f>'OR04-分公司销售、承保、保全'!BG48</f>
        <v>2</v>
      </c>
      <c r="L30" s="311">
        <f>'OR04-分公司销售、承保、保全'!BM48</f>
        <v>2</v>
      </c>
      <c r="M30" s="311">
        <f>'OR04-分公司销售、承保、保全'!BS48</f>
        <v>2</v>
      </c>
      <c r="N30" s="311">
        <f>'OR04-分公司销售、承保、保全'!BY48</f>
        <v>2</v>
      </c>
      <c r="O30" s="311" t="s">
        <v>1776</v>
      </c>
    </row>
    <row r="31" spans="1:15" ht="14.25">
      <c r="A31" s="1592"/>
      <c r="B31" s="799" t="s">
        <v>1735</v>
      </c>
      <c r="C31" s="1429">
        <f t="shared" si="0"/>
        <v>3.8888888888888883E-2</v>
      </c>
      <c r="D31" s="800">
        <v>3</v>
      </c>
      <c r="E31" s="311">
        <f>'OR04-分公司销售、承保、保全'!W52</f>
        <v>1.5</v>
      </c>
      <c r="F31" s="311">
        <f>'OR04-分公司销售、承保、保全'!AC52</f>
        <v>1.5</v>
      </c>
      <c r="G31" s="311">
        <f>'OR04-分公司销售、承保、保全'!AI52</f>
        <v>1.5</v>
      </c>
      <c r="H31" s="311">
        <f>'OR04-分公司销售、承保、保全'!AO52</f>
        <v>1.5</v>
      </c>
      <c r="I31" s="311">
        <f>'OR04-分公司销售、承保、保全'!AU52</f>
        <v>3</v>
      </c>
      <c r="J31" s="311">
        <f>'OR04-分公司销售、承保、保全'!BA52</f>
        <v>1.5</v>
      </c>
      <c r="K31" s="311">
        <f>'OR04-分公司销售、承保、保全'!BG52</f>
        <v>3</v>
      </c>
      <c r="L31" s="311">
        <f>'OR04-分公司销售、承保、保全'!BM52</f>
        <v>1.5</v>
      </c>
      <c r="M31" s="311">
        <f>'OR04-分公司销售、承保、保全'!BS52</f>
        <v>3</v>
      </c>
      <c r="N31" s="311">
        <f>'OR04-分公司销售、承保、保全'!BY52</f>
        <v>3</v>
      </c>
      <c r="O31" s="311" t="s">
        <v>1776</v>
      </c>
    </row>
    <row r="32" spans="1:15" ht="14.25">
      <c r="A32" s="1592"/>
      <c r="B32" s="799" t="s">
        <v>1736</v>
      </c>
      <c r="C32" s="1429">
        <f t="shared" si="0"/>
        <v>3.8888888888888883E-2</v>
      </c>
      <c r="D32" s="800">
        <v>3</v>
      </c>
      <c r="E32" s="311">
        <f>'OR04-分公司销售、承保、保全'!W57</f>
        <v>3</v>
      </c>
      <c r="F32" s="311">
        <f>'OR04-分公司销售、承保、保全'!AC57</f>
        <v>3</v>
      </c>
      <c r="G32" s="311">
        <f>'OR04-分公司销售、承保、保全'!AI57</f>
        <v>3</v>
      </c>
      <c r="H32" s="311">
        <f>'OR04-分公司销售、承保、保全'!AO57</f>
        <v>3</v>
      </c>
      <c r="I32" s="311">
        <f>'OR04-分公司销售、承保、保全'!AU57</f>
        <v>3</v>
      </c>
      <c r="J32" s="311">
        <f>'OR04-分公司销售、承保、保全'!BA57</f>
        <v>3</v>
      </c>
      <c r="K32" s="311">
        <f>'OR04-分公司销售、承保、保全'!BG57</f>
        <v>3</v>
      </c>
      <c r="L32" s="311">
        <f>'OR04-分公司销售、承保、保全'!BM57</f>
        <v>3</v>
      </c>
      <c r="M32" s="311">
        <f>'OR04-分公司销售、承保、保全'!BS57</f>
        <v>3</v>
      </c>
      <c r="N32" s="311">
        <f>'OR04-分公司销售、承保、保全'!BY57</f>
        <v>3</v>
      </c>
      <c r="O32" s="311" t="s">
        <v>1776</v>
      </c>
    </row>
    <row r="33" spans="1:27" ht="14.25">
      <c r="A33" s="1592"/>
      <c r="B33" s="799" t="s">
        <v>1737</v>
      </c>
      <c r="C33" s="1429">
        <f t="shared" si="0"/>
        <v>3.8888888888888883E-2</v>
      </c>
      <c r="D33" s="800">
        <v>2</v>
      </c>
      <c r="E33" s="311">
        <f>'OR04-分公司销售、承保、保全'!W63</f>
        <v>2</v>
      </c>
      <c r="F33" s="311">
        <f>'OR04-分公司销售、承保、保全'!AC63</f>
        <v>2</v>
      </c>
      <c r="G33" s="311">
        <f>'OR04-分公司销售、承保、保全'!AI63</f>
        <v>2</v>
      </c>
      <c r="H33" s="311">
        <f>'OR04-分公司销售、承保、保全'!AO63</f>
        <v>2</v>
      </c>
      <c r="I33" s="311">
        <f>'OR04-分公司销售、承保、保全'!AU63</f>
        <v>2</v>
      </c>
      <c r="J33" s="311">
        <f>'OR04-分公司销售、承保、保全'!BA63</f>
        <v>2</v>
      </c>
      <c r="K33" s="311">
        <f>'OR04-分公司销售、承保、保全'!BG63</f>
        <v>2</v>
      </c>
      <c r="L33" s="311">
        <f>'OR04-分公司销售、承保、保全'!BM63</f>
        <v>2</v>
      </c>
      <c r="M33" s="311">
        <f>'OR04-分公司销售、承保、保全'!BS63</f>
        <v>2</v>
      </c>
      <c r="N33" s="311">
        <f>'OR04-分公司销售、承保、保全'!BY63</f>
        <v>2</v>
      </c>
      <c r="O33" s="311" t="s">
        <v>1776</v>
      </c>
    </row>
    <row r="34" spans="1:27" ht="14.25">
      <c r="A34" s="1592"/>
      <c r="B34" s="799" t="s">
        <v>1738</v>
      </c>
      <c r="C34" s="1429">
        <f t="shared" si="0"/>
        <v>3.8888888888888883E-2</v>
      </c>
      <c r="D34" s="800">
        <v>1</v>
      </c>
      <c r="E34" s="311">
        <f>'OR04-分公司销售、承保、保全'!W66</f>
        <v>1</v>
      </c>
      <c r="F34" s="311">
        <f>'OR04-分公司销售、承保、保全'!AC66</f>
        <v>1</v>
      </c>
      <c r="G34" s="311">
        <f>'OR04-分公司销售、承保、保全'!AI66</f>
        <v>1</v>
      </c>
      <c r="H34" s="311">
        <f>'OR04-分公司销售、承保、保全'!AO66</f>
        <v>1</v>
      </c>
      <c r="I34" s="311">
        <f>'OR04-分公司销售、承保、保全'!AU66</f>
        <v>1</v>
      </c>
      <c r="J34" s="311">
        <f>'OR04-分公司销售、承保、保全'!BA66</f>
        <v>1</v>
      </c>
      <c r="K34" s="311">
        <f>'OR04-分公司销售、承保、保全'!BG66</f>
        <v>1</v>
      </c>
      <c r="L34" s="311">
        <f>'OR04-分公司销售、承保、保全'!BM66</f>
        <v>1</v>
      </c>
      <c r="M34" s="311">
        <f>'OR04-分公司销售、承保、保全'!BS66</f>
        <v>1</v>
      </c>
      <c r="N34" s="311">
        <f>'OR04-分公司销售、承保、保全'!BY66</f>
        <v>1</v>
      </c>
      <c r="O34" s="311" t="s">
        <v>1776</v>
      </c>
    </row>
    <row r="35" spans="1:27" ht="14.25">
      <c r="A35" s="1592"/>
      <c r="B35" s="799" t="s">
        <v>1739</v>
      </c>
      <c r="C35" s="1433"/>
      <c r="D35" s="800"/>
      <c r="E35" s="311">
        <f>'OR04-分公司销售、承保、保全'!V67</f>
        <v>0</v>
      </c>
      <c r="F35" s="311">
        <f>'OR04-分公司销售、承保、保全'!AB67</f>
        <v>0</v>
      </c>
      <c r="G35" s="311">
        <f>'OR04-分公司销售、承保、保全'!AH67</f>
        <v>0</v>
      </c>
      <c r="H35" s="311">
        <f>'OR04-分公司销售、承保、保全'!AN67</f>
        <v>0</v>
      </c>
      <c r="I35" s="311">
        <f>'OR04-分公司销售、承保、保全'!AT67</f>
        <v>0</v>
      </c>
      <c r="J35" s="311">
        <f>'OR04-分公司销售、承保、保全'!AZ67</f>
        <v>0</v>
      </c>
      <c r="K35" s="311">
        <f>'OR04-分公司销售、承保、保全'!BF67</f>
        <v>0</v>
      </c>
      <c r="L35" s="311">
        <f>'OR04-分公司销售、承保、保全'!BL67</f>
        <v>0</v>
      </c>
      <c r="M35" s="311">
        <f>'OR04-分公司销售、承保、保全'!BR67</f>
        <v>0</v>
      </c>
      <c r="N35" s="311">
        <f>'OR04-分公司销售、承保、保全'!BX67</f>
        <v>0</v>
      </c>
      <c r="O35" s="311" t="s">
        <v>1778</v>
      </c>
    </row>
    <row r="36" spans="1:27" ht="14.25">
      <c r="A36" s="1592"/>
      <c r="B36" s="799" t="s">
        <v>1153</v>
      </c>
      <c r="C36" s="1434"/>
      <c r="D36" s="800"/>
      <c r="E36" s="311">
        <f>'OR04-分公司销售、承保、保全'!V68</f>
        <v>0</v>
      </c>
      <c r="F36" s="311">
        <f>'OR04-分公司销售、承保、保全'!AB68</f>
        <v>0</v>
      </c>
      <c r="G36" s="311">
        <f>'OR04-分公司销售、承保、保全'!AH68</f>
        <v>0</v>
      </c>
      <c r="H36" s="311">
        <f>'OR04-分公司销售、承保、保全'!AN68</f>
        <v>0</v>
      </c>
      <c r="I36" s="311">
        <f>'OR04-分公司销售、承保、保全'!AT68</f>
        <v>0</v>
      </c>
      <c r="J36" s="311">
        <f>'OR04-分公司销售、承保、保全'!AZ68</f>
        <v>0</v>
      </c>
      <c r="K36" s="311">
        <f>'OR04-分公司销售、承保、保全'!BF68</f>
        <v>0</v>
      </c>
      <c r="L36" s="311">
        <f>'OR04-分公司销售、承保、保全'!BL68</f>
        <v>0</v>
      </c>
      <c r="M36" s="311">
        <f>'OR04-分公司销售、承保、保全'!BR68</f>
        <v>0</v>
      </c>
      <c r="N36" s="311">
        <f>'OR04-分公司销售、承保、保全'!BX68</f>
        <v>0</v>
      </c>
      <c r="O36" s="311" t="s">
        <v>1778</v>
      </c>
    </row>
    <row r="37" spans="1:27" ht="14.25">
      <c r="A37" s="1592"/>
      <c r="B37" s="799"/>
      <c r="C37" s="1431">
        <f t="shared" si="0"/>
        <v>3.8888888888888883E-2</v>
      </c>
      <c r="D37" s="800">
        <v>6</v>
      </c>
      <c r="E37" s="311">
        <f>'OR04-分公司销售、承保、保全'!W67</f>
        <v>6</v>
      </c>
      <c r="F37" s="311">
        <f>'OR04-分公司销售、承保、保全'!AC67</f>
        <v>6</v>
      </c>
      <c r="G37" s="311">
        <f>'OR04-分公司销售、承保、保全'!AI67</f>
        <v>6</v>
      </c>
      <c r="H37" s="311">
        <f>'OR04-分公司销售、承保、保全'!AO67</f>
        <v>6</v>
      </c>
      <c r="I37" s="311">
        <f>'OR04-分公司销售、承保、保全'!AU67</f>
        <v>6</v>
      </c>
      <c r="J37" s="311">
        <f>'OR04-分公司销售、承保、保全'!BA67</f>
        <v>6</v>
      </c>
      <c r="K37" s="311">
        <f>'OR04-分公司销售、承保、保全'!BG67</f>
        <v>6</v>
      </c>
      <c r="L37" s="311">
        <f>'OR04-分公司销售、承保、保全'!BM67</f>
        <v>6</v>
      </c>
      <c r="M37" s="311">
        <f>'OR04-分公司销售、承保、保全'!BS67</f>
        <v>6</v>
      </c>
      <c r="N37" s="311">
        <f>'OR04-分公司销售、承保、保全'!BY67</f>
        <v>6</v>
      </c>
      <c r="O37" s="311" t="s">
        <v>1776</v>
      </c>
    </row>
    <row r="38" spans="1:27" ht="14.25">
      <c r="A38" s="1592"/>
      <c r="B38" s="799" t="s">
        <v>2010</v>
      </c>
      <c r="C38" s="1429">
        <f t="shared" si="0"/>
        <v>3.8888888888888883E-2</v>
      </c>
      <c r="D38" s="800">
        <v>0</v>
      </c>
      <c r="E38" s="805">
        <v>0</v>
      </c>
      <c r="F38" s="805">
        <v>0</v>
      </c>
      <c r="G38" s="805">
        <v>0</v>
      </c>
      <c r="H38" s="805">
        <v>0</v>
      </c>
      <c r="I38" s="805">
        <v>0</v>
      </c>
      <c r="J38" s="805">
        <v>0</v>
      </c>
      <c r="K38" s="805">
        <v>0</v>
      </c>
      <c r="L38" s="805">
        <v>0</v>
      </c>
      <c r="M38" s="805">
        <v>0</v>
      </c>
      <c r="N38" s="805">
        <v>0</v>
      </c>
      <c r="O38" s="311" t="s">
        <v>1781</v>
      </c>
    </row>
    <row r="39" spans="1:27" ht="14.25">
      <c r="A39" s="1592"/>
      <c r="B39" s="799" t="s">
        <v>1741</v>
      </c>
      <c r="C39" s="1429">
        <f t="shared" si="0"/>
        <v>3.8888888888888883E-2</v>
      </c>
      <c r="D39" s="800">
        <v>3</v>
      </c>
      <c r="E39" s="311">
        <f>'OR04-分公司销售、承保、保全'!W70</f>
        <v>3</v>
      </c>
      <c r="F39" s="311">
        <f>'OR04-分公司销售、承保、保全'!AC70</f>
        <v>3</v>
      </c>
      <c r="G39" s="311">
        <f>'OR04-分公司销售、承保、保全'!AI70</f>
        <v>3</v>
      </c>
      <c r="H39" s="311">
        <f>'OR04-分公司销售、承保、保全'!AO70</f>
        <v>3</v>
      </c>
      <c r="I39" s="311">
        <f>'OR04-分公司销售、承保、保全'!AU70</f>
        <v>3</v>
      </c>
      <c r="J39" s="311">
        <f>'OR04-分公司销售、承保、保全'!BA70</f>
        <v>3</v>
      </c>
      <c r="K39" s="311">
        <f>'OR04-分公司销售、承保、保全'!BG70</f>
        <v>3</v>
      </c>
      <c r="L39" s="311">
        <f>'OR04-分公司销售、承保、保全'!BM70</f>
        <v>3</v>
      </c>
      <c r="M39" s="311">
        <f>'OR04-分公司销售、承保、保全'!BS70</f>
        <v>3</v>
      </c>
      <c r="N39" s="311">
        <f>'OR04-分公司销售、承保、保全'!BY70</f>
        <v>3</v>
      </c>
      <c r="O39" s="311" t="s">
        <v>1776</v>
      </c>
    </row>
    <row r="40" spans="1:27" ht="14.25">
      <c r="A40" s="1592"/>
      <c r="B40" s="799" t="s">
        <v>1742</v>
      </c>
      <c r="C40" s="1429">
        <f t="shared" si="0"/>
        <v>3.8888888888888883E-2</v>
      </c>
      <c r="D40" s="800">
        <v>2</v>
      </c>
      <c r="E40" s="311">
        <f>'OR04-分公司销售、承保、保全'!W72</f>
        <v>2</v>
      </c>
      <c r="F40" s="311">
        <f>'OR04-分公司销售、承保、保全'!AC72</f>
        <v>2</v>
      </c>
      <c r="G40" s="311">
        <f>'OR04-分公司销售、承保、保全'!AI72</f>
        <v>2</v>
      </c>
      <c r="H40" s="311">
        <f>'OR04-分公司销售、承保、保全'!AO72</f>
        <v>2</v>
      </c>
      <c r="I40" s="311">
        <f>'OR04-分公司销售、承保、保全'!AU72</f>
        <v>2</v>
      </c>
      <c r="J40" s="311">
        <f>'OR04-分公司销售、承保、保全'!BA72</f>
        <v>2</v>
      </c>
      <c r="K40" s="311">
        <f>'OR04-分公司销售、承保、保全'!BG72</f>
        <v>2</v>
      </c>
      <c r="L40" s="311">
        <f>'OR04-分公司销售、承保、保全'!BM72</f>
        <v>2</v>
      </c>
      <c r="M40" s="311">
        <f>'OR04-分公司销售、承保、保全'!BS72</f>
        <v>2</v>
      </c>
      <c r="N40" s="311">
        <f>'OR04-分公司销售、承保、保全'!BY72</f>
        <v>2</v>
      </c>
      <c r="O40" s="311" t="s">
        <v>1776</v>
      </c>
    </row>
    <row r="41" spans="1:27" ht="14.25">
      <c r="A41" s="1593"/>
      <c r="B41" s="799" t="s">
        <v>1743</v>
      </c>
      <c r="C41" s="1429">
        <f t="shared" si="0"/>
        <v>3.8888888888888883E-2</v>
      </c>
      <c r="D41" s="800">
        <v>10</v>
      </c>
      <c r="E41" s="311">
        <f>MAX(($D$41-0.5*(E11+E14)-2*(E12+E15)-3*E17-3*E18-2*E23-1*E24-0.5*E26-3*E27-0.5*E35-3*E36),0)</f>
        <v>10</v>
      </c>
      <c r="F41" s="311">
        <f t="shared" ref="F41:N41" si="1">MAX(($D$41-0.5*(F11+F14)-2*(F12+F15)-3*F17-3*F18-2*F23-1*F24-0.5*F26-3*F27-0.5*F35-3*F36),0)</f>
        <v>8.5</v>
      </c>
      <c r="G41" s="311">
        <f t="shared" si="1"/>
        <v>8.5</v>
      </c>
      <c r="H41" s="311">
        <f t="shared" si="1"/>
        <v>6</v>
      </c>
      <c r="I41" s="311">
        <f>MAX(($D$41-0.5*(I11+I14)-2*(I12+I15)-3*I17-3*I18-2*I23-1*I24-0.5*I26-3*I27-0.5*I35-3*I36),0)</f>
        <v>9</v>
      </c>
      <c r="J41" s="311">
        <f>MAX(($D$41-0.5*(J11+J14)-2*(J12+J15)-3*J17-3*J18-2*J23-1*J24-0.5*J26-3*J27-0.5*J35-3*J36),0)</f>
        <v>9.5</v>
      </c>
      <c r="K41" s="311">
        <f t="shared" si="1"/>
        <v>10</v>
      </c>
      <c r="L41" s="311">
        <f t="shared" si="1"/>
        <v>9</v>
      </c>
      <c r="M41" s="311">
        <f t="shared" si="1"/>
        <v>10</v>
      </c>
      <c r="N41" s="311">
        <f t="shared" si="1"/>
        <v>8.5</v>
      </c>
      <c r="O41" s="311" t="s">
        <v>1780</v>
      </c>
    </row>
    <row r="42" spans="1:27" ht="14.25">
      <c r="A42" s="1581" t="s">
        <v>1744</v>
      </c>
      <c r="B42" s="806" t="s">
        <v>1745</v>
      </c>
      <c r="C42" s="1435">
        <f t="shared" si="0"/>
        <v>3.8888888888888883E-2</v>
      </c>
      <c r="D42" s="807">
        <v>5</v>
      </c>
      <c r="E42" s="808">
        <v>5</v>
      </c>
      <c r="F42" s="808">
        <v>5</v>
      </c>
      <c r="G42" s="808">
        <v>5</v>
      </c>
      <c r="H42" s="808">
        <v>5</v>
      </c>
      <c r="I42" s="808">
        <v>5</v>
      </c>
      <c r="J42" s="808">
        <v>5</v>
      </c>
      <c r="K42" s="808">
        <v>5</v>
      </c>
      <c r="L42" s="808">
        <v>5</v>
      </c>
      <c r="M42" s="808">
        <v>5</v>
      </c>
      <c r="N42" s="808">
        <v>5</v>
      </c>
      <c r="O42" s="809" t="s">
        <v>1775</v>
      </c>
    </row>
    <row r="43" spans="1:27" ht="14.25">
      <c r="A43" s="1582"/>
      <c r="B43" s="810" t="s">
        <v>1746</v>
      </c>
      <c r="C43" s="1435">
        <f t="shared" si="0"/>
        <v>3.8888888888888883E-2</v>
      </c>
      <c r="D43" s="807">
        <v>3</v>
      </c>
      <c r="E43" s="809">
        <f>'OR08-分公司理赔'!W7</f>
        <v>3</v>
      </c>
      <c r="F43" s="809">
        <f>'OR08-分公司理赔'!AC7</f>
        <v>3</v>
      </c>
      <c r="G43" s="809">
        <f>'OR08-分公司理赔'!AI7</f>
        <v>3</v>
      </c>
      <c r="H43" s="809">
        <f>'OR08-分公司理赔'!AO7</f>
        <v>3</v>
      </c>
      <c r="I43" s="809">
        <f>'OR08-分公司理赔'!AU7</f>
        <v>0</v>
      </c>
      <c r="J43" s="809">
        <f>'OR08-分公司理赔'!BA7</f>
        <v>0</v>
      </c>
      <c r="K43" s="809">
        <f>'OR08-分公司理赔'!BG7</f>
        <v>3</v>
      </c>
      <c r="L43" s="809">
        <f>'OR08-分公司理赔'!BM7</f>
        <v>3</v>
      </c>
      <c r="M43" s="809">
        <f>'OR08-分公司理赔'!BS7</f>
        <v>0</v>
      </c>
      <c r="N43" s="809">
        <f>'OR08-分公司理赔'!BY7</f>
        <v>3</v>
      </c>
      <c r="O43" s="809" t="s">
        <v>1774</v>
      </c>
    </row>
    <row r="44" spans="1:27" ht="14.25">
      <c r="A44" s="1582"/>
      <c r="B44" s="810" t="s">
        <v>1784</v>
      </c>
      <c r="C44" s="1435">
        <f t="shared" si="0"/>
        <v>3.8888888888888883E-2</v>
      </c>
      <c r="D44" s="807">
        <v>3</v>
      </c>
      <c r="E44" s="809">
        <f>'OR08-分公司理赔'!W11</f>
        <v>3</v>
      </c>
      <c r="F44" s="809">
        <f>'OR08-分公司理赔'!AC11</f>
        <v>3</v>
      </c>
      <c r="G44" s="809">
        <f>'OR08-分公司理赔'!AI11</f>
        <v>3</v>
      </c>
      <c r="H44" s="809">
        <f>'OR08-分公司理赔'!AO11</f>
        <v>3</v>
      </c>
      <c r="I44" s="809">
        <f>'OR08-分公司理赔'!AU11</f>
        <v>3</v>
      </c>
      <c r="J44" s="809">
        <f>'OR08-分公司理赔'!BA11</f>
        <v>3</v>
      </c>
      <c r="K44" s="809">
        <f>'OR08-分公司理赔'!BG11</f>
        <v>3</v>
      </c>
      <c r="L44" s="809">
        <f>'OR08-分公司理赔'!BM11</f>
        <v>3</v>
      </c>
      <c r="M44" s="809">
        <f>'OR08-分公司理赔'!BS11</f>
        <v>3</v>
      </c>
      <c r="N44" s="809">
        <f>'OR08-分公司理赔'!BY11</f>
        <v>3</v>
      </c>
      <c r="O44" s="809" t="s">
        <v>1774</v>
      </c>
      <c r="Y44" s="811"/>
      <c r="Z44" s="811"/>
    </row>
    <row r="45" spans="1:27" ht="14.25">
      <c r="A45" s="1582"/>
      <c r="B45" s="810" t="s">
        <v>1725</v>
      </c>
      <c r="C45" s="1435">
        <f t="shared" si="0"/>
        <v>3.8888888888888883E-2</v>
      </c>
      <c r="D45" s="807">
        <v>4</v>
      </c>
      <c r="E45" s="809">
        <f>'OR08-分公司理赔'!W12</f>
        <v>4</v>
      </c>
      <c r="F45" s="809">
        <f>'OR08-分公司理赔'!AC12</f>
        <v>4</v>
      </c>
      <c r="G45" s="809">
        <f>'OR08-分公司理赔'!AI12</f>
        <v>4</v>
      </c>
      <c r="H45" s="809">
        <f>'OR08-分公司理赔'!AO12</f>
        <v>4</v>
      </c>
      <c r="I45" s="809">
        <f>'OR08-分公司理赔'!AU12</f>
        <v>4</v>
      </c>
      <c r="J45" s="809">
        <f>'OR08-分公司理赔'!BA12</f>
        <v>4</v>
      </c>
      <c r="K45" s="809">
        <f>'OR08-分公司理赔'!BG12</f>
        <v>4</v>
      </c>
      <c r="L45" s="809">
        <f>'OR08-分公司理赔'!BM12</f>
        <v>4</v>
      </c>
      <c r="M45" s="809">
        <f>'OR08-分公司理赔'!BS12</f>
        <v>4</v>
      </c>
      <c r="N45" s="809">
        <f>'OR08-分公司理赔'!BY12</f>
        <v>4</v>
      </c>
      <c r="O45" s="809" t="s">
        <v>1774</v>
      </c>
    </row>
    <row r="46" spans="1:27" ht="14.25">
      <c r="A46" s="1582"/>
      <c r="B46" s="810" t="s">
        <v>1178</v>
      </c>
      <c r="C46" s="1435">
        <f t="shared" si="0"/>
        <v>3.8888888888888883E-2</v>
      </c>
      <c r="D46" s="807">
        <v>6</v>
      </c>
      <c r="E46" s="809">
        <f>'OR08-分公司理赔'!W13</f>
        <v>6</v>
      </c>
      <c r="F46" s="809">
        <f>'OR08-分公司理赔'!AC13</f>
        <v>6</v>
      </c>
      <c r="G46" s="809">
        <f>'OR08-分公司理赔'!AI13</f>
        <v>6</v>
      </c>
      <c r="H46" s="809">
        <f>'OR08-分公司理赔'!AO13</f>
        <v>6</v>
      </c>
      <c r="I46" s="809">
        <f>'OR08-分公司理赔'!AU13</f>
        <v>6</v>
      </c>
      <c r="J46" s="809">
        <f>'OR08-分公司理赔'!BA13</f>
        <v>6</v>
      </c>
      <c r="K46" s="809">
        <f>'OR08-分公司理赔'!BG13</f>
        <v>6</v>
      </c>
      <c r="L46" s="809">
        <f>'OR08-分公司理赔'!BM13</f>
        <v>6</v>
      </c>
      <c r="M46" s="809">
        <f>'OR08-分公司理赔'!BS13</f>
        <v>6</v>
      </c>
      <c r="N46" s="809">
        <f>'OR08-分公司理赔'!BY13</f>
        <v>6</v>
      </c>
      <c r="O46" s="809" t="s">
        <v>1774</v>
      </c>
      <c r="R46" s="812"/>
      <c r="AA46" s="665"/>
    </row>
    <row r="47" spans="1:27" ht="14.25">
      <c r="A47" s="1582"/>
      <c r="B47" s="810" t="s">
        <v>1747</v>
      </c>
      <c r="C47" s="1435">
        <f t="shared" si="0"/>
        <v>3.8888888888888883E-2</v>
      </c>
      <c r="D47" s="807">
        <v>8</v>
      </c>
      <c r="E47" s="809">
        <f>S49</f>
        <v>0</v>
      </c>
      <c r="F47" s="809">
        <f>S50</f>
        <v>4</v>
      </c>
      <c r="G47" s="809">
        <v>2</v>
      </c>
      <c r="H47" s="809">
        <f>S53</f>
        <v>8</v>
      </c>
      <c r="I47" s="809">
        <f>S54</f>
        <v>8</v>
      </c>
      <c r="J47" s="809">
        <f>S56</f>
        <v>8</v>
      </c>
      <c r="K47" s="809">
        <f>S57</f>
        <v>4</v>
      </c>
      <c r="L47" s="809">
        <f>S58</f>
        <v>8</v>
      </c>
      <c r="M47" s="809">
        <f>S59</f>
        <v>8</v>
      </c>
      <c r="N47" s="809">
        <f>S60</f>
        <v>8</v>
      </c>
      <c r="O47" s="809" t="s">
        <v>1782</v>
      </c>
      <c r="P47" s="802"/>
      <c r="S47" s="1588">
        <v>8</v>
      </c>
      <c r="T47" s="1589"/>
      <c r="U47" s="1584">
        <v>4</v>
      </c>
      <c r="V47" s="1590"/>
      <c r="W47" s="1584">
        <v>2</v>
      </c>
      <c r="X47" s="1590"/>
      <c r="Y47" s="1584">
        <v>0</v>
      </c>
      <c r="Z47" s="1585"/>
      <c r="AA47" s="665"/>
    </row>
    <row r="48" spans="1:27" ht="14.25">
      <c r="A48" s="1582"/>
      <c r="B48" s="810" t="s">
        <v>1186</v>
      </c>
      <c r="C48" s="1435">
        <f t="shared" si="0"/>
        <v>3.8888888888888883E-2</v>
      </c>
      <c r="D48" s="807">
        <v>6</v>
      </c>
      <c r="E48" s="809">
        <f>'OR08-分公司理赔'!W19</f>
        <v>6</v>
      </c>
      <c r="F48" s="809">
        <f>'OR08-分公司理赔'!AC19</f>
        <v>6</v>
      </c>
      <c r="G48" s="809">
        <f>'OR08-分公司理赔'!AI19</f>
        <v>6</v>
      </c>
      <c r="H48" s="809">
        <f>'OR08-分公司理赔'!AO19</f>
        <v>6</v>
      </c>
      <c r="I48" s="809">
        <f>'OR08-分公司理赔'!AU19</f>
        <v>6</v>
      </c>
      <c r="J48" s="809">
        <f>'OR08-分公司理赔'!BA19</f>
        <v>6</v>
      </c>
      <c r="K48" s="809">
        <f>'OR08-分公司理赔'!BG19</f>
        <v>6</v>
      </c>
      <c r="L48" s="809">
        <f>'OR08-分公司理赔'!BM19</f>
        <v>6</v>
      </c>
      <c r="M48" s="809">
        <f>'OR08-分公司理赔'!BS19</f>
        <v>6</v>
      </c>
      <c r="N48" s="809">
        <f>'OR08-分公司理赔'!BY19</f>
        <v>6</v>
      </c>
      <c r="O48" s="809" t="s">
        <v>1774</v>
      </c>
      <c r="Q48" s="813" t="s">
        <v>1794</v>
      </c>
      <c r="R48" s="814">
        <f>'OR08-分公司理赔'!L16</f>
        <v>0.3029301066981866</v>
      </c>
      <c r="S48" s="811"/>
      <c r="T48" s="1587">
        <f>R48</f>
        <v>0.3029301066981866</v>
      </c>
      <c r="U48" s="1587"/>
      <c r="V48" s="1587">
        <f>T48*1.35</f>
        <v>0.40895564404255191</v>
      </c>
      <c r="W48" s="1587"/>
      <c r="X48" s="1587">
        <f>T48*2</f>
        <v>0.60586021339637319</v>
      </c>
      <c r="Y48" s="1587"/>
    </row>
    <row r="49" spans="1:26" ht="14.25">
      <c r="A49" s="1582"/>
      <c r="B49" s="810" t="s">
        <v>1748</v>
      </c>
      <c r="C49" s="1435">
        <f t="shared" si="0"/>
        <v>3.8888888888888883E-2</v>
      </c>
      <c r="D49" s="807">
        <v>4</v>
      </c>
      <c r="E49" s="809">
        <f>'OR08-分公司理赔'!W22</f>
        <v>4</v>
      </c>
      <c r="F49" s="809">
        <f>'OR08-分公司理赔'!AC22</f>
        <v>4</v>
      </c>
      <c r="G49" s="809">
        <f>'OR08-分公司理赔'!AI22</f>
        <v>4</v>
      </c>
      <c r="H49" s="809">
        <f>'OR08-分公司理赔'!AO22</f>
        <v>4</v>
      </c>
      <c r="I49" s="809">
        <f>'OR08-分公司理赔'!AU22</f>
        <v>4</v>
      </c>
      <c r="J49" s="809">
        <f>'OR08-分公司理赔'!BA22</f>
        <v>4</v>
      </c>
      <c r="K49" s="809">
        <f>'OR08-分公司理赔'!BG22</f>
        <v>4</v>
      </c>
      <c r="L49" s="809">
        <f>'OR08-分公司理赔'!BM22</f>
        <v>4</v>
      </c>
      <c r="M49" s="809">
        <f>'OR08-分公司理赔'!BS22</f>
        <v>4</v>
      </c>
      <c r="N49" s="809">
        <f>'OR08-分公司理赔'!BY22</f>
        <v>4</v>
      </c>
      <c r="O49" s="809" t="s">
        <v>1774</v>
      </c>
      <c r="Q49" s="815" t="s">
        <v>1785</v>
      </c>
      <c r="R49" s="816">
        <f>'OR08-分公司理赔'!V16</f>
        <v>0.62068965517241381</v>
      </c>
      <c r="S49" s="315">
        <f>IF(R49&gt;$X$48,0,IF(R49&gt;$V$48,2,IF(R49&gt;$T$48,4,8)))</f>
        <v>0</v>
      </c>
      <c r="Z49" s="811"/>
    </row>
    <row r="50" spans="1:26" ht="14.25">
      <c r="A50" s="1582"/>
      <c r="B50" s="810" t="s">
        <v>1749</v>
      </c>
      <c r="C50" s="1435">
        <f t="shared" si="0"/>
        <v>3.8888888888888883E-2</v>
      </c>
      <c r="D50" s="807">
        <v>4</v>
      </c>
      <c r="E50" s="809">
        <f>'OR08-分公司理赔'!W25</f>
        <v>4</v>
      </c>
      <c r="F50" s="809">
        <f>'OR08-分公司理赔'!AC25</f>
        <v>4</v>
      </c>
      <c r="G50" s="809">
        <f>'OR08-分公司理赔'!AI25</f>
        <v>4</v>
      </c>
      <c r="H50" s="809">
        <f>'OR08-分公司理赔'!AO25</f>
        <v>4</v>
      </c>
      <c r="I50" s="809">
        <f>'OR08-分公司理赔'!AU25</f>
        <v>4</v>
      </c>
      <c r="J50" s="809">
        <f>'OR08-分公司理赔'!BA25</f>
        <v>4</v>
      </c>
      <c r="K50" s="809">
        <f>'OR08-分公司理赔'!BG25</f>
        <v>4</v>
      </c>
      <c r="L50" s="809">
        <f>'OR08-分公司理赔'!BM25</f>
        <v>4</v>
      </c>
      <c r="M50" s="809">
        <f>'OR08-分公司理赔'!BS25</f>
        <v>4</v>
      </c>
      <c r="N50" s="809">
        <f>'OR08-分公司理赔'!BY25</f>
        <v>4</v>
      </c>
      <c r="O50" s="809" t="s">
        <v>1774</v>
      </c>
      <c r="Q50" s="815" t="s">
        <v>1786</v>
      </c>
      <c r="R50" s="816">
        <f>'OR08-分公司理赔'!AB16</f>
        <v>0.3295774647887324</v>
      </c>
      <c r="S50" s="315">
        <f>IF(R50&gt;$X$48,0,IF(R50&gt;$V$48,2,IF(R50&gt;$T$48,4,8)))</f>
        <v>4</v>
      </c>
      <c r="T50" s="817"/>
      <c r="U50" s="818"/>
      <c r="V50" s="818"/>
      <c r="W50" s="818"/>
      <c r="X50" s="818"/>
      <c r="Y50" s="665"/>
    </row>
    <row r="51" spans="1:26" ht="14.25">
      <c r="A51" s="1582"/>
      <c r="B51" s="819" t="s">
        <v>1867</v>
      </c>
      <c r="C51" s="1436"/>
      <c r="D51" s="807"/>
      <c r="E51" s="809">
        <f>'OR08-分公司理赔'!V29</f>
        <v>0</v>
      </c>
      <c r="F51" s="809">
        <f>'OR08-分公司理赔'!AB29</f>
        <v>0</v>
      </c>
      <c r="G51" s="809">
        <f>'OR08-分公司理赔'!AH29</f>
        <v>0</v>
      </c>
      <c r="H51" s="809">
        <f>'OR08-分公司理赔'!AN29</f>
        <v>0</v>
      </c>
      <c r="I51" s="809">
        <f>'OR08-分公司理赔'!AT29</f>
        <v>0</v>
      </c>
      <c r="J51" s="809">
        <f>'OR08-分公司理赔'!AZ29</f>
        <v>0</v>
      </c>
      <c r="K51" s="809">
        <f>'OR08-分公司理赔'!BF29</f>
        <v>0</v>
      </c>
      <c r="L51" s="809">
        <f>'OR08-分公司理赔'!BL29</f>
        <v>0</v>
      </c>
      <c r="M51" s="809">
        <f>'OR08-分公司理赔'!BR29</f>
        <v>0</v>
      </c>
      <c r="N51" s="809">
        <f>'OR08-分公司理赔'!BX29</f>
        <v>0</v>
      </c>
      <c r="O51" s="809" t="s">
        <v>1779</v>
      </c>
      <c r="Q51" s="815" t="s">
        <v>1787</v>
      </c>
      <c r="R51" s="816">
        <f>'OR08-分公司理赔'!AH16</f>
        <v>0.31064572425828968</v>
      </c>
      <c r="S51" s="315">
        <f t="shared" ref="S51:S60" si="2">IF(R51&gt;$X$48,0,IF(R51&gt;$V$48,2,IF(R51&gt;$T$48,4,8)))</f>
        <v>4</v>
      </c>
      <c r="T51" s="817"/>
      <c r="U51" s="818"/>
      <c r="V51" s="818"/>
      <c r="W51" s="818"/>
      <c r="X51" s="818"/>
      <c r="Y51" s="665"/>
    </row>
    <row r="52" spans="1:26" ht="14.25">
      <c r="A52" s="1582"/>
      <c r="B52" s="819" t="s">
        <v>1196</v>
      </c>
      <c r="C52" s="1437"/>
      <c r="D52" s="807"/>
      <c r="E52" s="809">
        <f>'OR08-分公司理赔'!V30</f>
        <v>0</v>
      </c>
      <c r="F52" s="809">
        <f>'OR08-分公司理赔'!AB30</f>
        <v>0</v>
      </c>
      <c r="G52" s="809">
        <f>'OR08-分公司理赔'!AH30</f>
        <v>0</v>
      </c>
      <c r="H52" s="809">
        <f>'OR08-分公司理赔'!AN30</f>
        <v>0</v>
      </c>
      <c r="I52" s="809">
        <f>'OR08-分公司理赔'!AT30</f>
        <v>0</v>
      </c>
      <c r="J52" s="809">
        <f>'OR08-分公司理赔'!AZ30</f>
        <v>0</v>
      </c>
      <c r="K52" s="809">
        <f>'OR08-分公司理赔'!BF30</f>
        <v>0</v>
      </c>
      <c r="L52" s="809">
        <f>'OR08-分公司理赔'!BL30</f>
        <v>0</v>
      </c>
      <c r="M52" s="809">
        <f>'OR08-分公司理赔'!BR30</f>
        <v>0</v>
      </c>
      <c r="N52" s="809">
        <f>'OR08-分公司理赔'!BX30</f>
        <v>0</v>
      </c>
      <c r="O52" s="809" t="s">
        <v>1778</v>
      </c>
      <c r="Q52" s="815"/>
      <c r="R52" s="816"/>
      <c r="S52" s="315"/>
      <c r="T52" s="817"/>
      <c r="U52" s="818"/>
      <c r="V52" s="818"/>
      <c r="W52" s="818"/>
      <c r="X52" s="818"/>
      <c r="Y52" s="665"/>
    </row>
    <row r="53" spans="1:26" ht="14.25">
      <c r="A53" s="1582"/>
      <c r="B53" s="819"/>
      <c r="C53" s="1435">
        <f t="shared" si="0"/>
        <v>3.8888888888888883E-2</v>
      </c>
      <c r="D53" s="807">
        <v>20</v>
      </c>
      <c r="E53" s="809">
        <f>'OR08-分公司理赔'!W29</f>
        <v>20</v>
      </c>
      <c r="F53" s="809">
        <f>'OR08-分公司理赔'!AC29</f>
        <v>20</v>
      </c>
      <c r="G53" s="809">
        <f>'OR08-分公司理赔'!AI29</f>
        <v>20</v>
      </c>
      <c r="H53" s="809">
        <f>'OR08-分公司理赔'!AO29</f>
        <v>20</v>
      </c>
      <c r="I53" s="809">
        <f>'OR08-分公司理赔'!AU29</f>
        <v>20</v>
      </c>
      <c r="J53" s="809">
        <f>'OR08-分公司理赔'!BA29</f>
        <v>20</v>
      </c>
      <c r="K53" s="809">
        <f>'OR08-分公司理赔'!BG29</f>
        <v>20</v>
      </c>
      <c r="L53" s="809">
        <f>'OR08-分公司理赔'!BM29</f>
        <v>20</v>
      </c>
      <c r="M53" s="809">
        <f>'OR08-分公司理赔'!BS29</f>
        <v>20</v>
      </c>
      <c r="N53" s="809">
        <f>'OR08-分公司理赔'!BY29</f>
        <v>20</v>
      </c>
      <c r="O53" s="809" t="s">
        <v>1774</v>
      </c>
      <c r="Q53" s="815" t="s">
        <v>1788</v>
      </c>
      <c r="R53" s="816">
        <f>'OR08-分公司理赔'!AN16</f>
        <v>8.4745762711864403E-2</v>
      </c>
      <c r="S53" s="315">
        <f t="shared" si="2"/>
        <v>8</v>
      </c>
      <c r="T53" s="817"/>
      <c r="U53" s="818"/>
      <c r="V53" s="818"/>
      <c r="W53" s="818"/>
      <c r="X53" s="818"/>
      <c r="Y53" s="665"/>
    </row>
    <row r="54" spans="1:26" ht="14.25">
      <c r="A54" s="1582"/>
      <c r="B54" s="819" t="s">
        <v>1868</v>
      </c>
      <c r="C54" s="1437"/>
      <c r="D54" s="807"/>
      <c r="E54" s="809">
        <f>'OR08-分公司理赔'!V31</f>
        <v>0</v>
      </c>
      <c r="F54" s="809">
        <f>'OR08-分公司理赔'!AB31</f>
        <v>0</v>
      </c>
      <c r="G54" s="809">
        <f>'OR08-分公司理赔'!AH31</f>
        <v>0</v>
      </c>
      <c r="H54" s="809">
        <f>'OR08-分公司理赔'!AN31</f>
        <v>0</v>
      </c>
      <c r="I54" s="809">
        <f>'OR08-分公司理赔'!AT31</f>
        <v>0</v>
      </c>
      <c r="J54" s="809">
        <f>'OR08-分公司理赔'!AZ31</f>
        <v>0</v>
      </c>
      <c r="K54" s="809">
        <f>'OR08-分公司理赔'!BF31</f>
        <v>0</v>
      </c>
      <c r="L54" s="809">
        <f>'OR08-分公司理赔'!BL31</f>
        <v>0</v>
      </c>
      <c r="M54" s="809">
        <f>'OR08-分公司理赔'!BR31</f>
        <v>0</v>
      </c>
      <c r="N54" s="809">
        <f>'OR08-分公司理赔'!BX31</f>
        <v>0</v>
      </c>
      <c r="O54" s="809" t="s">
        <v>1779</v>
      </c>
      <c r="Q54" s="815" t="s">
        <v>1791</v>
      </c>
      <c r="R54" s="816">
        <f>'OR08-分公司理赔'!AT16</f>
        <v>0.29667149059334297</v>
      </c>
      <c r="S54" s="315">
        <f t="shared" si="2"/>
        <v>8</v>
      </c>
      <c r="T54" s="817"/>
      <c r="U54" s="818"/>
      <c r="V54" s="818"/>
      <c r="W54" s="818"/>
      <c r="X54" s="818"/>
      <c r="Y54" s="665"/>
    </row>
    <row r="55" spans="1:26" ht="14.25">
      <c r="A55" s="1582"/>
      <c r="B55" s="819" t="s">
        <v>1199</v>
      </c>
      <c r="C55" s="1437"/>
      <c r="D55" s="807"/>
      <c r="E55" s="809">
        <f>'OR08-分公司理赔'!V32</f>
        <v>0</v>
      </c>
      <c r="F55" s="809">
        <f>'OR08-分公司理赔'!AB32</f>
        <v>0</v>
      </c>
      <c r="G55" s="809">
        <f>'OR08-分公司理赔'!AH32</f>
        <v>0</v>
      </c>
      <c r="H55" s="809">
        <f>'OR08-分公司理赔'!AN32</f>
        <v>0</v>
      </c>
      <c r="I55" s="809">
        <f>'OR08-分公司理赔'!AT32</f>
        <v>0</v>
      </c>
      <c r="J55" s="809">
        <f>'OR08-分公司理赔'!AZ32</f>
        <v>0</v>
      </c>
      <c r="K55" s="809">
        <f>'OR08-分公司理赔'!BF32</f>
        <v>0</v>
      </c>
      <c r="L55" s="809">
        <f>'OR08-分公司理赔'!BL32</f>
        <v>0</v>
      </c>
      <c r="M55" s="809">
        <f>'OR08-分公司理赔'!BR32</f>
        <v>0</v>
      </c>
      <c r="N55" s="809">
        <f>'OR08-分公司理赔'!BX32</f>
        <v>0</v>
      </c>
      <c r="O55" s="809" t="s">
        <v>1778</v>
      </c>
      <c r="Q55" s="815"/>
      <c r="R55" s="816"/>
      <c r="S55" s="315"/>
      <c r="T55" s="817"/>
      <c r="U55" s="818"/>
      <c r="V55" s="818"/>
      <c r="W55" s="818"/>
      <c r="X55" s="818"/>
      <c r="Y55" s="665"/>
    </row>
    <row r="56" spans="1:26" ht="14.25">
      <c r="A56" s="1582"/>
      <c r="B56" s="819"/>
      <c r="C56" s="1438">
        <f t="shared" si="0"/>
        <v>3.8888888888888883E-2</v>
      </c>
      <c r="D56" s="807">
        <v>12</v>
      </c>
      <c r="E56" s="809">
        <f>'OR08-分公司理赔'!W31</f>
        <v>12</v>
      </c>
      <c r="F56" s="809">
        <f>'OR08-分公司理赔'!AC31</f>
        <v>12</v>
      </c>
      <c r="G56" s="809">
        <f>'OR08-分公司理赔'!AI31</f>
        <v>12</v>
      </c>
      <c r="H56" s="809">
        <f>'OR08-分公司理赔'!AO31</f>
        <v>12</v>
      </c>
      <c r="I56" s="809">
        <f>'OR08-分公司理赔'!AU31</f>
        <v>12</v>
      </c>
      <c r="J56" s="809">
        <f>'OR08-分公司理赔'!BA31</f>
        <v>12</v>
      </c>
      <c r="K56" s="809">
        <f>'OR08-分公司理赔'!BG31</f>
        <v>12</v>
      </c>
      <c r="L56" s="809">
        <f>'OR08-分公司理赔'!BM31</f>
        <v>12</v>
      </c>
      <c r="M56" s="809">
        <f>'OR08-分公司理赔'!BS31</f>
        <v>12</v>
      </c>
      <c r="N56" s="809">
        <f>'OR08-分公司理赔'!BY31</f>
        <v>12</v>
      </c>
      <c r="O56" s="809" t="s">
        <v>1774</v>
      </c>
      <c r="Q56" s="815" t="s">
        <v>1789</v>
      </c>
      <c r="R56" s="816">
        <f>'OR08-分公司理赔'!AZ16</f>
        <v>0.27272727272727271</v>
      </c>
      <c r="S56" s="315">
        <f t="shared" si="2"/>
        <v>8</v>
      </c>
      <c r="T56" s="817"/>
      <c r="U56" s="818"/>
      <c r="V56" s="818"/>
      <c r="W56" s="818"/>
      <c r="X56" s="818"/>
      <c r="Y56" s="665"/>
    </row>
    <row r="57" spans="1:26" ht="14.25">
      <c r="A57" s="1582"/>
      <c r="B57" s="806" t="s">
        <v>1740</v>
      </c>
      <c r="C57" s="1435">
        <f t="shared" si="0"/>
        <v>3.8888888888888883E-2</v>
      </c>
      <c r="D57" s="807">
        <v>0</v>
      </c>
      <c r="E57" s="820">
        <v>0</v>
      </c>
      <c r="F57" s="820">
        <v>0</v>
      </c>
      <c r="G57" s="820">
        <v>0</v>
      </c>
      <c r="H57" s="820">
        <v>0</v>
      </c>
      <c r="I57" s="820">
        <v>0</v>
      </c>
      <c r="J57" s="821">
        <v>0</v>
      </c>
      <c r="K57" s="820">
        <v>0</v>
      </c>
      <c r="L57" s="820">
        <v>0</v>
      </c>
      <c r="M57" s="820">
        <v>0</v>
      </c>
      <c r="N57" s="820">
        <v>0</v>
      </c>
      <c r="O57" s="809" t="s">
        <v>1795</v>
      </c>
      <c r="Q57" s="815" t="s">
        <v>1790</v>
      </c>
      <c r="R57" s="816">
        <f>'OR08-分公司理赔'!BF16</f>
        <v>0.40476190476190477</v>
      </c>
      <c r="S57" s="315">
        <f t="shared" si="2"/>
        <v>4</v>
      </c>
      <c r="T57" s="665"/>
      <c r="U57" s="818"/>
      <c r="V57" s="818"/>
      <c r="W57" s="818"/>
      <c r="X57" s="818"/>
      <c r="Y57" s="665"/>
    </row>
    <row r="58" spans="1:26" ht="14.25">
      <c r="A58" s="1582"/>
      <c r="B58" s="810" t="s">
        <v>1751</v>
      </c>
      <c r="C58" s="1435">
        <f t="shared" si="0"/>
        <v>3.8888888888888883E-2</v>
      </c>
      <c r="D58" s="807">
        <v>2</v>
      </c>
      <c r="E58" s="809">
        <f>'OR08-分公司理赔'!W34</f>
        <v>2</v>
      </c>
      <c r="F58" s="809">
        <f>'OR08-分公司理赔'!AC34</f>
        <v>2</v>
      </c>
      <c r="G58" s="809">
        <f>'OR08-分公司理赔'!AI34</f>
        <v>2</v>
      </c>
      <c r="H58" s="809">
        <f>'OR08-分公司理赔'!AO34</f>
        <v>2</v>
      </c>
      <c r="I58" s="809">
        <f>'OR08-分公司理赔'!AU34</f>
        <v>2</v>
      </c>
      <c r="J58" s="809">
        <f>'OR08-分公司理赔'!BA34</f>
        <v>2</v>
      </c>
      <c r="K58" s="809">
        <f>'OR08-分公司理赔'!BG34</f>
        <v>2</v>
      </c>
      <c r="L58" s="809">
        <f>'OR08-分公司理赔'!BM34</f>
        <v>2</v>
      </c>
      <c r="M58" s="809">
        <f>'OR08-分公司理赔'!BS34</f>
        <v>2</v>
      </c>
      <c r="N58" s="809">
        <f>'OR08-分公司理赔'!BY34</f>
        <v>2</v>
      </c>
      <c r="O58" s="809" t="s">
        <v>1774</v>
      </c>
      <c r="Q58" s="815" t="s">
        <v>1792</v>
      </c>
      <c r="R58" s="816">
        <f>'OR08-分公司理赔'!BL16</f>
        <v>0.2465166130760986</v>
      </c>
      <c r="S58" s="315">
        <f t="shared" si="2"/>
        <v>8</v>
      </c>
      <c r="T58" s="665"/>
      <c r="U58" s="818"/>
      <c r="V58" s="818"/>
      <c r="W58" s="818"/>
      <c r="X58" s="818"/>
      <c r="Y58" s="665"/>
    </row>
    <row r="59" spans="1:26" ht="14.25">
      <c r="A59" s="1582"/>
      <c r="B59" s="810" t="s">
        <v>1204</v>
      </c>
      <c r="C59" s="1435">
        <f t="shared" si="0"/>
        <v>3.8888888888888883E-2</v>
      </c>
      <c r="D59" s="807">
        <v>2</v>
      </c>
      <c r="E59" s="809">
        <f>'OR08-分公司理赔'!W36</f>
        <v>2</v>
      </c>
      <c r="F59" s="809">
        <f>'OR08-分公司理赔'!AC36</f>
        <v>2</v>
      </c>
      <c r="G59" s="809">
        <f>'OR08-分公司理赔'!AI36</f>
        <v>2</v>
      </c>
      <c r="H59" s="809">
        <f>'OR08-分公司理赔'!AO36</f>
        <v>2</v>
      </c>
      <c r="I59" s="809">
        <f>'OR08-分公司理赔'!AU36</f>
        <v>2</v>
      </c>
      <c r="J59" s="809">
        <f>'OR08-分公司理赔'!BA36</f>
        <v>2</v>
      </c>
      <c r="K59" s="809">
        <f>'OR08-分公司理赔'!BG36</f>
        <v>2</v>
      </c>
      <c r="L59" s="809">
        <f>'OR08-分公司理赔'!BM36</f>
        <v>2</v>
      </c>
      <c r="M59" s="809">
        <f>'OR08-分公司理赔'!BS36</f>
        <v>2</v>
      </c>
      <c r="N59" s="809">
        <f>'OR08-分公司理赔'!BY36</f>
        <v>2</v>
      </c>
      <c r="O59" s="809" t="s">
        <v>1774</v>
      </c>
      <c r="Q59" s="815" t="s">
        <v>1750</v>
      </c>
      <c r="R59" s="816">
        <f>'OR08-分公司理赔'!BR16</f>
        <v>0.29508196721311475</v>
      </c>
      <c r="S59" s="315">
        <f t="shared" si="2"/>
        <v>8</v>
      </c>
      <c r="T59" s="665"/>
      <c r="U59" s="818"/>
      <c r="V59" s="818"/>
      <c r="W59" s="818"/>
      <c r="X59" s="818"/>
      <c r="Y59" s="665"/>
    </row>
    <row r="60" spans="1:26" ht="14.25">
      <c r="A60" s="1582"/>
      <c r="B60" s="810" t="s">
        <v>1752</v>
      </c>
      <c r="C60" s="1435">
        <f t="shared" si="0"/>
        <v>3.8888888888888883E-2</v>
      </c>
      <c r="D60" s="807">
        <v>1</v>
      </c>
      <c r="E60" s="809">
        <f>'OR08-分公司理赔'!W37</f>
        <v>1</v>
      </c>
      <c r="F60" s="809">
        <f>'OR08-分公司理赔'!AC37</f>
        <v>1</v>
      </c>
      <c r="G60" s="809">
        <f>'OR08-分公司理赔'!AI37</f>
        <v>1</v>
      </c>
      <c r="H60" s="809">
        <f>'OR08-分公司理赔'!AO37</f>
        <v>1</v>
      </c>
      <c r="I60" s="809">
        <f>'OR08-分公司理赔'!AU37</f>
        <v>1</v>
      </c>
      <c r="J60" s="809">
        <f>'OR08-分公司理赔'!BA37</f>
        <v>1</v>
      </c>
      <c r="K60" s="809">
        <f>'OR08-分公司理赔'!BG37</f>
        <v>1</v>
      </c>
      <c r="L60" s="809">
        <f>'OR08-分公司理赔'!BM37</f>
        <v>1</v>
      </c>
      <c r="M60" s="809">
        <f>'OR08-分公司理赔'!BS37</f>
        <v>1</v>
      </c>
      <c r="N60" s="809">
        <f>'OR08-分公司理赔'!BY37</f>
        <v>1</v>
      </c>
      <c r="O60" s="809" t="s">
        <v>1774</v>
      </c>
      <c r="Q60" s="815" t="s">
        <v>1793</v>
      </c>
      <c r="R60" s="816">
        <f>'OR08-分公司理赔'!BX16</f>
        <v>0.16788321167883211</v>
      </c>
      <c r="S60" s="315">
        <f t="shared" si="2"/>
        <v>8</v>
      </c>
      <c r="T60" s="665"/>
      <c r="U60" s="818"/>
      <c r="V60" s="818"/>
      <c r="W60" s="818"/>
      <c r="X60" s="818"/>
      <c r="Y60" s="665"/>
    </row>
    <row r="61" spans="1:26" ht="14.25">
      <c r="A61" s="1583"/>
      <c r="B61" s="806" t="s">
        <v>1753</v>
      </c>
      <c r="C61" s="1435">
        <f t="shared" si="0"/>
        <v>3.8888888888888883E-2</v>
      </c>
      <c r="D61" s="807">
        <v>10</v>
      </c>
      <c r="E61" s="809">
        <f>MAX(10-0.5*E51-3*E52-3*E54-1*E55,0)</f>
        <v>10</v>
      </c>
      <c r="F61" s="809">
        <f t="shared" ref="F61:N61" si="3">MAX(10-0.5*F51-3*F52-3*F54-1*F55,0)</f>
        <v>10</v>
      </c>
      <c r="G61" s="809">
        <f t="shared" si="3"/>
        <v>10</v>
      </c>
      <c r="H61" s="809">
        <f t="shared" si="3"/>
        <v>10</v>
      </c>
      <c r="I61" s="809">
        <f t="shared" si="3"/>
        <v>10</v>
      </c>
      <c r="J61" s="809">
        <f t="shared" si="3"/>
        <v>10</v>
      </c>
      <c r="K61" s="809">
        <f t="shared" si="3"/>
        <v>10</v>
      </c>
      <c r="L61" s="809">
        <f t="shared" si="3"/>
        <v>10</v>
      </c>
      <c r="M61" s="809">
        <f t="shared" si="3"/>
        <v>10</v>
      </c>
      <c r="N61" s="809">
        <f t="shared" si="3"/>
        <v>10</v>
      </c>
      <c r="O61" s="809" t="s">
        <v>1780</v>
      </c>
      <c r="T61" s="665"/>
      <c r="U61" s="665"/>
      <c r="V61" s="665"/>
      <c r="W61" s="665"/>
      <c r="X61" s="665"/>
      <c r="Y61" s="665"/>
    </row>
    <row r="62" spans="1:26" ht="14.25">
      <c r="A62" s="1596" t="s">
        <v>1754</v>
      </c>
      <c r="B62" s="822" t="s">
        <v>1755</v>
      </c>
      <c r="C62" s="1439">
        <f t="shared" ref="C62:C93" si="4">40%*(1/18)</f>
        <v>2.2222222222222223E-2</v>
      </c>
      <c r="D62" s="823">
        <v>5</v>
      </c>
      <c r="E62" s="824">
        <v>5</v>
      </c>
      <c r="F62" s="824">
        <v>5</v>
      </c>
      <c r="G62" s="824">
        <v>5</v>
      </c>
      <c r="H62" s="824">
        <v>5</v>
      </c>
      <c r="I62" s="824">
        <v>5</v>
      </c>
      <c r="J62" s="824">
        <v>5</v>
      </c>
      <c r="K62" s="824">
        <v>5</v>
      </c>
      <c r="L62" s="824">
        <v>5</v>
      </c>
      <c r="M62" s="824">
        <v>5</v>
      </c>
      <c r="N62" s="824">
        <v>5</v>
      </c>
      <c r="O62" s="825" t="s">
        <v>1775</v>
      </c>
      <c r="T62" s="665"/>
      <c r="U62" s="665"/>
      <c r="V62" s="665"/>
      <c r="W62" s="665"/>
      <c r="X62" s="665"/>
      <c r="Y62" s="665"/>
    </row>
    <row r="63" spans="1:26" ht="14.25">
      <c r="A63" s="1597"/>
      <c r="B63" s="822" t="s">
        <v>1756</v>
      </c>
      <c r="C63" s="1439">
        <f t="shared" si="4"/>
        <v>2.2222222222222223E-2</v>
      </c>
      <c r="D63" s="823">
        <v>2</v>
      </c>
      <c r="E63" s="826">
        <f>'OR13-分公司财务管理'!W5</f>
        <v>0</v>
      </c>
      <c r="F63" s="826">
        <f>'OR13-分公司财务管理'!AC5</f>
        <v>0</v>
      </c>
      <c r="G63" s="825">
        <f>'OR13-分公司财务管理'!AI5</f>
        <v>2</v>
      </c>
      <c r="H63" s="825">
        <f>'OR13-分公司财务管理'!AO5</f>
        <v>2</v>
      </c>
      <c r="I63" s="825">
        <f>'OR13-分公司财务管理'!AU5</f>
        <v>2</v>
      </c>
      <c r="J63" s="825">
        <f>'OR13-分公司财务管理'!BA5</f>
        <v>2</v>
      </c>
      <c r="K63" s="826">
        <f>'OR13-分公司财务管理'!BG5</f>
        <v>2</v>
      </c>
      <c r="L63" s="826">
        <f>'OR13-分公司财务管理'!BM5</f>
        <v>0</v>
      </c>
      <c r="M63" s="825">
        <f>'OR13-分公司财务管理'!BS5</f>
        <v>2</v>
      </c>
      <c r="N63" s="825">
        <f>'OR13-分公司财务管理'!BY5</f>
        <v>2</v>
      </c>
      <c r="O63" s="825" t="s">
        <v>1774</v>
      </c>
    </row>
    <row r="64" spans="1:26" ht="14.25">
      <c r="A64" s="1597"/>
      <c r="B64" s="822" t="s">
        <v>1757</v>
      </c>
      <c r="C64" s="1439">
        <f t="shared" si="4"/>
        <v>2.2222222222222223E-2</v>
      </c>
      <c r="D64" s="823">
        <v>2</v>
      </c>
      <c r="E64" s="826">
        <f>'OR13-分公司财务管理'!W9</f>
        <v>2</v>
      </c>
      <c r="F64" s="826">
        <f>'OR13-分公司财务管理'!AC9</f>
        <v>2</v>
      </c>
      <c r="G64" s="826">
        <f>'OR13-分公司财务管理'!AI9</f>
        <v>0</v>
      </c>
      <c r="H64" s="826">
        <f>'OR13-分公司财务管理'!AO9</f>
        <v>2</v>
      </c>
      <c r="I64" s="826">
        <f>'OR13-分公司财务管理'!AU9</f>
        <v>2</v>
      </c>
      <c r="J64" s="826">
        <f>'OR13-分公司财务管理'!BA9</f>
        <v>2</v>
      </c>
      <c r="K64" s="826">
        <f>'OR13-分公司财务管理'!BG9</f>
        <v>2</v>
      </c>
      <c r="L64" s="826">
        <f>'OR13-分公司财务管理'!BM9</f>
        <v>0</v>
      </c>
      <c r="M64" s="826">
        <f>'OR13-分公司财务管理'!BS9</f>
        <v>2</v>
      </c>
      <c r="N64" s="826">
        <f>'OR13-分公司财务管理'!BY9</f>
        <v>2</v>
      </c>
      <c r="O64" s="825" t="s">
        <v>1774</v>
      </c>
    </row>
    <row r="65" spans="1:15" ht="14.25">
      <c r="A65" s="1597"/>
      <c r="B65" s="822" t="s">
        <v>1758</v>
      </c>
      <c r="C65" s="1439">
        <f t="shared" si="4"/>
        <v>2.2222222222222223E-2</v>
      </c>
      <c r="D65" s="823">
        <v>2</v>
      </c>
      <c r="E65" s="826">
        <f>'OR13-分公司财务管理'!W12</f>
        <v>2</v>
      </c>
      <c r="F65" s="826">
        <f>'OR13-分公司财务管理'!AC12</f>
        <v>2</v>
      </c>
      <c r="G65" s="826">
        <f>'OR13-分公司财务管理'!AI12</f>
        <v>2</v>
      </c>
      <c r="H65" s="826">
        <f>'OR13-分公司财务管理'!AO12</f>
        <v>2</v>
      </c>
      <c r="I65" s="826">
        <f>'OR13-分公司财务管理'!AU12</f>
        <v>2</v>
      </c>
      <c r="J65" s="826">
        <f>'OR13-分公司财务管理'!BA12</f>
        <v>2</v>
      </c>
      <c r="K65" s="826">
        <f>'OR13-分公司财务管理'!BG12</f>
        <v>2</v>
      </c>
      <c r="L65" s="826">
        <f>'OR13-分公司财务管理'!BM12</f>
        <v>2</v>
      </c>
      <c r="M65" s="826">
        <f>'OR13-分公司财务管理'!BS12</f>
        <v>2</v>
      </c>
      <c r="N65" s="826">
        <f>'OR13-分公司财务管理'!BY12</f>
        <v>2</v>
      </c>
      <c r="O65" s="825" t="s">
        <v>1774</v>
      </c>
    </row>
    <row r="66" spans="1:15" ht="14.25">
      <c r="A66" s="1597"/>
      <c r="B66" s="822" t="s">
        <v>1224</v>
      </c>
      <c r="C66" s="1439">
        <f t="shared" si="4"/>
        <v>2.2222222222222223E-2</v>
      </c>
      <c r="D66" s="823">
        <v>2</v>
      </c>
      <c r="E66" s="826">
        <f>'OR13-分公司财务管理'!W15</f>
        <v>2</v>
      </c>
      <c r="F66" s="826">
        <f>'OR13-分公司财务管理'!AC15</f>
        <v>2</v>
      </c>
      <c r="G66" s="826">
        <f>'OR13-分公司财务管理'!AI15</f>
        <v>2</v>
      </c>
      <c r="H66" s="826">
        <f>'OR13-分公司财务管理'!AO15</f>
        <v>2</v>
      </c>
      <c r="I66" s="826">
        <f>'OR13-分公司财务管理'!AU15</f>
        <v>2</v>
      </c>
      <c r="J66" s="826">
        <f>'OR13-分公司财务管理'!BA15</f>
        <v>2</v>
      </c>
      <c r="K66" s="826">
        <f>'OR13-分公司财务管理'!BG15</f>
        <v>2</v>
      </c>
      <c r="L66" s="826">
        <f>'OR13-分公司财务管理'!BM15</f>
        <v>2</v>
      </c>
      <c r="M66" s="826">
        <f>'OR13-分公司财务管理'!BS15</f>
        <v>2</v>
      </c>
      <c r="N66" s="826">
        <f>'OR13-分公司财务管理'!BY15</f>
        <v>2</v>
      </c>
      <c r="O66" s="825" t="s">
        <v>1774</v>
      </c>
    </row>
    <row r="67" spans="1:15" ht="14.25">
      <c r="A67" s="1597"/>
      <c r="B67" s="822" t="s">
        <v>1106</v>
      </c>
      <c r="C67" s="1439">
        <f t="shared" si="4"/>
        <v>2.2222222222222223E-2</v>
      </c>
      <c r="D67" s="823">
        <v>2</v>
      </c>
      <c r="E67" s="826">
        <f>'OR13-分公司财务管理'!W16</f>
        <v>2</v>
      </c>
      <c r="F67" s="826">
        <f>'OR13-分公司财务管理'!AC16</f>
        <v>2</v>
      </c>
      <c r="G67" s="826">
        <f>'OR13-分公司财务管理'!AI16</f>
        <v>2</v>
      </c>
      <c r="H67" s="826">
        <f>'OR13-分公司财务管理'!AO16</f>
        <v>2</v>
      </c>
      <c r="I67" s="826">
        <f>'OR13-分公司财务管理'!AU16</f>
        <v>2</v>
      </c>
      <c r="J67" s="826">
        <f>'OR13-分公司财务管理'!BA16</f>
        <v>2</v>
      </c>
      <c r="K67" s="826">
        <f>'OR13-分公司财务管理'!BG16</f>
        <v>2</v>
      </c>
      <c r="L67" s="826">
        <f>'OR13-分公司财务管理'!BM16</f>
        <v>2</v>
      </c>
      <c r="M67" s="826">
        <f>'OR13-分公司财务管理'!BS16</f>
        <v>2</v>
      </c>
      <c r="N67" s="826">
        <f>'OR13-分公司财务管理'!BY16</f>
        <v>2</v>
      </c>
      <c r="O67" s="825" t="s">
        <v>1774</v>
      </c>
    </row>
    <row r="68" spans="1:15" ht="14.25">
      <c r="A68" s="1597"/>
      <c r="B68" s="822" t="s">
        <v>1759</v>
      </c>
      <c r="C68" s="1439">
        <f t="shared" si="4"/>
        <v>2.2222222222222223E-2</v>
      </c>
      <c r="D68" s="823">
        <v>4</v>
      </c>
      <c r="E68" s="826">
        <f>'OR13-分公司财务管理'!W17</f>
        <v>4</v>
      </c>
      <c r="F68" s="826">
        <f>'OR13-分公司财务管理'!AC17</f>
        <v>4</v>
      </c>
      <c r="G68" s="826">
        <f>'OR13-分公司财务管理'!AI17</f>
        <v>4</v>
      </c>
      <c r="H68" s="826">
        <f>'OR13-分公司财务管理'!AO17</f>
        <v>4</v>
      </c>
      <c r="I68" s="826">
        <f>'OR13-分公司财务管理'!AU17</f>
        <v>4</v>
      </c>
      <c r="J68" s="826">
        <f>'OR13-分公司财务管理'!BA17</f>
        <v>4</v>
      </c>
      <c r="K68" s="826">
        <f>'OR13-分公司财务管理'!BG17</f>
        <v>4</v>
      </c>
      <c r="L68" s="826">
        <f>'OR13-分公司财务管理'!BM17</f>
        <v>4</v>
      </c>
      <c r="M68" s="826">
        <f>'OR13-分公司财务管理'!BS17</f>
        <v>4</v>
      </c>
      <c r="N68" s="826">
        <f>'OR13-分公司财务管理'!BY17</f>
        <v>4</v>
      </c>
      <c r="O68" s="825" t="s">
        <v>1774</v>
      </c>
    </row>
    <row r="69" spans="1:15" ht="14.25">
      <c r="A69" s="1597"/>
      <c r="B69" s="822" t="s">
        <v>1234</v>
      </c>
      <c r="C69" s="1440"/>
      <c r="D69" s="823"/>
      <c r="E69" s="1420">
        <f>'OR13-分公司财务管理'!V20</f>
        <v>0</v>
      </c>
      <c r="F69" s="1420">
        <f>'OR13-分公司财务管理'!AB17</f>
        <v>0</v>
      </c>
      <c r="G69" s="1421">
        <f>'OR13-分公司财务管理'!AH17</f>
        <v>0</v>
      </c>
      <c r="H69" s="1420">
        <f>'OR13-分公司财务管理'!AN20</f>
        <v>0</v>
      </c>
      <c r="I69" s="1420">
        <f>'OR13-分公司财务管理'!AT20</f>
        <v>0</v>
      </c>
      <c r="J69" s="1420">
        <f>'OR13-分公司财务管理'!AZ20</f>
        <v>0</v>
      </c>
      <c r="K69" s="1420">
        <f>'OR13-分公司财务管理'!BF20</f>
        <v>0</v>
      </c>
      <c r="L69" s="1420">
        <f>'OR13-分公司财务管理'!BL20</f>
        <v>0</v>
      </c>
      <c r="M69" s="1420">
        <f>'OR13-分公司财务管理'!BR20</f>
        <v>0</v>
      </c>
      <c r="N69" s="1420">
        <f>'OR13-分公司财务管理'!BX20</f>
        <v>0</v>
      </c>
      <c r="O69" s="825" t="s">
        <v>1779</v>
      </c>
    </row>
    <row r="70" spans="1:15" ht="14.25">
      <c r="A70" s="1597"/>
      <c r="B70" s="822" t="s">
        <v>1237</v>
      </c>
      <c r="C70" s="1440"/>
      <c r="D70" s="823"/>
      <c r="E70" s="1420">
        <f>'OR13-分公司财务管理'!V21</f>
        <v>0</v>
      </c>
      <c r="F70" s="1420">
        <f>'OR13-分公司财务管理'!AB18</f>
        <v>0</v>
      </c>
      <c r="G70" s="1421">
        <f>'OR13-分公司财务管理'!AH18</f>
        <v>0</v>
      </c>
      <c r="H70" s="1420">
        <f>'OR13-分公司财务管理'!AN21</f>
        <v>0</v>
      </c>
      <c r="I70" s="1420">
        <f>'OR13-分公司财务管理'!AT21</f>
        <v>0</v>
      </c>
      <c r="J70" s="1420">
        <f>'OR13-分公司财务管理'!AZ21</f>
        <v>0</v>
      </c>
      <c r="K70" s="1420">
        <f>'OR13-分公司财务管理'!BF21</f>
        <v>0</v>
      </c>
      <c r="L70" s="1420">
        <f>'OR13-分公司财务管理'!BL21</f>
        <v>0</v>
      </c>
      <c r="M70" s="1420">
        <f>'OR13-分公司财务管理'!BR21</f>
        <v>0</v>
      </c>
      <c r="N70" s="1420">
        <f>'OR13-分公司财务管理'!BX21</f>
        <v>0</v>
      </c>
      <c r="O70" s="825" t="s">
        <v>1778</v>
      </c>
    </row>
    <row r="71" spans="1:15" ht="14.25">
      <c r="A71" s="1597"/>
      <c r="B71" s="822"/>
      <c r="C71" s="1441">
        <f t="shared" si="4"/>
        <v>2.2222222222222223E-2</v>
      </c>
      <c r="D71" s="823">
        <v>6</v>
      </c>
      <c r="E71" s="826">
        <f>'OR13-分公司财务管理'!W20</f>
        <v>6</v>
      </c>
      <c r="F71" s="826">
        <f>'OR13-分公司财务管理'!AC20</f>
        <v>6</v>
      </c>
      <c r="G71" s="826">
        <f>'OR13-分公司财务管理'!AI20</f>
        <v>6</v>
      </c>
      <c r="H71" s="826">
        <f>'OR13-分公司财务管理'!AO20</f>
        <v>6</v>
      </c>
      <c r="I71" s="826">
        <f>'OR13-分公司财务管理'!AU20</f>
        <v>6</v>
      </c>
      <c r="J71" s="826">
        <f>'OR13-分公司财务管理'!BA20</f>
        <v>6</v>
      </c>
      <c r="K71" s="826">
        <f>'OR13-分公司财务管理'!BG20</f>
        <v>6</v>
      </c>
      <c r="L71" s="826">
        <f>'OR13-分公司财务管理'!BM20</f>
        <v>6</v>
      </c>
      <c r="M71" s="826">
        <f>'OR13-分公司财务管理'!BS20</f>
        <v>6</v>
      </c>
      <c r="N71" s="826">
        <f>'OR13-分公司财务管理'!BY20</f>
        <v>6</v>
      </c>
      <c r="O71" s="825" t="s">
        <v>1774</v>
      </c>
    </row>
    <row r="72" spans="1:15" ht="14.25">
      <c r="A72" s="1597"/>
      <c r="B72" s="822" t="s">
        <v>131</v>
      </c>
      <c r="C72" s="1439">
        <f t="shared" si="4"/>
        <v>2.2222222222222223E-2</v>
      </c>
      <c r="D72" s="823">
        <v>1</v>
      </c>
      <c r="E72" s="826">
        <f>'OR13-分公司财务管理'!W22</f>
        <v>1</v>
      </c>
      <c r="F72" s="826">
        <f>'OR13-分公司财务管理'!AC22</f>
        <v>1</v>
      </c>
      <c r="G72" s="826">
        <f>'OR13-分公司财务管理'!AI22</f>
        <v>1</v>
      </c>
      <c r="H72" s="826">
        <f>'OR13-分公司财务管理'!AO22</f>
        <v>1</v>
      </c>
      <c r="I72" s="826">
        <f>'OR13-分公司财务管理'!AU22</f>
        <v>0</v>
      </c>
      <c r="J72" s="826">
        <f>'OR13-分公司财务管理'!BA22</f>
        <v>1</v>
      </c>
      <c r="K72" s="826">
        <f>'OR13-分公司财务管理'!BG22</f>
        <v>1</v>
      </c>
      <c r="L72" s="826">
        <f>'OR13-分公司财务管理'!BM22</f>
        <v>1</v>
      </c>
      <c r="M72" s="826">
        <f>'OR13-分公司财务管理'!BS22</f>
        <v>1</v>
      </c>
      <c r="N72" s="826">
        <f>'OR13-分公司财务管理'!BY22</f>
        <v>1</v>
      </c>
      <c r="O72" s="825" t="s">
        <v>1774</v>
      </c>
    </row>
    <row r="73" spans="1:15" ht="14.25">
      <c r="A73" s="1597"/>
      <c r="B73" s="822" t="s">
        <v>1242</v>
      </c>
      <c r="C73" s="1439">
        <f t="shared" si="4"/>
        <v>2.2222222222222223E-2</v>
      </c>
      <c r="D73" s="823">
        <v>3</v>
      </c>
      <c r="E73" s="826">
        <f>'OR13-分公司财务管理'!W23</f>
        <v>3</v>
      </c>
      <c r="F73" s="826">
        <f>'OR13-分公司财务管理'!AC23</f>
        <v>3</v>
      </c>
      <c r="G73" s="826">
        <f>'OR13-分公司财务管理'!AI23</f>
        <v>3</v>
      </c>
      <c r="H73" s="826">
        <f>'OR13-分公司财务管理'!AO23</f>
        <v>3</v>
      </c>
      <c r="I73" s="826">
        <f>'OR13-分公司财务管理'!AU23</f>
        <v>3</v>
      </c>
      <c r="J73" s="826">
        <f>'OR13-分公司财务管理'!BA23</f>
        <v>3</v>
      </c>
      <c r="K73" s="826">
        <f>'OR13-分公司财务管理'!BG23</f>
        <v>3</v>
      </c>
      <c r="L73" s="826">
        <f>'OR13-分公司财务管理'!BM23</f>
        <v>3</v>
      </c>
      <c r="M73" s="826">
        <f>'OR13-分公司财务管理'!BS23</f>
        <v>3</v>
      </c>
      <c r="N73" s="826">
        <f>'OR13-分公司财务管理'!BY23</f>
        <v>3</v>
      </c>
      <c r="O73" s="825" t="s">
        <v>1774</v>
      </c>
    </row>
    <row r="74" spans="1:15" ht="14.25">
      <c r="A74" s="1597"/>
      <c r="B74" s="822" t="s">
        <v>1248</v>
      </c>
      <c r="C74" s="1439">
        <f t="shared" si="4"/>
        <v>2.2222222222222223E-2</v>
      </c>
      <c r="D74" s="823">
        <v>3</v>
      </c>
      <c r="E74" s="826">
        <f>'OR13-分公司财务管理'!W28</f>
        <v>3</v>
      </c>
      <c r="F74" s="826">
        <f>'OR13-分公司财务管理'!AC28</f>
        <v>3</v>
      </c>
      <c r="G74" s="826">
        <f>'OR13-分公司财务管理'!AI28</f>
        <v>3</v>
      </c>
      <c r="H74" s="826">
        <f>'OR13-分公司财务管理'!AO28</f>
        <v>3</v>
      </c>
      <c r="I74" s="826">
        <f>'OR13-分公司财务管理'!AU28</f>
        <v>3</v>
      </c>
      <c r="J74" s="826">
        <f>'OR13-分公司财务管理'!BA28</f>
        <v>3</v>
      </c>
      <c r="K74" s="826">
        <f>'OR13-分公司财务管理'!BG28</f>
        <v>3</v>
      </c>
      <c r="L74" s="826">
        <f>'OR13-分公司财务管理'!BM28</f>
        <v>3</v>
      </c>
      <c r="M74" s="826">
        <f>'OR13-分公司财务管理'!BS28</f>
        <v>3</v>
      </c>
      <c r="N74" s="826">
        <f>'OR13-分公司财务管理'!BY28</f>
        <v>3</v>
      </c>
      <c r="O74" s="825" t="s">
        <v>1774</v>
      </c>
    </row>
    <row r="75" spans="1:15" ht="14.25">
      <c r="A75" s="1597"/>
      <c r="B75" s="822" t="s">
        <v>1251</v>
      </c>
      <c r="C75" s="1439">
        <f t="shared" si="4"/>
        <v>2.2222222222222223E-2</v>
      </c>
      <c r="D75" s="823">
        <v>3</v>
      </c>
      <c r="E75" s="826">
        <f>'OR13-分公司财务管理'!W32</f>
        <v>0</v>
      </c>
      <c r="F75" s="826">
        <f>'OR13-分公司财务管理'!AC32</f>
        <v>3</v>
      </c>
      <c r="G75" s="826">
        <f>'OR13-分公司财务管理'!AI32</f>
        <v>3</v>
      </c>
      <c r="H75" s="826">
        <f>'OR13-分公司财务管理'!AO32</f>
        <v>3</v>
      </c>
      <c r="I75" s="826">
        <f>'OR13-分公司财务管理'!AU32</f>
        <v>3</v>
      </c>
      <c r="J75" s="826">
        <f>'OR13-分公司财务管理'!BA32</f>
        <v>3</v>
      </c>
      <c r="K75" s="826">
        <f>'OR13-分公司财务管理'!BG32</f>
        <v>3</v>
      </c>
      <c r="L75" s="826">
        <f>'OR13-分公司财务管理'!BM32</f>
        <v>3</v>
      </c>
      <c r="M75" s="826">
        <f>'OR13-分公司财务管理'!BS32</f>
        <v>3</v>
      </c>
      <c r="N75" s="826">
        <f>'OR13-分公司财务管理'!BY32</f>
        <v>3</v>
      </c>
      <c r="O75" s="825" t="s">
        <v>1774</v>
      </c>
    </row>
    <row r="76" spans="1:15" ht="14.25">
      <c r="A76" s="1597"/>
      <c r="B76" s="822" t="s">
        <v>1657</v>
      </c>
      <c r="C76" s="1442"/>
      <c r="D76" s="823"/>
      <c r="E76" s="1420">
        <f>'OR13-分公司财务管理'!V35</f>
        <v>0</v>
      </c>
      <c r="F76" s="1420">
        <f>'OR13-分公司财务管理'!AB35</f>
        <v>0</v>
      </c>
      <c r="G76" s="1420">
        <f>'OR13-分公司财务管理'!AH35</f>
        <v>0</v>
      </c>
      <c r="H76" s="1420">
        <f>'OR13-分公司财务管理'!AN35</f>
        <v>0</v>
      </c>
      <c r="I76" s="1420">
        <f>'OR13-分公司财务管理'!AT35</f>
        <v>0</v>
      </c>
      <c r="J76" s="1420">
        <f>'OR13-分公司财务管理'!AZ35</f>
        <v>0</v>
      </c>
      <c r="K76" s="1420">
        <f>'OR13-分公司财务管理'!BF35</f>
        <v>0</v>
      </c>
      <c r="L76" s="1420">
        <f>'OR13-分公司财务管理'!BL35</f>
        <v>0</v>
      </c>
      <c r="M76" s="1420">
        <f>'OR13-分公司财务管理'!BR35</f>
        <v>0</v>
      </c>
      <c r="N76" s="1420">
        <f>'OR13-分公司财务管理'!BX35</f>
        <v>0</v>
      </c>
      <c r="O76" s="825" t="s">
        <v>1779</v>
      </c>
    </row>
    <row r="77" spans="1:15" ht="14.25">
      <c r="A77" s="1597"/>
      <c r="B77" s="822" t="s">
        <v>1761</v>
      </c>
      <c r="C77" s="1442"/>
      <c r="D77" s="823"/>
      <c r="E77" s="1420">
        <f>'OR13-分公司财务管理'!V36</f>
        <v>0</v>
      </c>
      <c r="F77" s="1420">
        <f>'OR13-分公司财务管理'!AB36</f>
        <v>0</v>
      </c>
      <c r="G77" s="1420">
        <f>'OR13-分公司财务管理'!AH36</f>
        <v>0</v>
      </c>
      <c r="H77" s="1420">
        <f>'OR13-分公司财务管理'!AN36</f>
        <v>0</v>
      </c>
      <c r="I77" s="1420">
        <f>'OR13-分公司财务管理'!AT36</f>
        <v>0</v>
      </c>
      <c r="J77" s="1420">
        <f>'OR13-分公司财务管理'!AZ36</f>
        <v>0</v>
      </c>
      <c r="K77" s="1420">
        <f>'OR13-分公司财务管理'!BF36</f>
        <v>0</v>
      </c>
      <c r="L77" s="1420">
        <f>'OR13-分公司财务管理'!BL36</f>
        <v>0</v>
      </c>
      <c r="M77" s="1420">
        <f>'OR13-分公司财务管理'!BR36</f>
        <v>0</v>
      </c>
      <c r="N77" s="1420">
        <f>'OR13-分公司财务管理'!BX36</f>
        <v>0</v>
      </c>
      <c r="O77" s="825" t="s">
        <v>1778</v>
      </c>
    </row>
    <row r="78" spans="1:15" ht="14.25">
      <c r="A78" s="1597"/>
      <c r="B78" s="822"/>
      <c r="C78" s="1441">
        <f t="shared" si="4"/>
        <v>2.2222222222222223E-2</v>
      </c>
      <c r="D78" s="823">
        <v>10</v>
      </c>
      <c r="E78" s="1422">
        <f>'OR13-分公司财务管理'!W35</f>
        <v>10</v>
      </c>
      <c r="F78" s="1422">
        <f>'OR13-分公司财务管理'!AC35</f>
        <v>10</v>
      </c>
      <c r="G78" s="1422">
        <f>'OR13-分公司财务管理'!AI35</f>
        <v>10</v>
      </c>
      <c r="H78" s="1422">
        <f>'OR13-分公司财务管理'!AO35</f>
        <v>10</v>
      </c>
      <c r="I78" s="1422">
        <f>'OR13-分公司财务管理'!AU35</f>
        <v>10</v>
      </c>
      <c r="J78" s="1422">
        <f>'OR13-分公司财务管理'!BA35</f>
        <v>10</v>
      </c>
      <c r="K78" s="1422">
        <f>'OR13-分公司财务管理'!BG35</f>
        <v>10</v>
      </c>
      <c r="L78" s="1422">
        <f>'OR13-分公司财务管理'!BM35</f>
        <v>10</v>
      </c>
      <c r="M78" s="1422">
        <f>'OR13-分公司财务管理'!BS35</f>
        <v>10</v>
      </c>
      <c r="N78" s="1422">
        <f>'OR13-分公司财务管理'!BY35</f>
        <v>10</v>
      </c>
      <c r="O78" s="825" t="s">
        <v>1774</v>
      </c>
    </row>
    <row r="79" spans="1:15" ht="14.25">
      <c r="A79" s="1597"/>
      <c r="B79" s="822" t="s">
        <v>1762</v>
      </c>
      <c r="C79" s="1439">
        <f t="shared" si="4"/>
        <v>2.2222222222222223E-2</v>
      </c>
      <c r="D79" s="823">
        <v>3</v>
      </c>
      <c r="E79" s="826">
        <f>'OR13-分公司财务管理'!W37</f>
        <v>3</v>
      </c>
      <c r="F79" s="826">
        <f>'OR13-分公司财务管理'!AC37</f>
        <v>3</v>
      </c>
      <c r="G79" s="826">
        <f>'OR13-分公司财务管理'!AI37</f>
        <v>3</v>
      </c>
      <c r="H79" s="826">
        <f>'OR13-分公司财务管理'!AO37</f>
        <v>3</v>
      </c>
      <c r="I79" s="826">
        <f>'OR13-分公司财务管理'!AU37</f>
        <v>3</v>
      </c>
      <c r="J79" s="826">
        <f>'OR13-分公司财务管理'!BA37</f>
        <v>3</v>
      </c>
      <c r="K79" s="826">
        <f>'OR13-分公司财务管理'!BG37</f>
        <v>3</v>
      </c>
      <c r="L79" s="826">
        <f>'OR13-分公司财务管理'!BM37</f>
        <v>3</v>
      </c>
      <c r="M79" s="826">
        <f>'OR13-分公司财务管理'!BS37</f>
        <v>3</v>
      </c>
      <c r="N79" s="826">
        <f>'OR13-分公司财务管理'!BY37</f>
        <v>3</v>
      </c>
      <c r="O79" s="825" t="s">
        <v>1774</v>
      </c>
    </row>
    <row r="80" spans="1:15" ht="14.25">
      <c r="A80" s="1597"/>
      <c r="B80" s="822" t="s">
        <v>2013</v>
      </c>
      <c r="C80" s="1439"/>
      <c r="D80" s="823"/>
      <c r="E80" s="1420">
        <f>'OR13-分公司财务管理'!V38</f>
        <v>0</v>
      </c>
      <c r="F80" s="1420">
        <f>'OR13-分公司财务管理'!AB38</f>
        <v>0</v>
      </c>
      <c r="G80" s="1420">
        <f>'OR13-分公司财务管理'!AH38</f>
        <v>0</v>
      </c>
      <c r="H80" s="1420">
        <f>'OR13-分公司财务管理'!AN38</f>
        <v>0</v>
      </c>
      <c r="I80" s="1420">
        <f>'OR13-分公司财务管理'!AT38</f>
        <v>0</v>
      </c>
      <c r="J80" s="1420">
        <f>'OR13-分公司财务管理'!AZ38</f>
        <v>0</v>
      </c>
      <c r="K80" s="1420">
        <f>'OR13-分公司财务管理'!BF38</f>
        <v>0</v>
      </c>
      <c r="L80" s="1420">
        <f>'OR13-分公司财务管理'!BL38</f>
        <v>0</v>
      </c>
      <c r="M80" s="1420">
        <f>'OR13-分公司财务管理'!BR38</f>
        <v>0</v>
      </c>
      <c r="N80" s="1420">
        <f>'OR13-分公司财务管理'!BX38</f>
        <v>0</v>
      </c>
      <c r="O80" s="825" t="s">
        <v>1778</v>
      </c>
    </row>
    <row r="81" spans="1:17" ht="14.25">
      <c r="A81" s="1597"/>
      <c r="B81" s="822" t="s">
        <v>1763</v>
      </c>
      <c r="C81" s="1442"/>
      <c r="D81" s="823"/>
      <c r="E81" s="1420">
        <f>'OR13-分公司财务管理'!V39</f>
        <v>0</v>
      </c>
      <c r="F81" s="1420">
        <f>'OR13-分公司财务管理'!AB39</f>
        <v>0</v>
      </c>
      <c r="G81" s="1420">
        <f>'OR13-分公司财务管理'!AH39</f>
        <v>0</v>
      </c>
      <c r="H81" s="1420">
        <f>'OR13-分公司财务管理'!AN39</f>
        <v>0</v>
      </c>
      <c r="I81" s="1420">
        <f>'OR13-分公司财务管理'!AT39</f>
        <v>0</v>
      </c>
      <c r="J81" s="1420">
        <f>'OR13-分公司财务管理'!AZ39</f>
        <v>0</v>
      </c>
      <c r="K81" s="1420">
        <f>'OR13-分公司财务管理'!BF39</f>
        <v>0</v>
      </c>
      <c r="L81" s="1420">
        <f>'OR13-分公司财务管理'!BL39</f>
        <v>0</v>
      </c>
      <c r="M81" s="1420">
        <f>'OR13-分公司财务管理'!BR39</f>
        <v>0</v>
      </c>
      <c r="N81" s="1420">
        <f>'OR13-分公司财务管理'!BX39</f>
        <v>0</v>
      </c>
      <c r="O81" s="825" t="s">
        <v>1779</v>
      </c>
    </row>
    <row r="82" spans="1:17" ht="14.25">
      <c r="A82" s="1597"/>
      <c r="B82" s="822"/>
      <c r="C82" s="1441">
        <f t="shared" si="4"/>
        <v>2.2222222222222223E-2</v>
      </c>
      <c r="D82" s="823">
        <v>12</v>
      </c>
      <c r="E82" s="1422">
        <f>'OR13-分公司财务管理'!W38</f>
        <v>12</v>
      </c>
      <c r="F82" s="1422">
        <f>'OR13-分公司财务管理'!AC38</f>
        <v>12</v>
      </c>
      <c r="G82" s="1422">
        <f>'OR13-分公司财务管理'!AI38</f>
        <v>12</v>
      </c>
      <c r="H82" s="1422">
        <f>'OR13-分公司财务管理'!AO38</f>
        <v>12</v>
      </c>
      <c r="I82" s="1422">
        <f>'OR13-分公司财务管理'!AU38</f>
        <v>12</v>
      </c>
      <c r="J82" s="1422">
        <f>'OR13-分公司财务管理'!BA38</f>
        <v>12</v>
      </c>
      <c r="K82" s="1422">
        <f>'OR13-分公司财务管理'!BG38</f>
        <v>12</v>
      </c>
      <c r="L82" s="1422">
        <f>'OR13-分公司财务管理'!BM38</f>
        <v>12</v>
      </c>
      <c r="M82" s="1422">
        <f>'OR13-分公司财务管理'!BS38</f>
        <v>12</v>
      </c>
      <c r="N82" s="1422">
        <f>'OR13-分公司财务管理'!BY38</f>
        <v>12</v>
      </c>
      <c r="O82" s="825" t="s">
        <v>1774</v>
      </c>
    </row>
    <row r="83" spans="1:17" ht="14.25">
      <c r="A83" s="1597"/>
      <c r="B83" s="822" t="s">
        <v>1764</v>
      </c>
      <c r="C83" s="1439">
        <f t="shared" si="4"/>
        <v>2.2222222222222223E-2</v>
      </c>
      <c r="D83" s="823">
        <v>2</v>
      </c>
      <c r="E83" s="826">
        <f>'OR13-分公司财务管理'!W40</f>
        <v>2</v>
      </c>
      <c r="F83" s="826">
        <f>'OR13-分公司财务管理'!AC40</f>
        <v>0</v>
      </c>
      <c r="G83" s="826">
        <f>'OR13-分公司财务管理'!AI40</f>
        <v>2</v>
      </c>
      <c r="H83" s="826">
        <f>'OR13-分公司财务管理'!AO40</f>
        <v>2</v>
      </c>
      <c r="I83" s="826">
        <f>'OR13-分公司财务管理'!AU40</f>
        <v>2</v>
      </c>
      <c r="J83" s="826">
        <f>'OR13-分公司财务管理'!BA40</f>
        <v>2</v>
      </c>
      <c r="K83" s="826">
        <f>'OR13-分公司财务管理'!BG40</f>
        <v>2</v>
      </c>
      <c r="L83" s="826">
        <f>'OR13-分公司财务管理'!BM40</f>
        <v>2</v>
      </c>
      <c r="M83" s="826">
        <f>'OR13-分公司财务管理'!BS40</f>
        <v>2</v>
      </c>
      <c r="N83" s="826">
        <f>'OR13-分公司财务管理'!BY40</f>
        <v>2</v>
      </c>
      <c r="O83" s="825" t="s">
        <v>1774</v>
      </c>
    </row>
    <row r="84" spans="1:17" ht="14.25">
      <c r="A84" s="1597"/>
      <c r="B84" s="822" t="s">
        <v>1260</v>
      </c>
      <c r="C84" s="1439">
        <f t="shared" si="4"/>
        <v>2.2222222222222223E-2</v>
      </c>
      <c r="D84" s="823">
        <v>2</v>
      </c>
      <c r="E84" s="826">
        <f>'OR13-分公司财务管理'!W43</f>
        <v>2</v>
      </c>
      <c r="F84" s="826">
        <f>'OR13-分公司财务管理'!AC43</f>
        <v>2</v>
      </c>
      <c r="G84" s="826">
        <f>'OR13-分公司财务管理'!AI43</f>
        <v>2</v>
      </c>
      <c r="H84" s="826">
        <f>'OR13-分公司财务管理'!AO43</f>
        <v>2</v>
      </c>
      <c r="I84" s="826">
        <f>'OR13-分公司财务管理'!AU43</f>
        <v>2</v>
      </c>
      <c r="J84" s="826">
        <f>'OR13-分公司财务管理'!BA43</f>
        <v>2</v>
      </c>
      <c r="K84" s="826">
        <f>'OR13-分公司财务管理'!BG43</f>
        <v>2</v>
      </c>
      <c r="L84" s="826">
        <f>'OR13-分公司财务管理'!BM43</f>
        <v>2</v>
      </c>
      <c r="M84" s="826">
        <f>'OR13-分公司财务管理'!BS43</f>
        <v>2</v>
      </c>
      <c r="N84" s="826">
        <f>'OR13-分公司财务管理'!BY43</f>
        <v>2</v>
      </c>
      <c r="O84" s="825" t="s">
        <v>1774</v>
      </c>
    </row>
    <row r="85" spans="1:17" ht="14.25">
      <c r="A85" s="1597"/>
      <c r="B85" s="822" t="s">
        <v>1262</v>
      </c>
      <c r="C85" s="1443"/>
      <c r="D85" s="823"/>
      <c r="E85" s="1420">
        <f>'OR13-分公司财务管理'!V46</f>
        <v>0</v>
      </c>
      <c r="F85" s="1420">
        <f>'OR13-分公司财务管理'!AB46</f>
        <v>0</v>
      </c>
      <c r="G85" s="1420">
        <f>'OR13-分公司财务管理'!AH46</f>
        <v>0</v>
      </c>
      <c r="H85" s="1420">
        <f>'OR13-分公司财务管理'!AN46</f>
        <v>0</v>
      </c>
      <c r="I85" s="1420">
        <f>'OR13-分公司财务管理'!AT46</f>
        <v>0</v>
      </c>
      <c r="J85" s="1420">
        <f>'OR13-分公司财务管理'!AZ46</f>
        <v>0</v>
      </c>
      <c r="K85" s="1420">
        <f>'OR13-分公司财务管理'!BF46</f>
        <v>0</v>
      </c>
      <c r="L85" s="1420">
        <f>'OR13-分公司财务管理'!BL46</f>
        <v>0</v>
      </c>
      <c r="M85" s="1420">
        <f>'OR13-分公司财务管理'!BR46</f>
        <v>0</v>
      </c>
      <c r="N85" s="1420">
        <f>'OR13-分公司财务管理'!BX46</f>
        <v>0</v>
      </c>
      <c r="O85" s="825" t="s">
        <v>1779</v>
      </c>
    </row>
    <row r="86" spans="1:17" ht="14.25">
      <c r="A86" s="1597"/>
      <c r="B86" s="822" t="s">
        <v>1829</v>
      </c>
      <c r="C86" s="1443"/>
      <c r="D86" s="823"/>
      <c r="E86" s="1420">
        <f>'OR13-分公司财务管理'!V47</f>
        <v>0</v>
      </c>
      <c r="F86" s="1420">
        <f>'OR13-分公司财务管理'!AB47</f>
        <v>0</v>
      </c>
      <c r="G86" s="1420">
        <f>'OR13-分公司财务管理'!AH47</f>
        <v>0</v>
      </c>
      <c r="H86" s="1420">
        <f>'OR13-分公司财务管理'!AN47</f>
        <v>0</v>
      </c>
      <c r="I86" s="1420">
        <f>'OR13-分公司财务管理'!AT47</f>
        <v>0</v>
      </c>
      <c r="J86" s="1420">
        <f>'OR13-分公司财务管理'!AZ47</f>
        <v>0</v>
      </c>
      <c r="K86" s="1420">
        <f>'OR13-分公司财务管理'!BF47</f>
        <v>0</v>
      </c>
      <c r="L86" s="1420">
        <f>'OR13-分公司财务管理'!BL47</f>
        <v>0</v>
      </c>
      <c r="M86" s="1420">
        <f>'OR13-分公司财务管理'!BR47</f>
        <v>0</v>
      </c>
      <c r="N86" s="1420">
        <f>'OR13-分公司财务管理'!BX47</f>
        <v>0</v>
      </c>
      <c r="O86" s="825"/>
    </row>
    <row r="87" spans="1:17" ht="14.25">
      <c r="A87" s="1597"/>
      <c r="B87" s="822"/>
      <c r="C87" s="1441">
        <f t="shared" si="4"/>
        <v>2.2222222222222223E-2</v>
      </c>
      <c r="D87" s="823">
        <v>6</v>
      </c>
      <c r="E87" s="825">
        <v>6</v>
      </c>
      <c r="F87" s="825">
        <v>6</v>
      </c>
      <c r="G87" s="825">
        <v>6</v>
      </c>
      <c r="H87" s="825">
        <v>6</v>
      </c>
      <c r="I87" s="825">
        <v>6</v>
      </c>
      <c r="J87" s="825">
        <v>6</v>
      </c>
      <c r="K87" s="825">
        <v>6</v>
      </c>
      <c r="L87" s="825">
        <v>6</v>
      </c>
      <c r="M87" s="825">
        <v>6</v>
      </c>
      <c r="N87" s="825">
        <v>6</v>
      </c>
      <c r="O87" s="825" t="s">
        <v>1774</v>
      </c>
    </row>
    <row r="88" spans="1:17" ht="14.25">
      <c r="A88" s="1597"/>
      <c r="B88" s="1598" t="s">
        <v>1765</v>
      </c>
      <c r="C88" s="1442"/>
      <c r="D88" s="823"/>
      <c r="E88" s="1420">
        <f>'OR13-分公司财务管理'!V48</f>
        <v>0</v>
      </c>
      <c r="F88" s="1420">
        <f>'OR13-分公司财务管理'!AB48</f>
        <v>0</v>
      </c>
      <c r="G88" s="1420">
        <f>'OR13-分公司财务管理'!AH48</f>
        <v>0</v>
      </c>
      <c r="H88" s="1420">
        <f>'OR13-分公司财务管理'!AN48</f>
        <v>0</v>
      </c>
      <c r="I88" s="1420">
        <f>'OR13-分公司财务管理'!AT48</f>
        <v>0</v>
      </c>
      <c r="J88" s="1420">
        <f>'OR13-分公司财务管理'!AZ48</f>
        <v>0</v>
      </c>
      <c r="K88" s="1420">
        <f>'OR13-分公司财务管理'!BF48</f>
        <v>0</v>
      </c>
      <c r="L88" s="1420">
        <f>'OR13-分公司财务管理'!BL48</f>
        <v>0</v>
      </c>
      <c r="M88" s="1420">
        <f>'OR13-分公司财务管理'!BR48</f>
        <v>0</v>
      </c>
      <c r="N88" s="1420">
        <f>'OR13-分公司财务管理'!BX48</f>
        <v>0</v>
      </c>
      <c r="O88" s="825" t="s">
        <v>1779</v>
      </c>
    </row>
    <row r="89" spans="1:17" ht="14.25">
      <c r="A89" s="1597"/>
      <c r="B89" s="1599"/>
      <c r="C89" s="1441">
        <f t="shared" si="4"/>
        <v>2.2222222222222223E-2</v>
      </c>
      <c r="D89" s="823">
        <v>5</v>
      </c>
      <c r="E89" s="826">
        <f>'OR13-分公司财务管理'!W48</f>
        <v>5</v>
      </c>
      <c r="F89" s="826">
        <f>'OR13-分公司财务管理'!AC48</f>
        <v>5</v>
      </c>
      <c r="G89" s="826">
        <f>'OR13-分公司财务管理'!AI48</f>
        <v>5</v>
      </c>
      <c r="H89" s="826">
        <f>'OR13-分公司财务管理'!AO48</f>
        <v>5</v>
      </c>
      <c r="I89" s="826">
        <f>'OR13-分公司财务管理'!AU48</f>
        <v>5</v>
      </c>
      <c r="J89" s="826">
        <f>'OR13-分公司财务管理'!BA48</f>
        <v>5</v>
      </c>
      <c r="K89" s="826">
        <f>'OR13-分公司财务管理'!BG48</f>
        <v>5</v>
      </c>
      <c r="L89" s="826">
        <f>'OR13-分公司财务管理'!BM48</f>
        <v>5</v>
      </c>
      <c r="M89" s="826">
        <f>'OR13-分公司财务管理'!BS48</f>
        <v>5</v>
      </c>
      <c r="N89" s="826">
        <f>'OR13-分公司财务管理'!BY48</f>
        <v>5</v>
      </c>
      <c r="O89" s="825" t="s">
        <v>1774</v>
      </c>
    </row>
    <row r="90" spans="1:17" ht="14.25">
      <c r="A90" s="1597"/>
      <c r="B90" s="822" t="s">
        <v>1766</v>
      </c>
      <c r="C90" s="1439">
        <f t="shared" si="4"/>
        <v>2.2222222222222223E-2</v>
      </c>
      <c r="D90" s="823">
        <v>0</v>
      </c>
      <c r="E90" s="827">
        <v>0</v>
      </c>
      <c r="F90" s="827">
        <v>0</v>
      </c>
      <c r="G90" s="827">
        <v>0</v>
      </c>
      <c r="H90" s="827">
        <v>0</v>
      </c>
      <c r="I90" s="827">
        <v>0</v>
      </c>
      <c r="J90" s="827">
        <v>0</v>
      </c>
      <c r="K90" s="827">
        <v>0</v>
      </c>
      <c r="L90" s="827">
        <v>0</v>
      </c>
      <c r="M90" s="827">
        <v>0</v>
      </c>
      <c r="N90" s="827">
        <v>0</v>
      </c>
      <c r="O90" s="825" t="s">
        <v>1781</v>
      </c>
    </row>
    <row r="91" spans="1:17" ht="14.25">
      <c r="A91" s="1597"/>
      <c r="B91" s="822" t="s">
        <v>1751</v>
      </c>
      <c r="C91" s="1439">
        <f t="shared" si="4"/>
        <v>2.2222222222222223E-2</v>
      </c>
      <c r="D91" s="823">
        <v>3</v>
      </c>
      <c r="E91" s="826">
        <f>'OR13-分公司财务管理'!W50</f>
        <v>3</v>
      </c>
      <c r="F91" s="826">
        <f>'OR13-分公司财务管理'!AC50</f>
        <v>3</v>
      </c>
      <c r="G91" s="826">
        <f>'OR13-分公司财务管理'!AI50</f>
        <v>3</v>
      </c>
      <c r="H91" s="826">
        <f>'OR13-分公司财务管理'!AO50</f>
        <v>3</v>
      </c>
      <c r="I91" s="826">
        <f>'OR13-分公司财务管理'!AU50</f>
        <v>3</v>
      </c>
      <c r="J91" s="826">
        <f>'OR13-分公司财务管理'!BA50</f>
        <v>3</v>
      </c>
      <c r="K91" s="826">
        <f>'OR13-分公司财务管理'!BG50</f>
        <v>3</v>
      </c>
      <c r="L91" s="826">
        <f>'OR13-分公司财务管理'!BM50</f>
        <v>3</v>
      </c>
      <c r="M91" s="826">
        <f>'OR13-分公司财务管理'!BS50</f>
        <v>3</v>
      </c>
      <c r="N91" s="826">
        <f>'OR13-分公司财务管理'!BY50</f>
        <v>3</v>
      </c>
      <c r="O91" s="825" t="s">
        <v>1774</v>
      </c>
    </row>
    <row r="92" spans="1:17" ht="14.25">
      <c r="A92" s="1597"/>
      <c r="B92" s="822" t="s">
        <v>1752</v>
      </c>
      <c r="C92" s="1439">
        <f t="shared" si="4"/>
        <v>2.2222222222222223E-2</v>
      </c>
      <c r="D92" s="823">
        <v>2</v>
      </c>
      <c r="E92" s="826">
        <f>'OR13-分公司财务管理'!W52</f>
        <v>2</v>
      </c>
      <c r="F92" s="826">
        <f>'OR13-分公司财务管理'!AC52</f>
        <v>2</v>
      </c>
      <c r="G92" s="826">
        <f>'OR13-分公司财务管理'!AI52</f>
        <v>2</v>
      </c>
      <c r="H92" s="826">
        <f>'OR13-分公司财务管理'!AO52</f>
        <v>2</v>
      </c>
      <c r="I92" s="826">
        <f>'OR13-分公司财务管理'!AU52</f>
        <v>2</v>
      </c>
      <c r="J92" s="826">
        <f>'OR13-分公司财务管理'!BA52</f>
        <v>2</v>
      </c>
      <c r="K92" s="826">
        <f>'OR13-分公司财务管理'!BG52</f>
        <v>2</v>
      </c>
      <c r="L92" s="826">
        <f>'OR13-分公司财务管理'!BM52</f>
        <v>2</v>
      </c>
      <c r="M92" s="826">
        <f>'OR13-分公司财务管理'!BS52</f>
        <v>2</v>
      </c>
      <c r="N92" s="826">
        <f>'OR13-分公司财务管理'!BY52</f>
        <v>2</v>
      </c>
      <c r="O92" s="825" t="s">
        <v>1774</v>
      </c>
    </row>
    <row r="93" spans="1:17" ht="14.25">
      <c r="A93" s="1597"/>
      <c r="B93" s="822" t="s">
        <v>1767</v>
      </c>
      <c r="C93" s="1439">
        <f t="shared" si="4"/>
        <v>2.2222222222222223E-2</v>
      </c>
      <c r="D93" s="823">
        <v>10</v>
      </c>
      <c r="E93" s="825">
        <f>MAX($D$93-($D$71-E71)-($D$82-E82)-($D$78-E78)-($D$87-E87)-($D$89-E89),0)</f>
        <v>10</v>
      </c>
      <c r="F93" s="825">
        <f>MAX($D$93-($D$71-F71)-($D$82-F82)-($D$78-F78)-($D$87-F87)-($D$89-F89),0)</f>
        <v>10</v>
      </c>
      <c r="G93" s="825">
        <f t="shared" ref="G93:M93" si="5">MAX($D$93-($D$71-G71)-($D$82-G82)-($D$78-G78)-($D$87-G87)-($D$89-G89),0)</f>
        <v>10</v>
      </c>
      <c r="H93" s="825">
        <f t="shared" si="5"/>
        <v>10</v>
      </c>
      <c r="I93" s="825">
        <f t="shared" si="5"/>
        <v>10</v>
      </c>
      <c r="J93" s="825">
        <f>MAX($D$93-($D$71-J71)-($D$82-J82)-($D$78-J78)-($D$87-J87)-($D$89-J89),0)</f>
        <v>10</v>
      </c>
      <c r="K93" s="825">
        <f t="shared" si="5"/>
        <v>10</v>
      </c>
      <c r="L93" s="825">
        <f t="shared" si="5"/>
        <v>10</v>
      </c>
      <c r="M93" s="825">
        <f t="shared" si="5"/>
        <v>10</v>
      </c>
      <c r="N93" s="825">
        <f>MAX($D$93-($D$71-N71)-($D$82-N82)-($D$78-N78)-($D$87-N87)-($D$89-N89),0)</f>
        <v>10</v>
      </c>
      <c r="O93" s="825" t="s">
        <v>1780</v>
      </c>
    </row>
    <row r="94" spans="1:17" s="811" customFormat="1" ht="14.25" customHeight="1">
      <c r="A94" s="1602" t="s">
        <v>1942</v>
      </c>
      <c r="B94" s="1586" t="s">
        <v>1680</v>
      </c>
      <c r="C94" s="1444"/>
      <c r="D94" s="828"/>
      <c r="E94" s="829">
        <v>0</v>
      </c>
      <c r="F94" s="829">
        <v>2</v>
      </c>
      <c r="G94" s="829">
        <v>2</v>
      </c>
      <c r="H94" s="829">
        <v>0</v>
      </c>
      <c r="I94" s="829">
        <v>0</v>
      </c>
      <c r="J94" s="829">
        <v>35</v>
      </c>
      <c r="K94" s="829">
        <v>0</v>
      </c>
      <c r="L94" s="829">
        <v>0</v>
      </c>
      <c r="M94" s="829">
        <v>0</v>
      </c>
      <c r="N94" s="829">
        <v>0</v>
      </c>
      <c r="O94" s="830" t="s">
        <v>1797</v>
      </c>
      <c r="P94" s="660"/>
      <c r="Q94" s="660"/>
    </row>
    <row r="95" spans="1:17" s="811" customFormat="1" ht="14.25">
      <c r="A95" s="1602"/>
      <c r="B95" s="1586"/>
      <c r="C95" s="1445">
        <f>30%*(1/18)</f>
        <v>1.6666666666666666E-2</v>
      </c>
      <c r="D95" s="828">
        <v>8</v>
      </c>
      <c r="E95" s="831">
        <f>MAX(8-2*E94,0)</f>
        <v>8</v>
      </c>
      <c r="F95" s="831">
        <f t="shared" ref="F95:N95" si="6">MAX(8-2*F94,0)</f>
        <v>4</v>
      </c>
      <c r="G95" s="831">
        <f t="shared" si="6"/>
        <v>4</v>
      </c>
      <c r="H95" s="831">
        <f t="shared" si="6"/>
        <v>8</v>
      </c>
      <c r="I95" s="831">
        <f t="shared" si="6"/>
        <v>8</v>
      </c>
      <c r="J95" s="831">
        <f t="shared" si="6"/>
        <v>0</v>
      </c>
      <c r="K95" s="831">
        <f t="shared" si="6"/>
        <v>8</v>
      </c>
      <c r="L95" s="831">
        <f t="shared" si="6"/>
        <v>8</v>
      </c>
      <c r="M95" s="831">
        <f t="shared" si="6"/>
        <v>8</v>
      </c>
      <c r="N95" s="831">
        <f t="shared" si="6"/>
        <v>8</v>
      </c>
      <c r="O95" s="831" t="s">
        <v>1780</v>
      </c>
      <c r="P95" s="660"/>
      <c r="Q95" s="660"/>
    </row>
    <row r="96" spans="1:17" s="811" customFormat="1" ht="14.25" customHeight="1">
      <c r="A96" s="1602"/>
      <c r="B96" s="1586" t="s">
        <v>1798</v>
      </c>
      <c r="C96" s="1444"/>
      <c r="D96" s="828"/>
      <c r="E96" s="829">
        <v>0</v>
      </c>
      <c r="F96" s="829">
        <v>0</v>
      </c>
      <c r="G96" s="829">
        <v>1</v>
      </c>
      <c r="H96" s="829">
        <v>1</v>
      </c>
      <c r="I96" s="829">
        <v>1</v>
      </c>
      <c r="J96" s="829">
        <v>0</v>
      </c>
      <c r="K96" s="829">
        <v>0</v>
      </c>
      <c r="L96" s="829">
        <v>0</v>
      </c>
      <c r="M96" s="829">
        <v>0</v>
      </c>
      <c r="N96" s="829">
        <v>0</v>
      </c>
      <c r="O96" s="831" t="s">
        <v>1779</v>
      </c>
      <c r="P96" s="660"/>
      <c r="Q96" s="660"/>
    </row>
    <row r="97" spans="1:17" s="811" customFormat="1" ht="14.25">
      <c r="A97" s="1602"/>
      <c r="B97" s="1586"/>
      <c r="C97" s="1446">
        <f>30%*(1/18)</f>
        <v>1.6666666666666666E-2</v>
      </c>
      <c r="D97" s="828">
        <v>4</v>
      </c>
      <c r="E97" s="831">
        <f>MAX(4-2*E96,0)</f>
        <v>4</v>
      </c>
      <c r="F97" s="831">
        <f t="shared" ref="F97:N97" si="7">MAX(4-2*F96,0)</f>
        <v>4</v>
      </c>
      <c r="G97" s="831">
        <f t="shared" si="7"/>
        <v>2</v>
      </c>
      <c r="H97" s="831">
        <f t="shared" si="7"/>
        <v>2</v>
      </c>
      <c r="I97" s="831">
        <f t="shared" si="7"/>
        <v>2</v>
      </c>
      <c r="J97" s="831">
        <f t="shared" si="7"/>
        <v>4</v>
      </c>
      <c r="K97" s="831">
        <f t="shared" si="7"/>
        <v>4</v>
      </c>
      <c r="L97" s="831">
        <f t="shared" si="7"/>
        <v>4</v>
      </c>
      <c r="M97" s="831">
        <f t="shared" si="7"/>
        <v>4</v>
      </c>
      <c r="N97" s="831">
        <f t="shared" si="7"/>
        <v>4</v>
      </c>
      <c r="O97" s="831" t="s">
        <v>1774</v>
      </c>
      <c r="P97" s="660"/>
      <c r="Q97" s="660"/>
    </row>
    <row r="98" spans="1:17" s="811" customFormat="1" ht="14.25">
      <c r="A98" s="1602"/>
      <c r="B98" s="1586" t="s">
        <v>1799</v>
      </c>
      <c r="C98" s="1447"/>
      <c r="D98" s="828"/>
      <c r="E98" s="829">
        <v>0</v>
      </c>
      <c r="F98" s="829">
        <v>0</v>
      </c>
      <c r="G98" s="829">
        <v>1</v>
      </c>
      <c r="H98" s="829">
        <v>0</v>
      </c>
      <c r="I98" s="829">
        <v>0</v>
      </c>
      <c r="J98" s="829">
        <v>0</v>
      </c>
      <c r="K98" s="829">
        <v>1</v>
      </c>
      <c r="L98" s="829">
        <v>0</v>
      </c>
      <c r="M98" s="829">
        <v>0</v>
      </c>
      <c r="N98" s="829">
        <v>0</v>
      </c>
      <c r="O98" s="831" t="s">
        <v>1779</v>
      </c>
      <c r="P98" s="660"/>
      <c r="Q98" s="660"/>
    </row>
    <row r="99" spans="1:17" s="811" customFormat="1" ht="14.25">
      <c r="A99" s="1602"/>
      <c r="B99" s="1586"/>
      <c r="C99" s="1445">
        <f>30%*(1/18)</f>
        <v>1.6666666666666666E-2</v>
      </c>
      <c r="D99" s="828">
        <v>4</v>
      </c>
      <c r="E99" s="831">
        <f t="shared" ref="E99:N99" si="8">MAX(4-2*E98,0)</f>
        <v>4</v>
      </c>
      <c r="F99" s="831">
        <f t="shared" si="8"/>
        <v>4</v>
      </c>
      <c r="G99" s="831">
        <f t="shared" si="8"/>
        <v>2</v>
      </c>
      <c r="H99" s="831">
        <f t="shared" si="8"/>
        <v>4</v>
      </c>
      <c r="I99" s="831">
        <f t="shared" si="8"/>
        <v>4</v>
      </c>
      <c r="J99" s="831">
        <f t="shared" si="8"/>
        <v>4</v>
      </c>
      <c r="K99" s="831">
        <f t="shared" si="8"/>
        <v>2</v>
      </c>
      <c r="L99" s="831">
        <f t="shared" si="8"/>
        <v>4</v>
      </c>
      <c r="M99" s="831">
        <f t="shared" si="8"/>
        <v>4</v>
      </c>
      <c r="N99" s="831">
        <f t="shared" si="8"/>
        <v>4</v>
      </c>
      <c r="O99" s="831" t="s">
        <v>1774</v>
      </c>
      <c r="P99" s="660"/>
      <c r="Q99" s="660"/>
    </row>
    <row r="100" spans="1:17" s="811" customFormat="1" ht="14.25">
      <c r="A100" s="1602"/>
      <c r="B100" s="1586" t="s">
        <v>1651</v>
      </c>
      <c r="C100" s="1448"/>
      <c r="D100" s="828"/>
      <c r="E100" s="829">
        <v>0</v>
      </c>
      <c r="F100" s="829">
        <v>0</v>
      </c>
      <c r="G100" s="829">
        <v>0</v>
      </c>
      <c r="H100" s="829">
        <v>0</v>
      </c>
      <c r="I100" s="829">
        <v>0</v>
      </c>
      <c r="J100" s="829">
        <v>0</v>
      </c>
      <c r="K100" s="829">
        <v>0</v>
      </c>
      <c r="L100" s="829">
        <v>0</v>
      </c>
      <c r="M100" s="829">
        <v>0</v>
      </c>
      <c r="N100" s="829">
        <v>0</v>
      </c>
      <c r="O100" s="831" t="s">
        <v>1779</v>
      </c>
      <c r="P100" s="660"/>
      <c r="Q100" s="660"/>
    </row>
    <row r="101" spans="1:17" s="811" customFormat="1" ht="14.25">
      <c r="A101" s="1602"/>
      <c r="B101" s="1586" t="s">
        <v>472</v>
      </c>
      <c r="C101" s="1445">
        <f t="shared" ref="C101:C107" si="9">30%*(1/18)</f>
        <v>1.6666666666666666E-2</v>
      </c>
      <c r="D101" s="828">
        <v>5</v>
      </c>
      <c r="E101" s="831">
        <f>MAX(5-2*E100,0)</f>
        <v>5</v>
      </c>
      <c r="F101" s="831">
        <f t="shared" ref="F101:N101" si="10">MAX(5-2*F100,0)</f>
        <v>5</v>
      </c>
      <c r="G101" s="831">
        <f t="shared" si="10"/>
        <v>5</v>
      </c>
      <c r="H101" s="831">
        <f t="shared" si="10"/>
        <v>5</v>
      </c>
      <c r="I101" s="831">
        <f t="shared" si="10"/>
        <v>5</v>
      </c>
      <c r="J101" s="831">
        <f t="shared" si="10"/>
        <v>5</v>
      </c>
      <c r="K101" s="831">
        <f t="shared" si="10"/>
        <v>5</v>
      </c>
      <c r="L101" s="831">
        <f t="shared" si="10"/>
        <v>5</v>
      </c>
      <c r="M101" s="831">
        <f t="shared" si="10"/>
        <v>5</v>
      </c>
      <c r="N101" s="831">
        <f t="shared" si="10"/>
        <v>5</v>
      </c>
      <c r="O101" s="831" t="s">
        <v>1774</v>
      </c>
      <c r="P101" s="660"/>
      <c r="Q101" s="660"/>
    </row>
    <row r="102" spans="1:17" s="811" customFormat="1" ht="14.25">
      <c r="A102" s="1602"/>
      <c r="B102" s="1600" t="s">
        <v>1801</v>
      </c>
      <c r="C102" s="1447"/>
      <c r="D102" s="828"/>
      <c r="E102" s="829">
        <v>0</v>
      </c>
      <c r="F102" s="829">
        <v>0</v>
      </c>
      <c r="G102" s="829">
        <v>0</v>
      </c>
      <c r="H102" s="829">
        <v>0</v>
      </c>
      <c r="I102" s="829">
        <v>0</v>
      </c>
      <c r="J102" s="829">
        <v>0</v>
      </c>
      <c r="K102" s="829">
        <v>0</v>
      </c>
      <c r="L102" s="829">
        <v>0</v>
      </c>
      <c r="M102" s="829">
        <v>0</v>
      </c>
      <c r="N102" s="829">
        <v>0</v>
      </c>
      <c r="O102" s="831" t="s">
        <v>1779</v>
      </c>
      <c r="P102" s="660"/>
      <c r="Q102" s="660"/>
    </row>
    <row r="103" spans="1:17" s="811" customFormat="1" ht="14.25">
      <c r="A103" s="1602"/>
      <c r="B103" s="1601"/>
      <c r="C103" s="1445">
        <f t="shared" si="9"/>
        <v>1.6666666666666666E-2</v>
      </c>
      <c r="D103" s="828">
        <v>5</v>
      </c>
      <c r="E103" s="831">
        <f t="shared" ref="E103:N103" si="11">MAX(5-2*E102,0)</f>
        <v>5</v>
      </c>
      <c r="F103" s="831">
        <f t="shared" si="11"/>
        <v>5</v>
      </c>
      <c r="G103" s="831">
        <f t="shared" si="11"/>
        <v>5</v>
      </c>
      <c r="H103" s="831">
        <f t="shared" si="11"/>
        <v>5</v>
      </c>
      <c r="I103" s="831">
        <f t="shared" si="11"/>
        <v>5</v>
      </c>
      <c r="J103" s="831">
        <f t="shared" si="11"/>
        <v>5</v>
      </c>
      <c r="K103" s="831">
        <f t="shared" si="11"/>
        <v>5</v>
      </c>
      <c r="L103" s="831">
        <f t="shared" si="11"/>
        <v>5</v>
      </c>
      <c r="M103" s="831">
        <f t="shared" si="11"/>
        <v>5</v>
      </c>
      <c r="N103" s="831">
        <f t="shared" si="11"/>
        <v>5</v>
      </c>
      <c r="O103" s="831" t="s">
        <v>1774</v>
      </c>
      <c r="P103" s="660"/>
      <c r="Q103" s="660"/>
    </row>
    <row r="104" spans="1:17" s="811" customFormat="1" ht="14.25">
      <c r="A104" s="1602"/>
      <c r="B104" s="1586" t="s">
        <v>1802</v>
      </c>
      <c r="C104" s="1447"/>
      <c r="D104" s="828"/>
      <c r="E104" s="829">
        <v>0</v>
      </c>
      <c r="F104" s="829">
        <v>0</v>
      </c>
      <c r="G104" s="829">
        <v>0</v>
      </c>
      <c r="H104" s="829">
        <v>0</v>
      </c>
      <c r="I104" s="829">
        <v>0</v>
      </c>
      <c r="J104" s="829">
        <v>0</v>
      </c>
      <c r="K104" s="829">
        <v>0</v>
      </c>
      <c r="L104" s="829">
        <v>0</v>
      </c>
      <c r="M104" s="829">
        <v>0</v>
      </c>
      <c r="N104" s="829">
        <v>0</v>
      </c>
      <c r="O104" s="831" t="s">
        <v>1779</v>
      </c>
      <c r="P104" s="660"/>
      <c r="Q104" s="660"/>
    </row>
    <row r="105" spans="1:17" s="811" customFormat="1" ht="14.25">
      <c r="A105" s="1602"/>
      <c r="B105" s="1586" t="s">
        <v>474</v>
      </c>
      <c r="C105" s="1445">
        <f t="shared" si="9"/>
        <v>1.6666666666666666E-2</v>
      </c>
      <c r="D105" s="828">
        <v>5</v>
      </c>
      <c r="E105" s="831">
        <f t="shared" ref="E105:N105" si="12">MAX(5-2*E104,0)</f>
        <v>5</v>
      </c>
      <c r="F105" s="831">
        <f t="shared" si="12"/>
        <v>5</v>
      </c>
      <c r="G105" s="831">
        <f t="shared" si="12"/>
        <v>5</v>
      </c>
      <c r="H105" s="831">
        <f t="shared" si="12"/>
        <v>5</v>
      </c>
      <c r="I105" s="831">
        <f t="shared" si="12"/>
        <v>5</v>
      </c>
      <c r="J105" s="831">
        <f t="shared" si="12"/>
        <v>5</v>
      </c>
      <c r="K105" s="831">
        <f t="shared" si="12"/>
        <v>5</v>
      </c>
      <c r="L105" s="831">
        <f t="shared" si="12"/>
        <v>5</v>
      </c>
      <c r="M105" s="831">
        <f t="shared" si="12"/>
        <v>5</v>
      </c>
      <c r="N105" s="831">
        <f t="shared" si="12"/>
        <v>5</v>
      </c>
      <c r="O105" s="831" t="s">
        <v>1774</v>
      </c>
      <c r="P105" s="660"/>
      <c r="Q105" s="660"/>
    </row>
    <row r="106" spans="1:17" s="811" customFormat="1" ht="14.25">
      <c r="A106" s="1602"/>
      <c r="B106" s="1600" t="s">
        <v>1804</v>
      </c>
      <c r="C106" s="1447"/>
      <c r="D106" s="828"/>
      <c r="E106" s="829">
        <v>0</v>
      </c>
      <c r="F106" s="829">
        <v>0</v>
      </c>
      <c r="G106" s="829">
        <v>0</v>
      </c>
      <c r="H106" s="829">
        <v>0</v>
      </c>
      <c r="I106" s="829">
        <v>0</v>
      </c>
      <c r="J106" s="829">
        <v>0</v>
      </c>
      <c r="K106" s="829">
        <v>0</v>
      </c>
      <c r="L106" s="829">
        <v>0</v>
      </c>
      <c r="M106" s="829">
        <v>0</v>
      </c>
      <c r="N106" s="829">
        <v>0</v>
      </c>
      <c r="O106" s="831" t="s">
        <v>1779</v>
      </c>
      <c r="P106" s="660"/>
      <c r="Q106" s="660"/>
    </row>
    <row r="107" spans="1:17" s="811" customFormat="1" ht="14.25">
      <c r="A107" s="1602"/>
      <c r="B107" s="1601"/>
      <c r="C107" s="1445">
        <f t="shared" si="9"/>
        <v>1.6666666666666666E-2</v>
      </c>
      <c r="D107" s="828">
        <v>5</v>
      </c>
      <c r="E107" s="831">
        <f t="shared" ref="E107:N107" si="13">MAX(5-2*E106,0)</f>
        <v>5</v>
      </c>
      <c r="F107" s="831">
        <f t="shared" si="13"/>
        <v>5</v>
      </c>
      <c r="G107" s="831">
        <f t="shared" si="13"/>
        <v>5</v>
      </c>
      <c r="H107" s="831">
        <f t="shared" si="13"/>
        <v>5</v>
      </c>
      <c r="I107" s="831">
        <f t="shared" si="13"/>
        <v>5</v>
      </c>
      <c r="J107" s="831">
        <f t="shared" si="13"/>
        <v>5</v>
      </c>
      <c r="K107" s="831">
        <f t="shared" si="13"/>
        <v>5</v>
      </c>
      <c r="L107" s="831">
        <f t="shared" si="13"/>
        <v>5</v>
      </c>
      <c r="M107" s="831">
        <f t="shared" si="13"/>
        <v>5</v>
      </c>
      <c r="N107" s="831">
        <f t="shared" si="13"/>
        <v>5</v>
      </c>
      <c r="O107" s="831" t="s">
        <v>1774</v>
      </c>
      <c r="P107" s="660"/>
      <c r="Q107" s="660"/>
    </row>
    <row r="108" spans="1:17" ht="15" customHeight="1">
      <c r="A108" s="1594" t="s">
        <v>1768</v>
      </c>
      <c r="B108" s="1595"/>
      <c r="C108" s="1449"/>
      <c r="D108" s="833">
        <f t="shared" ref="D108:N108" si="14">SUMPRODUCT($C$2:$C$107,D2:D107)</f>
        <v>9.5999999999999979</v>
      </c>
      <c r="E108" s="833">
        <f t="shared" si="14"/>
        <v>9.0055555555555529</v>
      </c>
      <c r="F108" s="833">
        <f t="shared" si="14"/>
        <v>9.048804012345677</v>
      </c>
      <c r="G108" s="833">
        <f t="shared" si="14"/>
        <v>8.8951124144672509</v>
      </c>
      <c r="H108" s="833">
        <f t="shared" si="14"/>
        <v>9.0737726098191196</v>
      </c>
      <c r="I108" s="833">
        <f t="shared" si="14"/>
        <v>9.2108974358974329</v>
      </c>
      <c r="J108" s="833">
        <f t="shared" si="14"/>
        <v>9.1349876543209856</v>
      </c>
      <c r="K108" s="833">
        <f t="shared" si="14"/>
        <v>9.2846021947873769</v>
      </c>
      <c r="L108" s="833">
        <f t="shared" si="14"/>
        <v>9.250896686159841</v>
      </c>
      <c r="M108" s="833">
        <f t="shared" si="14"/>
        <v>9.3653703703703677</v>
      </c>
      <c r="N108" s="833">
        <f t="shared" si="14"/>
        <v>9.3617033700367003</v>
      </c>
    </row>
    <row r="109" spans="1:17" ht="15">
      <c r="A109" s="1594" t="s">
        <v>1769</v>
      </c>
      <c r="B109" s="1595"/>
      <c r="C109" s="1449"/>
      <c r="D109" s="832"/>
      <c r="E109" s="834">
        <f t="shared" ref="E109:N109" si="15">E108/$D$108*100</f>
        <v>93.807870370370367</v>
      </c>
      <c r="F109" s="834">
        <f t="shared" si="15"/>
        <v>94.258375128600818</v>
      </c>
      <c r="G109" s="834">
        <f t="shared" si="15"/>
        <v>92.657420984033891</v>
      </c>
      <c r="H109" s="834">
        <f t="shared" si="15"/>
        <v>94.518464685615854</v>
      </c>
      <c r="I109" s="834">
        <f t="shared" si="15"/>
        <v>95.946848290598282</v>
      </c>
      <c r="J109" s="834">
        <f t="shared" si="15"/>
        <v>95.156121399176953</v>
      </c>
      <c r="K109" s="834">
        <f t="shared" si="15"/>
        <v>96.714606195701862</v>
      </c>
      <c r="L109" s="834">
        <f t="shared" si="15"/>
        <v>96.363507147498368</v>
      </c>
      <c r="M109" s="834">
        <f t="shared" si="15"/>
        <v>97.555941358024683</v>
      </c>
      <c r="N109" s="834">
        <f t="shared" si="15"/>
        <v>97.517743437882316</v>
      </c>
    </row>
    <row r="110" spans="1:17" ht="15" customHeight="1">
      <c r="A110" s="1594" t="s">
        <v>1770</v>
      </c>
      <c r="B110" s="1595"/>
      <c r="C110" s="1450">
        <v>0.1</v>
      </c>
      <c r="D110" s="835"/>
      <c r="E110" s="836"/>
      <c r="F110" s="836"/>
      <c r="G110" s="836"/>
      <c r="H110" s="836"/>
      <c r="I110" s="836"/>
      <c r="J110" s="836"/>
      <c r="K110" s="836"/>
      <c r="L110" s="836"/>
      <c r="M110" s="836"/>
      <c r="N110" s="836"/>
    </row>
    <row r="111" spans="1:17" ht="15" customHeight="1">
      <c r="A111" s="1594" t="s">
        <v>1771</v>
      </c>
      <c r="B111" s="1595"/>
      <c r="C111" s="1450">
        <v>0.15</v>
      </c>
      <c r="D111" s="835"/>
      <c r="E111" s="836"/>
      <c r="F111" s="836"/>
      <c r="G111" s="836"/>
      <c r="H111" s="836"/>
      <c r="I111" s="836"/>
      <c r="J111" s="836"/>
      <c r="K111" s="836"/>
      <c r="L111" s="836"/>
      <c r="M111" s="836"/>
      <c r="N111" s="836"/>
    </row>
    <row r="112" spans="1:17" ht="15">
      <c r="A112" s="1594" t="s">
        <v>1772</v>
      </c>
      <c r="B112" s="1595"/>
      <c r="C112" s="1450">
        <v>0.25</v>
      </c>
      <c r="D112" s="835"/>
      <c r="E112" s="836"/>
      <c r="F112" s="836"/>
      <c r="G112" s="836"/>
      <c r="H112" s="836"/>
      <c r="I112" s="836"/>
      <c r="J112" s="836"/>
      <c r="K112" s="836"/>
      <c r="L112" s="836"/>
      <c r="M112" s="836"/>
      <c r="N112" s="836"/>
    </row>
    <row r="113" spans="1:14" ht="14.25">
      <c r="A113" s="1594" t="s">
        <v>1773</v>
      </c>
      <c r="B113" s="1595" t="s">
        <v>1773</v>
      </c>
      <c r="C113" s="835"/>
      <c r="D113" s="835"/>
      <c r="E113" s="656">
        <f>E109+E110+E111+E112</f>
        <v>93.807870370370367</v>
      </c>
      <c r="F113" s="656">
        <f t="shared" ref="F113:N113" si="16">F109+F110+F111+F112</f>
        <v>94.258375128600818</v>
      </c>
      <c r="G113" s="656">
        <f t="shared" si="16"/>
        <v>92.657420984033891</v>
      </c>
      <c r="H113" s="656">
        <f t="shared" si="16"/>
        <v>94.518464685615854</v>
      </c>
      <c r="I113" s="656">
        <f t="shared" si="16"/>
        <v>95.946848290598282</v>
      </c>
      <c r="J113" s="656">
        <f t="shared" si="16"/>
        <v>95.156121399176953</v>
      </c>
      <c r="K113" s="656">
        <f t="shared" si="16"/>
        <v>96.714606195701862</v>
      </c>
      <c r="L113" s="656">
        <f t="shared" si="16"/>
        <v>96.363507147498368</v>
      </c>
      <c r="M113" s="656">
        <f t="shared" si="16"/>
        <v>97.555941358024683</v>
      </c>
      <c r="N113" s="656">
        <f t="shared" si="16"/>
        <v>97.517743437882316</v>
      </c>
    </row>
    <row r="117" spans="1:14" ht="15">
      <c r="C117" s="798" t="s">
        <v>1090</v>
      </c>
      <c r="D117" s="798">
        <f>VALUE($N$113)</f>
        <v>97.517743437882316</v>
      </c>
    </row>
    <row r="118" spans="1:14" ht="15">
      <c r="C118" s="798" t="s">
        <v>1086</v>
      </c>
      <c r="D118" s="798">
        <f>VALUE($J$113)</f>
        <v>95.156121399176953</v>
      </c>
    </row>
    <row r="119" spans="1:14" ht="15">
      <c r="C119" s="798" t="s">
        <v>1088</v>
      </c>
      <c r="D119" s="798">
        <f>VALUE($L$113)</f>
        <v>96.363507147498368</v>
      </c>
    </row>
    <row r="120" spans="1:14" ht="15">
      <c r="B120" s="514"/>
      <c r="C120" s="798" t="s">
        <v>1089</v>
      </c>
      <c r="D120" s="798">
        <f>VALUE($M$113)</f>
        <v>97.555941358024683</v>
      </c>
    </row>
    <row r="121" spans="1:14" ht="15">
      <c r="C121" s="798" t="s">
        <v>1082</v>
      </c>
      <c r="D121" s="798">
        <f>VALUE($F$113)</f>
        <v>94.258375128600818</v>
      </c>
    </row>
    <row r="122" spans="1:14" ht="15">
      <c r="C122" s="798" t="s">
        <v>1085</v>
      </c>
      <c r="D122" s="798">
        <f>VALUE($I$113)</f>
        <v>95.946848290598282</v>
      </c>
    </row>
    <row r="123" spans="1:14" ht="15">
      <c r="B123" s="715" t="s">
        <v>1805</v>
      </c>
      <c r="C123" s="798" t="s">
        <v>1081</v>
      </c>
      <c r="D123" s="798">
        <f>VALUE($E$113)</f>
        <v>93.807870370370367</v>
      </c>
    </row>
    <row r="124" spans="1:14" ht="15">
      <c r="C124" s="798" t="s">
        <v>1083</v>
      </c>
      <c r="D124" s="798">
        <f>VALUE($G$113)</f>
        <v>92.657420984033891</v>
      </c>
    </row>
    <row r="125" spans="1:14" ht="15">
      <c r="C125" s="798" t="s">
        <v>1087</v>
      </c>
      <c r="D125" s="798">
        <f>VALUE($K$113)</f>
        <v>96.714606195701862</v>
      </c>
    </row>
    <row r="126" spans="1:14" ht="15">
      <c r="C126" s="798" t="s">
        <v>1084</v>
      </c>
      <c r="D126" s="798">
        <f>VALUE($H$113)</f>
        <v>94.518464685615854</v>
      </c>
    </row>
    <row r="129" spans="1:1">
      <c r="A129" s="622" t="s">
        <v>1968</v>
      </c>
    </row>
    <row r="130" spans="1:1">
      <c r="A130" s="622" t="s">
        <v>1967</v>
      </c>
    </row>
    <row r="131" spans="1:1">
      <c r="A131" s="622" t="s">
        <v>1964</v>
      </c>
    </row>
    <row r="132" spans="1:1">
      <c r="A132" s="622" t="s">
        <v>1965</v>
      </c>
    </row>
  </sheetData>
  <sortState ref="B117:D126">
    <sortCondition descending="1" ref="D117"/>
  </sortState>
  <mergeCells count="25">
    <mergeCell ref="A2:A41"/>
    <mergeCell ref="A113:B113"/>
    <mergeCell ref="A62:A93"/>
    <mergeCell ref="B88:B89"/>
    <mergeCell ref="A108:B108"/>
    <mergeCell ref="A109:B109"/>
    <mergeCell ref="A110:B110"/>
    <mergeCell ref="A111:B111"/>
    <mergeCell ref="A112:B112"/>
    <mergeCell ref="B106:B107"/>
    <mergeCell ref="B100:B101"/>
    <mergeCell ref="B104:B105"/>
    <mergeCell ref="B102:B103"/>
    <mergeCell ref="A94:A107"/>
    <mergeCell ref="B96:B97"/>
    <mergeCell ref="B98:B99"/>
    <mergeCell ref="A42:A61"/>
    <mergeCell ref="Y47:Z47"/>
    <mergeCell ref="B94:B95"/>
    <mergeCell ref="T48:U48"/>
    <mergeCell ref="V48:W48"/>
    <mergeCell ref="X48:Y48"/>
    <mergeCell ref="S47:T47"/>
    <mergeCell ref="U47:V47"/>
    <mergeCell ref="W47:X47"/>
  </mergeCells>
  <phoneticPr fontId="3" type="noConversion"/>
  <conditionalFormatting sqref="E2:N2">
    <cfRule type="cellIs" dxfId="304" priority="228" operator="lessThan">
      <formula>$D$2</formula>
    </cfRule>
  </conditionalFormatting>
  <conditionalFormatting sqref="E3:N3">
    <cfRule type="cellIs" dxfId="303" priority="226" operator="lessThan">
      <formula>$D$3</formula>
    </cfRule>
  </conditionalFormatting>
  <conditionalFormatting sqref="E4:N4">
    <cfRule type="cellIs" dxfId="302" priority="224" operator="lessThan">
      <formula>$D$4</formula>
    </cfRule>
  </conditionalFormatting>
  <conditionalFormatting sqref="E5 F13:N13 F16:N16 F19:N19 F28:N28 F32:N32 F5:N6">
    <cfRule type="cellIs" dxfId="301" priority="222" operator="lessThan">
      <formula>$D$5</formula>
    </cfRule>
  </conditionalFormatting>
  <conditionalFormatting sqref="E7:N7">
    <cfRule type="cellIs" dxfId="300" priority="219" operator="lessThan">
      <formula>$D$7</formula>
    </cfRule>
  </conditionalFormatting>
  <conditionalFormatting sqref="H9:N9 E8:N8">
    <cfRule type="cellIs" dxfId="299" priority="217" operator="lessThan">
      <formula>$D$8</formula>
    </cfRule>
  </conditionalFormatting>
  <conditionalFormatting sqref="E9:N9">
    <cfRule type="cellIs" dxfId="298" priority="215" operator="lessThan">
      <formula>$D$9</formula>
    </cfRule>
  </conditionalFormatting>
  <conditionalFormatting sqref="E10:N10">
    <cfRule type="cellIs" dxfId="297" priority="213" operator="lessThan">
      <formula>$D$10</formula>
    </cfRule>
  </conditionalFormatting>
  <conditionalFormatting sqref="E13:N13">
    <cfRule type="cellIs" dxfId="296" priority="211" operator="lessThan">
      <formula>$D$13</formula>
    </cfRule>
  </conditionalFormatting>
  <conditionalFormatting sqref="F13:N13">
    <cfRule type="cellIs" dxfId="295" priority="210" operator="lessThan">
      <formula>$D$6</formula>
    </cfRule>
  </conditionalFormatting>
  <conditionalFormatting sqref="E77:N77 E88:N88 E17:N18 E69:N70 E94:N94 E96:N96 E11:N12 E26:N27 E23:N24 E35:N36 E51:N52 E81:N81 E85:N86">
    <cfRule type="cellIs" dxfId="294" priority="206" operator="greaterThan">
      <formula>0</formula>
    </cfRule>
  </conditionalFormatting>
  <conditionalFormatting sqref="E19:N19">
    <cfRule type="cellIs" dxfId="293" priority="201" operator="lessThan">
      <formula>$D$19</formula>
    </cfRule>
  </conditionalFormatting>
  <conditionalFormatting sqref="E20:N20">
    <cfRule type="cellIs" dxfId="292" priority="197" operator="lessThan">
      <formula>$D$20</formula>
    </cfRule>
  </conditionalFormatting>
  <conditionalFormatting sqref="E21:N21">
    <cfRule type="cellIs" dxfId="291" priority="193" operator="lessThan">
      <formula>$D$21</formula>
    </cfRule>
  </conditionalFormatting>
  <conditionalFormatting sqref="E22:N22">
    <cfRule type="cellIs" dxfId="290" priority="189" operator="lessThan">
      <formula>$D$22</formula>
    </cfRule>
  </conditionalFormatting>
  <conditionalFormatting sqref="E25:N25">
    <cfRule type="cellIs" dxfId="289" priority="183" operator="lessThan">
      <formula>$D$25</formula>
    </cfRule>
  </conditionalFormatting>
  <conditionalFormatting sqref="E29:N29">
    <cfRule type="cellIs" dxfId="288" priority="181" operator="lessThan">
      <formula>$D$29</formula>
    </cfRule>
  </conditionalFormatting>
  <conditionalFormatting sqref="E30:N30">
    <cfRule type="cellIs" dxfId="287" priority="177" operator="lessThan">
      <formula>$D$30</formula>
    </cfRule>
  </conditionalFormatting>
  <conditionalFormatting sqref="E31:N32">
    <cfRule type="cellIs" dxfId="286" priority="173" operator="lessThan">
      <formula>$D$31</formula>
    </cfRule>
  </conditionalFormatting>
  <conditionalFormatting sqref="E33:N33">
    <cfRule type="cellIs" dxfId="285" priority="167" operator="lessThan">
      <formula>$D$33</formula>
    </cfRule>
  </conditionalFormatting>
  <conditionalFormatting sqref="E34:N34">
    <cfRule type="cellIs" dxfId="284" priority="163" operator="lessThan">
      <formula>$D$34</formula>
    </cfRule>
  </conditionalFormatting>
  <conditionalFormatting sqref="E37:N37">
    <cfRule type="cellIs" dxfId="283" priority="156" operator="lessThan">
      <formula>$D$37</formula>
    </cfRule>
  </conditionalFormatting>
  <conditionalFormatting sqref="E39:N39">
    <cfRule type="cellIs" dxfId="282" priority="152" operator="lessThan">
      <formula>$D$39</formula>
    </cfRule>
  </conditionalFormatting>
  <conditionalFormatting sqref="E40:N40">
    <cfRule type="cellIs" dxfId="281" priority="148" operator="lessThan">
      <formula>$D$40</formula>
    </cfRule>
  </conditionalFormatting>
  <conditionalFormatting sqref="E41:N41">
    <cfRule type="cellIs" dxfId="280" priority="146" operator="lessThan">
      <formula>$D$41</formula>
    </cfRule>
  </conditionalFormatting>
  <conditionalFormatting sqref="E43:N43">
    <cfRule type="cellIs" dxfId="279" priority="144" operator="lessThan">
      <formula>$D$43</formula>
    </cfRule>
  </conditionalFormatting>
  <conditionalFormatting sqref="E44:N44">
    <cfRule type="cellIs" dxfId="278" priority="140" operator="lessThan">
      <formula>$D$44</formula>
    </cfRule>
  </conditionalFormatting>
  <conditionalFormatting sqref="E45:N45">
    <cfRule type="cellIs" dxfId="277" priority="134" operator="lessThan">
      <formula>$D$45</formula>
    </cfRule>
  </conditionalFormatting>
  <conditionalFormatting sqref="E46:N46">
    <cfRule type="cellIs" dxfId="276" priority="132" operator="lessThan">
      <formula>$D$46</formula>
    </cfRule>
  </conditionalFormatting>
  <conditionalFormatting sqref="E47:N47">
    <cfRule type="cellIs" dxfId="275" priority="130" operator="lessThan">
      <formula>$D$47</formula>
    </cfRule>
  </conditionalFormatting>
  <conditionalFormatting sqref="E49:N49">
    <cfRule type="cellIs" dxfId="274" priority="126" operator="lessThan">
      <formula>$D$49</formula>
    </cfRule>
  </conditionalFormatting>
  <conditionalFormatting sqref="E48:N48">
    <cfRule type="cellIs" dxfId="273" priority="124" operator="lessThan">
      <formula>$D$48</formula>
    </cfRule>
  </conditionalFormatting>
  <conditionalFormatting sqref="E50:N50 F53:N53">
    <cfRule type="cellIs" dxfId="272" priority="120" operator="lessThan">
      <formula>$D$50</formula>
    </cfRule>
  </conditionalFormatting>
  <conditionalFormatting sqref="E53:N53">
    <cfRule type="cellIs" dxfId="271" priority="114" operator="lessThan">
      <formula>$D$53</formula>
    </cfRule>
    <cfRule type="cellIs" dxfId="270" priority="118" operator="lessThan">
      <formula>$D$50</formula>
    </cfRule>
  </conditionalFormatting>
  <conditionalFormatting sqref="E54:N55">
    <cfRule type="cellIs" dxfId="269" priority="104" operator="lessThan">
      <formula>0</formula>
    </cfRule>
  </conditionalFormatting>
  <conditionalFormatting sqref="E56:N56">
    <cfRule type="cellIs" dxfId="268" priority="103" operator="lessThan">
      <formula>$D$56</formula>
    </cfRule>
  </conditionalFormatting>
  <conditionalFormatting sqref="E58:N58">
    <cfRule type="cellIs" dxfId="267" priority="101" operator="lessThan">
      <formula>$D$58</formula>
    </cfRule>
  </conditionalFormatting>
  <conditionalFormatting sqref="E59:N59">
    <cfRule type="cellIs" dxfId="266" priority="97" operator="lessThan">
      <formula>$D$59</formula>
    </cfRule>
  </conditionalFormatting>
  <conditionalFormatting sqref="E60:N60">
    <cfRule type="cellIs" dxfId="265" priority="93" operator="lessThan">
      <formula>$D$60</formula>
    </cfRule>
  </conditionalFormatting>
  <conditionalFormatting sqref="E63:N63">
    <cfRule type="cellIs" dxfId="264" priority="91" operator="lessThan">
      <formula>$D$63</formula>
    </cfRule>
  </conditionalFormatting>
  <conditionalFormatting sqref="E64:N64">
    <cfRule type="cellIs" dxfId="263" priority="89" operator="lessThan">
      <formula>$D$64</formula>
    </cfRule>
  </conditionalFormatting>
  <conditionalFormatting sqref="E65:N65">
    <cfRule type="cellIs" dxfId="262" priority="85" operator="lessThan">
      <formula>$D$65</formula>
    </cfRule>
  </conditionalFormatting>
  <conditionalFormatting sqref="E66:N68">
    <cfRule type="cellIs" dxfId="261" priority="81" operator="lessThan">
      <formula>$D$66</formula>
    </cfRule>
  </conditionalFormatting>
  <conditionalFormatting sqref="E71:N71">
    <cfRule type="cellIs" dxfId="260" priority="75" operator="lessThan">
      <formula>$D$71</formula>
    </cfRule>
  </conditionalFormatting>
  <conditionalFormatting sqref="E72:N72">
    <cfRule type="cellIs" dxfId="259" priority="74" operator="lessThan">
      <formula>$D$72</formula>
    </cfRule>
  </conditionalFormatting>
  <conditionalFormatting sqref="E73:N73">
    <cfRule type="cellIs" dxfId="258" priority="72" operator="lessThan">
      <formula>$D$73</formula>
    </cfRule>
  </conditionalFormatting>
  <conditionalFormatting sqref="E74:N74">
    <cfRule type="cellIs" dxfId="257" priority="70" operator="lessThan">
      <formula>$D$74</formula>
    </cfRule>
  </conditionalFormatting>
  <conditionalFormatting sqref="E75:N75">
    <cfRule type="cellIs" dxfId="256" priority="66" operator="lessThan">
      <formula>$D$75</formula>
    </cfRule>
  </conditionalFormatting>
  <conditionalFormatting sqref="E78:N78">
    <cfRule type="cellIs" dxfId="255" priority="56" operator="lessThan">
      <formula>$D$78</formula>
    </cfRule>
  </conditionalFormatting>
  <conditionalFormatting sqref="E79:N79">
    <cfRule type="cellIs" dxfId="254" priority="54" operator="lessThan">
      <formula>$D$79</formula>
    </cfRule>
  </conditionalFormatting>
  <conditionalFormatting sqref="E82:N82">
    <cfRule type="cellIs" dxfId="253" priority="49" operator="lessThan">
      <formula>$D$82</formula>
    </cfRule>
  </conditionalFormatting>
  <conditionalFormatting sqref="E83:N83">
    <cfRule type="cellIs" dxfId="252" priority="47" operator="lessThan">
      <formula>$D$83</formula>
    </cfRule>
  </conditionalFormatting>
  <conditionalFormatting sqref="E84:N84">
    <cfRule type="cellIs" dxfId="251" priority="43" operator="lessThan">
      <formula>$D$84</formula>
    </cfRule>
  </conditionalFormatting>
  <conditionalFormatting sqref="E87:N87">
    <cfRule type="cellIs" dxfId="250" priority="35" operator="lessThan">
      <formula>$D$87</formula>
    </cfRule>
  </conditionalFormatting>
  <conditionalFormatting sqref="E89:N89">
    <cfRule type="cellIs" dxfId="249" priority="34" operator="lessThan">
      <formula>$D$89</formula>
    </cfRule>
  </conditionalFormatting>
  <conditionalFormatting sqref="E88:N88">
    <cfRule type="cellIs" dxfId="248" priority="32" operator="greaterThan">
      <formula>0</formula>
    </cfRule>
    <cfRule type="cellIs" dxfId="247" priority="33" operator="greaterThan">
      <formula>0</formula>
    </cfRule>
  </conditionalFormatting>
  <conditionalFormatting sqref="E91:N91">
    <cfRule type="cellIs" dxfId="246" priority="30" operator="lessThan">
      <formula>$D$91</formula>
    </cfRule>
  </conditionalFormatting>
  <conditionalFormatting sqref="E92:N92">
    <cfRule type="cellIs" dxfId="245" priority="26" operator="lessThan">
      <formula>$D$92</formula>
    </cfRule>
  </conditionalFormatting>
  <conditionalFormatting sqref="E93:N93">
    <cfRule type="cellIs" dxfId="244" priority="24" operator="lessThan">
      <formula>10</formula>
    </cfRule>
  </conditionalFormatting>
  <conditionalFormatting sqref="E95:N95">
    <cfRule type="cellIs" dxfId="243" priority="23" operator="lessThan">
      <formula>$D$95</formula>
    </cfRule>
  </conditionalFormatting>
  <conditionalFormatting sqref="E97:N97">
    <cfRule type="cellIs" dxfId="242" priority="20" operator="lessThan">
      <formula>4</formula>
    </cfRule>
  </conditionalFormatting>
  <conditionalFormatting sqref="E99:N99 E101:N101 E103:N103 E105:N105 E107:N107">
    <cfRule type="cellIs" dxfId="241" priority="18" operator="lessThan">
      <formula>$D$99</formula>
    </cfRule>
  </conditionalFormatting>
  <conditionalFormatting sqref="E76:N76">
    <cfRule type="cellIs" dxfId="240" priority="12" operator="greaterThan">
      <formula>0</formula>
    </cfRule>
  </conditionalFormatting>
  <conditionalFormatting sqref="N80">
    <cfRule type="cellIs" dxfId="239" priority="2" operator="greaterThan">
      <formula>0</formula>
    </cfRule>
  </conditionalFormatting>
  <conditionalFormatting sqref="F80">
    <cfRule type="cellIs" dxfId="238" priority="10" operator="greaterThan">
      <formula>0</formula>
    </cfRule>
  </conditionalFormatting>
  <conditionalFormatting sqref="G80">
    <cfRule type="cellIs" dxfId="237" priority="9" operator="greaterThan">
      <formula>0</formula>
    </cfRule>
  </conditionalFormatting>
  <conditionalFormatting sqref="H80">
    <cfRule type="cellIs" dxfId="236" priority="8" operator="greaterThan">
      <formula>0</formula>
    </cfRule>
  </conditionalFormatting>
  <conditionalFormatting sqref="I80">
    <cfRule type="cellIs" dxfId="235" priority="7" operator="greaterThan">
      <formula>0</formula>
    </cfRule>
  </conditionalFormatting>
  <conditionalFormatting sqref="J80">
    <cfRule type="cellIs" dxfId="234" priority="6" operator="greaterThan">
      <formula>0</formula>
    </cfRule>
  </conditionalFormatting>
  <conditionalFormatting sqref="K80">
    <cfRule type="cellIs" dxfId="233" priority="5" operator="greaterThan">
      <formula>0</formula>
    </cfRule>
  </conditionalFormatting>
  <conditionalFormatting sqref="L80">
    <cfRule type="cellIs" dxfId="232" priority="4" operator="greaterThan">
      <formula>0</formula>
    </cfRule>
  </conditionalFormatting>
  <conditionalFormatting sqref="M80">
    <cfRule type="cellIs" dxfId="231" priority="3" operator="greaterThan">
      <formula>0</formula>
    </cfRule>
  </conditionalFormatting>
  <conditionalFormatting sqref="E80:N81">
    <cfRule type="cellIs" priority="1" operator="greaterThan">
      <formula>0</formula>
    </cfRule>
  </conditionalFormatting>
  <hyperlinks>
    <hyperlink ref="A129" location="绩效总分!A1" display="绩效总分"/>
    <hyperlink ref="A130" location="'总公司绩效-I'!A1" display="总公司绩效-I"/>
    <hyperlink ref="A132" location="目录!A1" display="目录"/>
    <hyperlink ref="A131" location="'总公司绩效-II'!A1" display="总公司绩效-II"/>
  </hyperlinks>
  <pageMargins left="0.7" right="0.7" top="0.75" bottom="0.75" header="0.3" footer="0.3"/>
  <ignoredErrors>
    <ignoredError sqref="E9:G9 I9:N9" formula="1"/>
  </ignoredErrors>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1:E27"/>
  <sheetViews>
    <sheetView workbookViewId="0">
      <selection sqref="A1:B1"/>
    </sheetView>
  </sheetViews>
  <sheetFormatPr defaultRowHeight="13.5"/>
  <cols>
    <col min="1" max="1" width="8.625" style="14" customWidth="1"/>
    <col min="2" max="2" width="67.625" customWidth="1"/>
    <col min="3" max="3" width="16.625" bestFit="1" customWidth="1"/>
    <col min="4" max="4" width="15" bestFit="1" customWidth="1"/>
  </cols>
  <sheetData>
    <row r="1" spans="1:5" ht="51" customHeight="1">
      <c r="A1" s="1603" t="s">
        <v>1641</v>
      </c>
      <c r="B1" s="1604"/>
    </row>
    <row r="2" spans="1:5" ht="25.5" customHeight="1" thickBot="1">
      <c r="A2" s="317" t="s">
        <v>185</v>
      </c>
      <c r="B2" s="318" t="s">
        <v>186</v>
      </c>
    </row>
    <row r="3" spans="1:5" ht="16.5">
      <c r="A3" s="319">
        <f>ROW()-2</f>
        <v>1</v>
      </c>
      <c r="B3" s="320" t="s">
        <v>1275</v>
      </c>
    </row>
    <row r="4" spans="1:5" ht="16.5">
      <c r="A4" s="12">
        <f>ROW()-2</f>
        <v>2</v>
      </c>
      <c r="B4" s="15" t="s">
        <v>1276</v>
      </c>
    </row>
    <row r="5" spans="1:5" ht="16.5">
      <c r="A5" s="12">
        <f>ROW()-2</f>
        <v>3</v>
      </c>
      <c r="B5" s="15" t="s">
        <v>1277</v>
      </c>
    </row>
    <row r="6" spans="1:5" ht="16.5">
      <c r="A6" s="12">
        <f t="shared" ref="A6:A11" si="0">ROW()-2</f>
        <v>4</v>
      </c>
      <c r="B6" s="15" t="s">
        <v>1278</v>
      </c>
    </row>
    <row r="7" spans="1:5" ht="16.5">
      <c r="A7" s="12">
        <f t="shared" si="0"/>
        <v>5</v>
      </c>
      <c r="B7" s="15" t="s">
        <v>1279</v>
      </c>
    </row>
    <row r="8" spans="1:5" ht="16.5">
      <c r="A8" s="12">
        <f t="shared" si="0"/>
        <v>6</v>
      </c>
      <c r="B8" s="15" t="s">
        <v>1947</v>
      </c>
    </row>
    <row r="9" spans="1:5" ht="16.5">
      <c r="A9" s="12">
        <f t="shared" si="0"/>
        <v>7</v>
      </c>
      <c r="B9" s="15" t="s">
        <v>1948</v>
      </c>
    </row>
    <row r="10" spans="1:5" ht="16.5">
      <c r="A10" s="12">
        <f t="shared" si="0"/>
        <v>8</v>
      </c>
      <c r="B10" s="15" t="s">
        <v>1949</v>
      </c>
    </row>
    <row r="11" spans="1:5" ht="16.5">
      <c r="A11" s="12">
        <f t="shared" si="0"/>
        <v>9</v>
      </c>
      <c r="B11" s="15" t="s">
        <v>1950</v>
      </c>
    </row>
    <row r="12" spans="1:5" ht="16.5">
      <c r="A12" s="12">
        <f>ROW()-2</f>
        <v>10</v>
      </c>
      <c r="B12" s="15" t="s">
        <v>1951</v>
      </c>
    </row>
    <row r="13" spans="1:5" ht="16.5">
      <c r="A13" s="12">
        <v>11</v>
      </c>
      <c r="B13" s="15" t="s">
        <v>1952</v>
      </c>
    </row>
    <row r="14" spans="1:5" ht="16.5">
      <c r="A14" s="12">
        <v>12</v>
      </c>
      <c r="B14" s="15" t="s">
        <v>1953</v>
      </c>
    </row>
    <row r="15" spans="1:5" ht="18.75">
      <c r="A15" s="12">
        <v>13</v>
      </c>
      <c r="B15" s="15" t="s">
        <v>1954</v>
      </c>
      <c r="C15" s="213"/>
      <c r="D15" s="214"/>
      <c r="E15" s="215"/>
    </row>
    <row r="16" spans="1:5" ht="18.75">
      <c r="A16" s="12">
        <v>14</v>
      </c>
      <c r="B16" s="15" t="s">
        <v>1955</v>
      </c>
      <c r="C16" s="214"/>
      <c r="D16" s="212"/>
      <c r="E16" s="215"/>
    </row>
    <row r="17" spans="1:5" ht="18.75">
      <c r="A17" s="12">
        <v>15</v>
      </c>
      <c r="B17" s="15" t="s">
        <v>1956</v>
      </c>
      <c r="C17" s="213"/>
      <c r="D17" s="214"/>
      <c r="E17" s="215"/>
    </row>
    <row r="18" spans="1:5" ht="18.75">
      <c r="A18" s="12">
        <v>16</v>
      </c>
      <c r="B18" s="15" t="s">
        <v>1957</v>
      </c>
      <c r="C18" s="214"/>
      <c r="D18" s="212"/>
      <c r="E18" s="215"/>
    </row>
    <row r="19" spans="1:5" ht="16.5">
      <c r="A19" s="12">
        <v>17</v>
      </c>
      <c r="B19" s="15" t="s">
        <v>1958</v>
      </c>
    </row>
    <row r="20" spans="1:5" ht="18.75">
      <c r="A20" s="12">
        <v>18</v>
      </c>
      <c r="B20" s="15" t="s">
        <v>1943</v>
      </c>
      <c r="C20" s="212"/>
      <c r="D20" s="212"/>
      <c r="E20" s="215"/>
    </row>
    <row r="21" spans="1:5" ht="18.75">
      <c r="A21" s="12">
        <v>19</v>
      </c>
      <c r="B21" s="15" t="s">
        <v>1944</v>
      </c>
      <c r="C21" s="212"/>
      <c r="D21" s="212"/>
      <c r="E21" s="215"/>
    </row>
    <row r="22" spans="1:5" ht="16.5">
      <c r="A22" s="12">
        <v>20</v>
      </c>
      <c r="B22" s="15" t="s">
        <v>1959</v>
      </c>
      <c r="C22" s="215"/>
      <c r="D22" s="215"/>
      <c r="E22" s="215"/>
    </row>
    <row r="23" spans="1:5" ht="16.5">
      <c r="A23" s="12">
        <v>21</v>
      </c>
      <c r="B23" s="15" t="s">
        <v>1960</v>
      </c>
      <c r="C23" s="215"/>
      <c r="D23" s="215"/>
      <c r="E23" s="215"/>
    </row>
    <row r="24" spans="1:5" ht="16.5">
      <c r="A24" s="12">
        <v>22</v>
      </c>
      <c r="B24" s="15" t="s">
        <v>1961</v>
      </c>
      <c r="C24" s="215"/>
      <c r="D24" s="215"/>
      <c r="E24" s="215"/>
    </row>
    <row r="25" spans="1:5" ht="16.5">
      <c r="A25" s="12">
        <v>23</v>
      </c>
      <c r="B25" s="15" t="s">
        <v>1962</v>
      </c>
    </row>
    <row r="26" spans="1:5" ht="16.5">
      <c r="A26" s="12">
        <v>24</v>
      </c>
      <c r="B26" s="15" t="s">
        <v>1945</v>
      </c>
    </row>
    <row r="27" spans="1:5" ht="17.25" thickBot="1">
      <c r="A27" s="13">
        <v>25</v>
      </c>
      <c r="B27" s="16" t="s">
        <v>1946</v>
      </c>
    </row>
  </sheetData>
  <mergeCells count="1">
    <mergeCell ref="A1:B1"/>
  </mergeCells>
  <phoneticPr fontId="3" type="noConversion"/>
  <hyperlinks>
    <hyperlink ref="B6" location="'OR02-销售承保'!A1" display="OR02-销售承保"/>
    <hyperlink ref="B7" location="'OR06-理赔保全'!A1" display="OR06-理赔保全"/>
    <hyperlink ref="B8" location="'OR10-资金运用'!A1" display="OR10-资金运用"/>
    <hyperlink ref="B9" location="'OR12-财务管理'!A1" display="OR12-财务管理"/>
    <hyperlink ref="B10" location="'OR15-准备金再保险'!A1" display="OR15-准备金再保险"/>
    <hyperlink ref="B11" location="'OR18-合规风险'!A1" display="OR18-合规风险"/>
    <hyperlink ref="B12" location="'RR01-声誉风险'!A1" display="RR01-声誉风险"/>
    <hyperlink ref="B3" location="'OR04-分公司销售、承保、保全'!A1" display="OR04-人身保险公司分支机构销售、承保、保全业务线操作风险"/>
    <hyperlink ref="B4" location="'OR08-分公司理赔'!A1" display="OR08-人身保险公司分支机构理赔业务线操作风险"/>
    <hyperlink ref="B5" location="'OR13-分公司财务管理'!A1" display="OR13-保险分支机构财务管理操作风险"/>
    <hyperlink ref="B13" location="信息系统!A1" display="信息系统"/>
    <hyperlink ref="B14" location="案件管理!A1" display="案件管理"/>
    <hyperlink ref="B15" location="流动性风险!A1" display="流动性风险"/>
    <hyperlink ref="B16" location="公司治理!A1" display="公司治理"/>
    <hyperlink ref="B17" location="战略风险!A1" display="战略风险"/>
    <hyperlink ref="B18" location="'FM02-分支机构封面页'!A1" display="分支机构页"/>
    <hyperlink ref="B20" location="'总公司绩效-I'!A1" display="总公司绩效-I"/>
    <hyperlink ref="B21" location="'总公司绩效-II'!A1" display="总公司绩效-II"/>
    <hyperlink ref="B22" location="分公司绩效!A1" display="分公司绩效"/>
    <hyperlink ref="B23" location="退撤保率!A1" display="退撤保率"/>
    <hyperlink ref="B24" location="续期收费率!A1" display="续期收费率"/>
    <hyperlink ref="B25" location="新契约回访完成率!A1" display="新契约回访完成率"/>
    <hyperlink ref="B26" location="犹豫期内电话回访成功率!A1" display="犹豫期内电话回访成功率"/>
    <hyperlink ref="B27" location="员工流失率!A1" display="员工流失率"/>
    <hyperlink ref="B19" location="绩效总分!A1" display="绩效总分"/>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28</vt:i4>
      </vt:variant>
      <vt:variant>
        <vt:lpstr>命名范围</vt:lpstr>
      </vt:variant>
      <vt:variant>
        <vt:i4>2</vt:i4>
      </vt:variant>
    </vt:vector>
  </HeadingPairs>
  <TitlesOfParts>
    <vt:vector size="30" baseType="lpstr">
      <vt:lpstr>员工流失率√</vt:lpstr>
      <vt:lpstr>犹豫期内电话回访成功率√</vt:lpstr>
      <vt:lpstr>新契约回访完成率√</vt:lpstr>
      <vt:lpstr>续期收费率√</vt:lpstr>
      <vt:lpstr>退撤保率√</vt:lpstr>
      <vt:lpstr>总公司绩效-II</vt:lpstr>
      <vt:lpstr>总公司绩效-I</vt:lpstr>
      <vt:lpstr>分公司绩效</vt:lpstr>
      <vt:lpstr>目录</vt:lpstr>
      <vt:lpstr>FM02-分支机构封面页</vt:lpstr>
      <vt:lpstr>权重</vt:lpstr>
      <vt:lpstr>OR04-分公司销售、承保、保全</vt:lpstr>
      <vt:lpstr>OR08-分公司理赔</vt:lpstr>
      <vt:lpstr>单证遗失情况</vt:lpstr>
      <vt:lpstr>绩效评分汇总页</vt:lpstr>
      <vt:lpstr>OR13-分公司财务管理</vt:lpstr>
      <vt:lpstr>OR02-销售承保</vt:lpstr>
      <vt:lpstr>OR06-理赔保全</vt:lpstr>
      <vt:lpstr>OR10-资金运用</vt:lpstr>
      <vt:lpstr>OR12-财务管理</vt:lpstr>
      <vt:lpstr>OR15-准备金再保险</vt:lpstr>
      <vt:lpstr>OR18-合规风险</vt:lpstr>
      <vt:lpstr>信息系统</vt:lpstr>
      <vt:lpstr>案件管理</vt:lpstr>
      <vt:lpstr>流动性风险</vt:lpstr>
      <vt:lpstr>公司治理</vt:lpstr>
      <vt:lpstr>战略风险</vt:lpstr>
      <vt:lpstr>事件登记</vt:lpstr>
      <vt:lpstr>案件管理!Print_Area</vt:lpstr>
      <vt:lpstr>案件管理!Print_Titles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FC</cp:lastModifiedBy>
  <cp:lastPrinted>2018-01-09T06:16:55Z</cp:lastPrinted>
  <dcterms:created xsi:type="dcterms:W3CDTF">2016-07-18T02:45:56Z</dcterms:created>
  <dcterms:modified xsi:type="dcterms:W3CDTF">2019-11-11T11:12:01Z</dcterms:modified>
</cp:coreProperties>
</file>